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827"/>
  <workbookPr codeName="ThisWorkbook"/>
  <mc:AlternateContent xmlns:mc="http://schemas.openxmlformats.org/markup-compatibility/2006">
    <mc:Choice Requires="x15">
      <x15ac:absPath xmlns:x15ac="http://schemas.microsoft.com/office/spreadsheetml/2010/11/ac" url="C:\Users\ACCOUNTER03\Desktop\EVENTOS\"/>
    </mc:Choice>
  </mc:AlternateContent>
  <xr:revisionPtr revIDLastSave="0" documentId="8_{2E7DFFED-CA81-47C2-860A-6B849F83AF7F}" xr6:coauthVersionLast="47" xr6:coauthVersionMax="47" xr10:uidLastSave="{00000000-0000-0000-0000-000000000000}"/>
  <bookViews>
    <workbookView xWindow="390" yWindow="390" windowWidth="16620" windowHeight="15000" activeTab="3" xr2:uid="{00000000-000D-0000-FFFF-FFFF00000000}"/>
  </bookViews>
  <sheets>
    <sheet name="Financial Statements" sheetId="1" r:id="rId1"/>
    <sheet name="AV" sheetId="6" r:id="rId2"/>
    <sheet name="AH" sheetId="5" r:id="rId3"/>
    <sheet name="RAZON LIQUIDEZ" sheetId="7" r:id="rId4"/>
    <sheet name="DE GESTION" sheetId="8" r:id="rId5"/>
    <sheet name="DE ENDEUDAMIENTO" sheetId="9" r:id="rId6"/>
    <sheet name="DE RENTABILIDAD" sheetId="10" r:id="rId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 i="5" l="1"/>
  <c r="F14" i="5" s="1"/>
  <c r="F12" i="5"/>
  <c r="I37" i="1"/>
  <c r="F11" i="5"/>
  <c r="J25" i="1" l="1"/>
  <c r="J26" i="1"/>
  <c r="D6" i="10" l="1"/>
  <c r="C20" i="9"/>
  <c r="C9" i="9"/>
  <c r="C15" i="9"/>
  <c r="C5" i="9"/>
  <c r="C10" i="8"/>
  <c r="C12" i="8"/>
  <c r="D12" i="8" s="1"/>
  <c r="D23" i="8"/>
  <c r="C23" i="8"/>
  <c r="C17" i="8"/>
  <c r="C19" i="8"/>
  <c r="D19" i="8" s="1"/>
  <c r="C4" i="8"/>
  <c r="D4" i="8" s="1"/>
  <c r="C3" i="8"/>
  <c r="D17" i="8" l="1"/>
  <c r="D10" i="8"/>
  <c r="D3" i="8"/>
  <c r="C7" i="8" s="1"/>
  <c r="D7" i="8" s="1"/>
  <c r="C14" i="8"/>
  <c r="D14" i="8" s="1"/>
  <c r="C25" i="6" l="1"/>
  <c r="D2" i="5" l="1"/>
  <c r="E2" i="5" s="1"/>
  <c r="C9" i="7" l="1"/>
  <c r="C6" i="7"/>
  <c r="C2" i="7"/>
  <c r="D10" i="5" l="1"/>
  <c r="C54" i="6" l="1"/>
  <c r="C53" i="6"/>
  <c r="C52" i="6"/>
  <c r="C51" i="6"/>
  <c r="C50" i="6"/>
  <c r="C49" i="6"/>
  <c r="C67" i="6"/>
  <c r="C66" i="6"/>
  <c r="C65" i="6"/>
  <c r="C64" i="6"/>
  <c r="C63" i="6"/>
  <c r="C62" i="6"/>
  <c r="C61" i="6"/>
  <c r="C60" i="6"/>
  <c r="C59" i="6"/>
  <c r="C58" i="6"/>
  <c r="C57" i="6"/>
  <c r="C56" i="6"/>
  <c r="C35" i="6"/>
  <c r="C34" i="6"/>
  <c r="C45" i="6"/>
  <c r="C44" i="6"/>
  <c r="C43" i="6"/>
  <c r="C42" i="6"/>
  <c r="C41" i="6"/>
  <c r="C40" i="6"/>
  <c r="C39" i="6"/>
  <c r="C38" i="6"/>
  <c r="C37" i="6"/>
  <c r="C36" i="6"/>
  <c r="C33" i="6"/>
  <c r="C32" i="6"/>
  <c r="C30" i="6"/>
  <c r="C28" i="6"/>
  <c r="C26" i="6"/>
  <c r="C27" i="6"/>
  <c r="C24" i="6"/>
  <c r="C6" i="6"/>
  <c r="C18" i="6" l="1"/>
  <c r="C17" i="6"/>
  <c r="B12" i="6"/>
  <c r="B16" i="6" s="1"/>
  <c r="C15" i="6"/>
  <c r="C14" i="6"/>
  <c r="C13" i="6"/>
  <c r="C11" i="6"/>
  <c r="C10" i="6"/>
  <c r="C9" i="6"/>
  <c r="C7" i="6"/>
  <c r="C3" i="6"/>
  <c r="C4" i="6"/>
  <c r="C2" i="6"/>
  <c r="B5" i="6"/>
  <c r="C5" i="6" s="1"/>
  <c r="E30" i="5"/>
  <c r="E34" i="5"/>
  <c r="E46" i="5"/>
  <c r="E50" i="5"/>
  <c r="E51" i="5"/>
  <c r="E54" i="5"/>
  <c r="E55" i="5"/>
  <c r="E62" i="5"/>
  <c r="E63" i="5"/>
  <c r="D24" i="5"/>
  <c r="E24" i="5" s="1"/>
  <c r="D25" i="5"/>
  <c r="E25" i="5" s="1"/>
  <c r="D26" i="5"/>
  <c r="E26" i="5" s="1"/>
  <c r="D27" i="5"/>
  <c r="E27" i="5" s="1"/>
  <c r="D28" i="5"/>
  <c r="E28" i="5" s="1"/>
  <c r="D29" i="5"/>
  <c r="E29" i="5" s="1"/>
  <c r="D30" i="5"/>
  <c r="D31" i="5"/>
  <c r="E31" i="5" s="1"/>
  <c r="D32" i="5"/>
  <c r="E32" i="5" s="1"/>
  <c r="D33" i="5"/>
  <c r="E33" i="5" s="1"/>
  <c r="D34" i="5"/>
  <c r="D35" i="5"/>
  <c r="E35" i="5" s="1"/>
  <c r="D36" i="5"/>
  <c r="E36" i="5" s="1"/>
  <c r="D37" i="5"/>
  <c r="E37" i="5" s="1"/>
  <c r="D38" i="5"/>
  <c r="E38" i="5" s="1"/>
  <c r="D39" i="5"/>
  <c r="E39" i="5" s="1"/>
  <c r="D40" i="5"/>
  <c r="E40" i="5" s="1"/>
  <c r="D41" i="5"/>
  <c r="D42" i="5"/>
  <c r="D43" i="5"/>
  <c r="E43" i="5" s="1"/>
  <c r="D44" i="5"/>
  <c r="E44" i="5" s="1"/>
  <c r="D45" i="5"/>
  <c r="D46" i="5"/>
  <c r="D47" i="5"/>
  <c r="E47" i="5" s="1"/>
  <c r="D48" i="5"/>
  <c r="E48" i="5" s="1"/>
  <c r="D49" i="5"/>
  <c r="E49" i="5" s="1"/>
  <c r="D50" i="5"/>
  <c r="D51" i="5"/>
  <c r="D52" i="5"/>
  <c r="E52" i="5" s="1"/>
  <c r="D53" i="5"/>
  <c r="E53" i="5" s="1"/>
  <c r="D54" i="5"/>
  <c r="D55" i="5"/>
  <c r="D56" i="5"/>
  <c r="E56" i="5" s="1"/>
  <c r="D57" i="5"/>
  <c r="E57" i="5" s="1"/>
  <c r="D58" i="5"/>
  <c r="D59" i="5"/>
  <c r="E59" i="5" s="1"/>
  <c r="D60" i="5"/>
  <c r="E60" i="5" s="1"/>
  <c r="D61" i="5"/>
  <c r="E61" i="5" s="1"/>
  <c r="D62" i="5"/>
  <c r="D63" i="5"/>
  <c r="D64" i="5"/>
  <c r="E64" i="5" s="1"/>
  <c r="D65" i="5"/>
  <c r="E65" i="5" s="1"/>
  <c r="D66" i="5"/>
  <c r="E66" i="5" s="1"/>
  <c r="D67" i="5"/>
  <c r="E67" i="5" s="1"/>
  <c r="B19" i="6" l="1"/>
  <c r="C16" i="6"/>
  <c r="D23" i="5"/>
  <c r="E23" i="5" s="1"/>
  <c r="C8" i="5"/>
  <c r="B8" i="5"/>
  <c r="E10" i="5"/>
  <c r="E17" i="5"/>
  <c r="D7" i="5"/>
  <c r="E7" i="5" s="1"/>
  <c r="D9" i="5"/>
  <c r="E9" i="5" s="1"/>
  <c r="D11" i="5"/>
  <c r="E11" i="5" s="1"/>
  <c r="D12" i="5"/>
  <c r="E12" i="5" s="1"/>
  <c r="D13" i="5"/>
  <c r="E13" i="5" s="1"/>
  <c r="D14" i="5"/>
  <c r="E14" i="5" s="1"/>
  <c r="D15" i="5"/>
  <c r="E15" i="5" s="1"/>
  <c r="D17" i="5"/>
  <c r="D18" i="5"/>
  <c r="E18" i="5" s="1"/>
  <c r="D6" i="5"/>
  <c r="E6" i="5" s="1"/>
  <c r="D8" i="5" l="1"/>
  <c r="E8" i="5" s="1"/>
  <c r="D4" i="5" l="1"/>
  <c r="E4" i="5" s="1"/>
  <c r="D3" i="5"/>
  <c r="E3" i="5" s="1"/>
  <c r="B16" i="5"/>
  <c r="D16" i="5" s="1"/>
  <c r="E16" i="5" s="1"/>
  <c r="B5" i="5"/>
  <c r="D5" i="5" s="1"/>
  <c r="E5" i="5" s="1"/>
  <c r="B19" i="5" l="1"/>
  <c r="D19" i="5" s="1"/>
  <c r="E19" i="5" s="1"/>
  <c r="K107" i="1"/>
  <c r="K105" i="1"/>
  <c r="K106" i="1" s="1"/>
  <c r="K104" i="1"/>
  <c r="K103" i="1"/>
  <c r="K108" i="1" l="1"/>
  <c r="B30" i="1"/>
  <c r="B33" i="1" s="1"/>
  <c r="I19" i="1"/>
  <c r="D16" i="10" l="1"/>
  <c r="D10" i="10"/>
  <c r="D13" i="10"/>
  <c r="J32" i="1"/>
  <c r="I31" i="1"/>
  <c r="J31" i="1" s="1"/>
  <c r="B34" i="1"/>
  <c r="I30" i="1"/>
  <c r="I25" i="1"/>
  <c r="J19" i="1"/>
  <c r="B19" i="1"/>
  <c r="D4" i="10" s="1"/>
  <c r="B82" i="1"/>
  <c r="B83" i="1" s="1"/>
</calcChain>
</file>

<file path=xl/sharedStrings.xml><?xml version="1.0" encoding="utf-8"?>
<sst xmlns="http://schemas.openxmlformats.org/spreadsheetml/2006/main" count="382" uniqueCount="216">
  <si>
    <t>EMIS</t>
  </si>
  <si>
    <t>12TH FLOOR 30 CROWN PLACE</t>
  </si>
  <si>
    <t>London, EC2A 4EB, United Kingdom</t>
  </si>
  <si>
    <t>www.emis.com</t>
  </si>
  <si>
    <t>Organización Terpel S.A. (Colombia)</t>
  </si>
  <si>
    <t xml:space="preserve">Fuente:  </t>
  </si>
  <si>
    <t>Tipo de Estado Financiero</t>
  </si>
  <si>
    <t>Anual, Indiv.</t>
  </si>
  <si>
    <t>Fecha final del período</t>
  </si>
  <si>
    <t>2021-12-31</t>
  </si>
  <si>
    <t>2020-12-31</t>
  </si>
  <si>
    <t>2019-12-31</t>
  </si>
  <si>
    <t>2018-12-31</t>
  </si>
  <si>
    <t>2017-12-31</t>
  </si>
  <si>
    <t>Unidades</t>
  </si>
  <si>
    <t>Millones COP</t>
  </si>
  <si>
    <t>Estado de Resultados</t>
  </si>
  <si>
    <t>Total Ingreso Operativo</t>
  </si>
  <si>
    <t>Ingresos netos por ventas</t>
  </si>
  <si>
    <t>Costo de mercancías vendidas</t>
  </si>
  <si>
    <t>Utilidad bruta</t>
  </si>
  <si>
    <t>      Gastos de venta y distribución</t>
  </si>
  <si>
    <t>      Gastos administrativos</t>
  </si>
  <si>
    <t>      Otros resultados operativos netos</t>
  </si>
  <si>
    <t>            Otros ingresos operativos</t>
  </si>
  <si>
    <t>            Otros gastos operativos</t>
  </si>
  <si>
    <t>Ganancia operativa (EBIT)</t>
  </si>
  <si>
    <t>Resultado financiero</t>
  </si>
  <si>
    <t>      Ingresos financieros</t>
  </si>
  <si>
    <t>      Gastos financieros</t>
  </si>
  <si>
    <t>      Participación en ganancia (pérdida) de asociados</t>
  </si>
  <si>
    <t>Ganancias antes de impuestos</t>
  </si>
  <si>
    <t>Impuesto a la renta</t>
  </si>
  <si>
    <t>Ganancias después de impuestos</t>
  </si>
  <si>
    <t>Ganancia (Pérdida) Neta</t>
  </si>
  <si>
    <t>Activos Totales</t>
  </si>
  <si>
    <t>      Activos no corrientes</t>
  </si>
  <si>
    <t>            Propiedad, planta y equipo</t>
  </si>
  <si>
    <t>            Activos intangibles y valor llave</t>
  </si>
  <si>
    <t>                  Valor llave</t>
  </si>
  <si>
    <t>                  Otros activos intangibles</t>
  </si>
  <si>
    <t>            Comerciales y otras cuentas a cobrar no corrientes</t>
  </si>
  <si>
    <t>                  Cuentas por cobrar no corrientes</t>
  </si>
  <si>
    <t>            Activos financieros a largo plazo</t>
  </si>
  <si>
    <t>                  Propiedades de inversión</t>
  </si>
  <si>
    <t>                  Otros activos financieros no corrientes</t>
  </si>
  <si>
    <t>            Otros activos no corrientes</t>
  </si>
  <si>
    <t>      Activos Corrientes</t>
  </si>
  <si>
    <t>            Inventarios</t>
  </si>
  <si>
    <t>            Comerciales y otras cuentas a cobrar</t>
  </si>
  <si>
    <t>                  Cuentas comerciales por cobrar</t>
  </si>
  <si>
    <t>                  Cuentas por cobrar a partes relacionadas</t>
  </si>
  <si>
    <t>                  Créditos de impuestos</t>
  </si>
  <si>
    <t>            Activos financieros de corto plazo</t>
  </si>
  <si>
    <t>                  Otros activos financieros corrientes</t>
  </si>
  <si>
    <t>            Efectivo o Equivalentes</t>
  </si>
  <si>
    <t>            Otros Activos Corrientes</t>
  </si>
  <si>
    <t>            Activos del grupo de disposición clasificados como mantenidos para la venta</t>
  </si>
  <si>
    <t>Total de patrimonio y pasivos</t>
  </si>
  <si>
    <t>      Total de patrimonio</t>
  </si>
  <si>
    <t>            Patrimonio neto atribuible a los propietarios de la controladora</t>
  </si>
  <si>
    <t>                  Capital Suscrito</t>
  </si>
  <si>
    <t>                  Prima de emisión</t>
  </si>
  <si>
    <t>                  Otras reservas</t>
  </si>
  <si>
    <t>                  Resultados acumulados</t>
  </si>
  <si>
    <t>                  Ganancia o Pérdida del Periodo</t>
  </si>
  <si>
    <t>                  Otros componentes del patrimonio</t>
  </si>
  <si>
    <t>      Pasivos Totales</t>
  </si>
  <si>
    <t>            Pasivos no corrientes</t>
  </si>
  <si>
    <t>                  Créditos y préstamos no corrientes</t>
  </si>
  <si>
    <t>                  Otras cuentas por pagar no corrientes</t>
  </si>
  <si>
    <t>                  Ingresos diferidos, gastos devengados y otros pasivos no circulantes diferidos</t>
  </si>
  <si>
    <t>                  Provisiones para otros pasivos y gastos</t>
  </si>
  <si>
    <t>            Pasivos Corrientes</t>
  </si>
  <si>
    <t>                  Créditos y préstamos corrientes</t>
  </si>
  <si>
    <t>                  Comerciales y otras cuentas a pagar</t>
  </si>
  <si>
    <t>                        Cuentas Comerciales por pagar</t>
  </si>
  <si>
    <t>                        Cuentas por pagar a partes relacionadas</t>
  </si>
  <si>
    <t>                  Pasivos corrientes por impuesto a la renta</t>
  </si>
  <si>
    <t>Estado de Flujo de Efectivo</t>
  </si>
  <si>
    <t>Flujo neto de efectivo por (utilizados en) actividades de explotación</t>
  </si>
  <si>
    <t>      Utilidad Neta</t>
  </si>
  <si>
    <t>      Impuesto a las ganancias pagado</t>
  </si>
  <si>
    <t>      Otro flujo de efectivo de actividades operativas</t>
  </si>
  <si>
    <t>Flujo neto de efectivo de (utilizadas en) actividades de inversión</t>
  </si>
  <si>
    <t>      Producto de venta de propiedades, planta y equipo</t>
  </si>
  <si>
    <t>      Compra de propiedades, planta y equipo</t>
  </si>
  <si>
    <t>      Compra de activos intangibles</t>
  </si>
  <si>
    <t>      Ingresos por venta de instrumentos financieros</t>
  </si>
  <si>
    <t>      Adquisición de subsidiaria</t>
  </si>
  <si>
    <t>      Dividendos recibidos</t>
  </si>
  <si>
    <t>      Otros flujos de efectivo de actividades inversión</t>
  </si>
  <si>
    <t>Flujo neto de efectivo de (utilizados en) actividades de financiación</t>
  </si>
  <si>
    <t>      Ingresos provenientes de préstamos</t>
  </si>
  <si>
    <t>      Reembolso de préstamos</t>
  </si>
  <si>
    <t>      Pagos de las obligaciones de arrendamiento financiero</t>
  </si>
  <si>
    <t>      Intereses pagados</t>
  </si>
  <si>
    <t>      Dividendos pagados</t>
  </si>
  <si>
    <t>      Otros flujos de efectivo de actividades financieras</t>
  </si>
  <si>
    <t>Aumento (disminución) neto en efectivo y equivalentes de efectivo</t>
  </si>
  <si>
    <t>Efectivo al inicio del período</t>
  </si>
  <si>
    <t>Efectivo al final del período</t>
  </si>
  <si>
    <t>CAPEX</t>
  </si>
  <si>
    <t>Fecha inicial del periodo de reporte</t>
  </si>
  <si>
    <t>2021-01-01</t>
  </si>
  <si>
    <t>2020-01-01</t>
  </si>
  <si>
    <t>2019-01-01</t>
  </si>
  <si>
    <t>2018-01-01</t>
  </si>
  <si>
    <t>2017-01-01</t>
  </si>
  <si>
    <t>Unidades originales como se reportó</t>
  </si>
  <si>
    <t>COP Miles</t>
  </si>
  <si>
    <t>Auditado</t>
  </si>
  <si>
    <t>Fuente</t>
  </si>
  <si>
    <t>Superfinanciera – NIIF</t>
  </si>
  <si>
    <t>La redistribución de esta información está estrictamente prohibida.</t>
  </si>
  <si>
    <t>Derechos autorales 2023 EMIS, todos los derechos reservados.</t>
  </si>
  <si>
    <t>Balance General /ESF</t>
  </si>
  <si>
    <t xml:space="preserve">Analisis vertical </t>
  </si>
  <si>
    <t>F1</t>
  </si>
  <si>
    <t>F2</t>
  </si>
  <si>
    <t>F3</t>
  </si>
  <si>
    <t>EFECTO NEUUTRO</t>
  </si>
  <si>
    <t>F4</t>
  </si>
  <si>
    <t>PRUEBA</t>
  </si>
  <si>
    <t>HALLAMOS EL NETO</t>
  </si>
  <si>
    <t xml:space="preserve">AL FINAL </t>
  </si>
  <si>
    <t>Variación absoluta</t>
  </si>
  <si>
    <t>Variación %</t>
  </si>
  <si>
    <t>no lo analizaría global</t>
  </si>
  <si>
    <t>%</t>
  </si>
  <si>
    <t>COMPARACIÓN INGRESOS</t>
  </si>
  <si>
    <t>Poco efectivo</t>
  </si>
  <si>
    <t>Controlar</t>
  </si>
  <si>
    <t>Lo que utiliza la compañía para operar</t>
  </si>
  <si>
    <t>en empresas de servicios no debería ser tan elevado</t>
  </si>
  <si>
    <t>Deben ser inferiores a los activos corrientes</t>
  </si>
  <si>
    <t>Deben ser superiores a los pasivos corrientes</t>
  </si>
  <si>
    <t>CNT</t>
  </si>
  <si>
    <t>CNT=ACTIVO CORRIENTE-PASIVO CORRIENTE</t>
  </si>
  <si>
    <t>es una medida financiera importante que indica la capacidad de una empresa para cubrir sus obligaciones a corto plazo con sus activos corrientes</t>
  </si>
  <si>
    <t>Capital neto de trabajo</t>
  </si>
  <si>
    <t>Razón corriente</t>
  </si>
  <si>
    <t>este indicador tiene la finalidad de cubrir sus obligaciones de corto plazo con sus activos
de corto plazo. Para que exista liquidez en la empresa el resultado de estos valores debe dar mayor que 1. Si el resultado es mayor a esta cantidad, la empresa pudiesetener una fuerte liquidez (Fontalvo, Vergara, &amp; De la Hoz,2012).</t>
  </si>
  <si>
    <t>activo corriente/pasivo corriente</t>
  </si>
  <si>
    <t>Prueba ácida</t>
  </si>
  <si>
    <t>La prueba ácida, también conocida como "prueba rápida" o "relación ácida", es una medida financiera que se utiliza para evaluar la capacidad de una empresa para cumplir con sus obligaciones a corto plazo utilizando sus activos corrientes más líquidos. Se llama "prueba ácida" porque es una versión más estricta del cálculo del capital de trabajo neto, ya que excluye el inventario de los activos corrientes.</t>
  </si>
  <si>
    <t>Prueba Ácida = (Activos Corrientes - Inventario) / Pasivos Corrientes</t>
  </si>
  <si>
    <t>El resultado de la prueba ácida se expresa como un número, y un valor mayor que 1 generalmente se considera saludable, ya que indica que la empresa tiene suficientes activos líquidos para cubrir sus obligaciones a corto plazo sin depender en gran medida del inventario. Sin embargo, el valor óptimo puede variar según la industria y las circunstancias específicas de la empresa.</t>
  </si>
  <si>
    <t>La prueba ácida es una herramienta importante para los analistas financieros y los inversionistas, ya que proporciona información sobre la capacidad de una empresa para enfrentar situaciones de liquidez inmediata sin tener que vender su inventario a precios de descuento.</t>
  </si>
  <si>
    <t>Rotación de cuentas por cobrar</t>
  </si>
  <si>
    <t>RCC</t>
  </si>
  <si>
    <t>*</t>
  </si>
  <si>
    <r>
      <t xml:space="preserve">Un resultado positivo en el Capital de Trabajo Neto indica que la empresa tiene suficientes activos corrientes para cubrir sus pasivos corrientes, lo que es una señal de solidez financiera. Por otro lado, un resultado negativo podría indicar que la empresa podría tener dificultades para cumplir con sus obligaciones a corto plazo.
</t>
    </r>
    <r>
      <rPr>
        <sz val="12"/>
        <color rgb="FFFF0000"/>
        <rFont val="Arial Narrow"/>
        <family val="2"/>
      </rPr>
      <t>Es importante recordar que el Capital de Trabajo Neto es una métrica clave en la gestión financiera, ya que ayuda a evaluar la salud financiera de una empresa y su capacidad para hacer frente a contingencias a corto plazo.</t>
    </r>
  </si>
  <si>
    <t>Esta razón también es conocida como de actividad, son aquellas que le dan a la empresa la capacidad de operar diariamente, a través de la gestión de la recuperación de las cuentas por cobrar, rotación de inventarios.</t>
  </si>
  <si>
    <t>Este indicador mide la rapidez en que las cuentas por cobrar y los inventarios pueden efectivizarse</t>
  </si>
  <si>
    <t>PROMEDIO DE COBRO</t>
  </si>
  <si>
    <t>Cuentas por cobrar promedio</t>
  </si>
  <si>
    <t>CCP= 365 DÍAS/ ROTACIÓN DE CUENTAS POR COBRAR</t>
  </si>
  <si>
    <t>ROTACIÓN DE INVENTARIOS</t>
  </si>
  <si>
    <t>Este indicador demuestra como rota el inventario de la empresa, si este rota constantemente quiere decir que la empresa está aumentando sus ventas y necesita de inventarios constantemente, caso contrario, si no rota de manera constante, quiere de decir que la empresa está perdiendo su posición en el mercado.</t>
  </si>
  <si>
    <t>RI= COSTO VENTAS/INVENTARIO PROMEDIO</t>
  </si>
  <si>
    <t>es un indicador financiero que mide la eficiencia con la que una empresa administra su inventario y cuántas veces en promedio el inventario se vende y se reemplaza durante un período de tiempo determinado, generalmente un año.</t>
  </si>
  <si>
    <t xml:space="preserve">Inventario promedio </t>
  </si>
  <si>
    <t>ROTACIÓN DE ACTIVOS TOTALES</t>
  </si>
  <si>
    <t>Este indicador determina la capacidad que tiene la empresa para obtener ingresos a partir de la utilización de activos. Sí el resultado es mayor a datos de períodos anteriores, quiere decir que
la empresa utiliza de manera adecuada sus recursos</t>
  </si>
  <si>
    <t>RA= VENTAS/ACTIVOS TOTALES</t>
  </si>
  <si>
    <t xml:space="preserve">RRC= VENTAS A CRÉDITO
/CUENTAS POR COBRAR PROMEDIO </t>
  </si>
  <si>
    <t>ROTACIÓN DE CUENTAS POR PAGAR</t>
  </si>
  <si>
    <t>La Rotación de Cuentas por Pagar es un indicador financiero que mide la eficiencia con la que una empresa paga a sus proveedores. A diferencia de la Rotación de Cuentas por Cobrar, que mide cuánto tiempo se tarda en cobrar el dinero de los clientes, la Rotación de Cuentas por Pagar se centra en cuánto tiempo se tarda en pagar a los proveedores por los bienes y servicios adquiridos a crédito. Este indicador es importante porque puede proporcionar información sobre la gestión de liquidez de una empresa y su relación con los proveedores.</t>
  </si>
  <si>
    <t>RCP= Compras / Saldo Promedio de Cuentas por Pagar</t>
  </si>
  <si>
    <t>Promedio de cuentas por pagar</t>
  </si>
  <si>
    <t>RCP= 365 DÍAS/ ROTACIÓN DE CXP</t>
  </si>
  <si>
    <t>Se trata de un ratio que nos indica el buen funcionamiento de la empresa y su función es indicar la eficiencia de la empresa a la hora de gestionar sus activos para producir nuevas ventas.</t>
  </si>
  <si>
    <t>Un valor bajo, podría indicar que la compañía tiene mucho capital inutilizado en sus activos, mientras que un valor demasiado alto se puede traducir en que una compañía tiene pocos activos para afrontar un repunte de las ventas o bien que sus activos necesitan ser cambiados por unos más productivos.</t>
  </si>
  <si>
    <t>Cuanto mayor sea el valor de este ratio, la empresa tendrá una productividad mayor. Ya que, esto nos indicará que los activos tienen más facilidad para producir ventas, lo que nos dará una mayor rentabilidad. Por tanto, el ratio de rotación de activos mide el número de veces que el activo está contenido en la cifra de ventas, esto es, el número de veces que se recupera el activo a través de las ventas</t>
  </si>
  <si>
    <t>Hay sectores en donde lo habitual es que el ratio se mueva entre 1 y 2 y otros en los que se sitúa en 10. Así, si se quiere saber si este ratio es alto o bajo en una empresa concreta será necesario conocer el dato de sus competidores.</t>
  </si>
  <si>
    <t>INDICADORES DE ENDEUDAMIENTO</t>
  </si>
  <si>
    <t>NIVEL DE DEUDA</t>
  </si>
  <si>
    <t>Permite conocer a la empresa el nivel de endeudamiento que posee con respecto a la inversión en activos, para las empresas es fundamental tener un bajo grado de deuda para disminuir el costo del financiamiento.</t>
  </si>
  <si>
    <t xml:space="preserve">
ND= PASIVO/TOTAL ACTIVOS</t>
  </si>
  <si>
    <t>Este tipo de razón también es conocida como razón de apalancamiento, y determinan la medida de los niveles de
deuda y la medida que están comprometidos los activos y patrimonio con acreedores y proveedores.</t>
  </si>
  <si>
    <t>Nivel de deuda/patrimonio</t>
  </si>
  <si>
    <t>esta razón nos indica el porcentaje de deuda que la empresa tiene con respecto a su patrimonio</t>
  </si>
  <si>
    <t>Es el nivel de deuda sobre los fondos propios que tiene una empresa. De esta manera, se puede conocer la dependencia que se tiene en cuanto a la financiación de terceros para conocer el estado de las cuentas de la compañía y poder tomar decisiones de gestión o de inversión</t>
  </si>
  <si>
    <t>Con esta fórmula se puede conocer el dato de endeudamiento que tiene una empresa en concreto. Ya que lo que hace es medir los recursos propios que se tienen frente a los ajenos. Algo que sirve a los inversores para analizar el volumen de apalancamiento que ha asumido la firma en concreto, ya que un endeudamiento demasiado alto puede significar problemas financieros para la compañía debido a una gran dependencia de los fondos de terceros para poder funcionar.</t>
  </si>
  <si>
    <t>Mientras que un endeudamiento demasiado bajo también puede encerrar otros riesgos, por eso es importante saber interpretar el dato que se obtenga después de realizar esta operación matemática. Si bien es cierto que no hay un dato que pueda ser el mejor de todos, es cierto que la media general establece que el ratio debería ser menor que 1, aunque depende también de las particularidades del sector y de la empresa. Aunque, en términos generales, se establece que el valor ideal se sitúa entre el 0.5 y 0.7</t>
  </si>
  <si>
    <t xml:space="preserve">
ESTRUCTURA DE CAPITAL= PASIVO/PATRIMONIO</t>
  </si>
  <si>
    <t>&lt; 0,30; Buena autonomía financiera. Alta capacidad de endeudamiento
&lt; 0,50-0,7; Adecuada autonomía financiera
&gt; 0,7; Deficiente autonomía financiera, la empresa hace un uso excesivo del crédito.</t>
  </si>
  <si>
    <t>Mide la proporción de los activos que están financiados por terceros. Recordemos que los activos de una empresa son financiados o bien por los socios o bien por terceros (proveedores o acreedores).</t>
  </si>
  <si>
    <t>Razón de patrimonio a activo total</t>
  </si>
  <si>
    <t>= Patrimonio /
activo total         X 100</t>
  </si>
  <si>
    <t>Mide la proporción de los activos que están financiados por los socios. Recordemos que los activos de una empresa son financiados o bien por los socios o bien por terceros (proveedores o acreedores).</t>
  </si>
  <si>
    <t>ENDEUDAMIENTO A CORTO PLAZO</t>
  </si>
  <si>
    <t>= Pasivo Corriente /
Pasivo total         X 100</t>
  </si>
  <si>
    <t>RAZONES DE RENTABILIDAD</t>
  </si>
  <si>
    <t>Margen de utilidad bruta sobre ventas</t>
  </si>
  <si>
    <t>= Utilidad Bruta /
Ventas         X 100</t>
  </si>
  <si>
    <t>Margen de utilidad operacional sobre ventas</t>
  </si>
  <si>
    <t>= Utilidad Operacional /
Ventas         X 100</t>
  </si>
  <si>
    <t>Margen de utilidad neta sobre ventas</t>
  </si>
  <si>
    <t>= Utilidad Neta /
Ventas         X 100</t>
  </si>
  <si>
    <t>Rentabilidad sobre el activo total</t>
  </si>
  <si>
    <t>= Utilidad Neta /
Activo Total         X 100</t>
  </si>
  <si>
    <t>Rentabilidad sobre el patrimonio</t>
  </si>
  <si>
    <t>= Utilidad Neta /
Patrimonio Total         X 100</t>
  </si>
  <si>
    <t>El margen de utilidad bruta es uno de los indicadores financieros y de gestión que permite determinar el beneficio directo que obtiene una empresa por la fabricación de un producto o servicio. La importancia del cálculo de este indicador de eficacia es que permite saber si un negocio es rentable o no dentro de un sector determinado.</t>
  </si>
  <si>
    <t>El margen operacional permite conocer el porcentaje de utilidad que se obtiene de las ventas después de descontarle los costos asociados a la producción del bien o a la prestación del servicio y los gastos de administración y ventas.  Muestra la rentabilidad del objeto social de la compañía.</t>
  </si>
  <si>
    <t xml:space="preserve"> se busca es que las empresas mantengan o mejoren, esto implica una mayor ganancia en el precio de venta, un mejor manejo de costos y una buena gestión de gastos de administración y ventas.  Por el contrario, una disminución del margen operacional implica que los costos de producción estarían subiendo o que ha tenido que disminuir precios para hacerle frente a una competencia más agresiva o que algo está incrementándose en los gastos de administración y ventas.  </t>
  </si>
  <si>
    <t>Aquí es importante mencionar que si el margen bruto se mantiene estable y el margen operacional mejora o empeora se podrá identificar la razón de estos cambios en la estructura de gastos administrativos y de ventas.  Es importante que el margen bruto y el operacional se analicen en conjunto.</t>
  </si>
  <si>
    <r>
      <t>El margen neto </t>
    </r>
    <r>
      <rPr>
        <sz val="10"/>
        <rFont val="Arial"/>
        <family val="2"/>
      </rPr>
      <t>permite conocer el porcentaje de utilidad que se obtiene de las ventas después todos los costos y gastos en los que incurre un negocio</t>
    </r>
    <r>
      <rPr>
        <sz val="10"/>
        <rFont val="Arial"/>
        <family val="2"/>
      </rPr>
      <t>. En otras palabras, muestra que porcentaje de las ventas queda como utilidad, de ahí su nombre; es el neto del negocio.</t>
    </r>
  </si>
  <si>
    <t>El ROE o Returno on Equity es el ratio más utilizado por los analistas financieros para calcular la rentabilidad de una compañía. De esta manera, a mayor ROE mayor rentabilidad tendrá esa empresa en relación con sus recursos propios que utiliza para financiarse. Este dato sirve para conocer cuál es la capacidad que tiene una firma a la hora de producir valor para sus accionistas. Lo que hace es medir el beneficio de una compañía en relación con sus fondos propios para conocer la rentabilidad de la misma.</t>
  </si>
  <si>
    <t>Esta empresa recibe 14.6% es decir que por cada 1000 recibe 146 pesos</t>
  </si>
  <si>
    <t>El paso de saber utilizar el indicador también es importante porque nos puede servir para comparar la compañía contra ella misma y ver así su evolución o para analizar un sector en concreto y qué compañía del sector puede interesarnos más desde el punto de vista inversor. En el primer caso, si una compañía consigue aumentar su ROE año tras año querrá decir que la empresa es cada vez más rentable, lo cual será un dato positivo y valorado por los inversores en esa empresa. Sin embargo, si el ROE va decreciendo habría que analizar los motivos por los que esa empresa está perdiendo rentabilidad.</t>
  </si>
  <si>
    <t>El rendimiento de los activos (ROA) es un tipo de métrica de rendimiento de la inversión (ROI) que mide la rentabilidad de una empresa en relación con sus activos totales. Este ratio indica el rendimiento de una empresa comparando los beneficios (ingresos netos) que está generando con el capital que ha invertido en activos. Cuanto más alto sea el rendimiento, más productiva y eficiente es la gestión en la utilización de los recursos económicos.</t>
  </si>
  <si>
    <r>
      <t xml:space="preserve">Período promedio de Cobro, este indicador establece el promedio de días que la empresa se tarda para recuperar sus cuentas por cobrar. </t>
    </r>
    <r>
      <rPr>
        <b/>
        <sz val="12"/>
        <color rgb="FF000000"/>
        <rFont val="Arial Narrow"/>
        <family val="2"/>
      </rPr>
      <t xml:space="preserve">Mientras menor sea el resultado de este indicador, </t>
    </r>
    <r>
      <rPr>
        <sz val="12"/>
        <color rgb="FF000000"/>
        <rFont val="Arial Narrow"/>
        <family val="2"/>
      </rPr>
      <t>significa que causa un efecto positivo en la liquidez, debido a la pronta recuperación de la cartera de crédito. EN DIAS</t>
    </r>
  </si>
  <si>
    <t>Rotación de Cuentas por Cobrar, también conocida como razón de recuperación de cartera, este indicador nos muestra el número de veces que se recuperan las cuentas por cobrar. Mientras más veces se recupere la cartera vencida la empresa tendrá mayor liquidez y, por lo tanto, un mejor capital de trabajo. EN VECES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</si>
</sst>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
    <numFmt numFmtId="165" formatCode="###,000"/>
    <numFmt numFmtId="166" formatCode="0.0%"/>
    <numFmt numFmtId="167" formatCode="_-[$$-240A]\ * #,##0_-;\-[$$-240A]\ * #,##0_-;_-[$$-240A]\ * &quot;-&quot;??_-;_-@_-"/>
    <numFmt numFmtId="168" formatCode="_-[$$-240A]\ * #,##0.00_-;\-[$$-240A]\ * #,##0.00_-;_-[$$-240A]\ * &quot;-&quot;??_-;_-@_-"/>
  </numFmts>
  <fonts count="24" x14ac:knownFonts="1">
    <font>
      <sz val="11"/>
      <color rgb="FF000000"/>
      <name val="Calibri"/>
    </font>
    <font>
      <sz val="11"/>
      <color theme="1"/>
      <name val="Calibri"/>
      <family val="2"/>
      <scheme val="minor"/>
    </font>
    <font>
      <sz val="11"/>
      <color rgb="FF000000"/>
      <name val="Calibri"/>
      <family val="2"/>
    </font>
    <font>
      <sz val="11"/>
      <color rgb="FF9C6500"/>
      <name val="Calibri"/>
      <family val="2"/>
      <scheme val="minor"/>
    </font>
    <font>
      <sz val="11"/>
      <color rgb="FF3F3F76"/>
      <name val="Calibri"/>
      <family val="2"/>
      <scheme val="minor"/>
    </font>
    <font>
      <sz val="11"/>
      <color theme="0"/>
      <name val="Calibri"/>
      <family val="2"/>
      <scheme val="minor"/>
    </font>
    <font>
      <sz val="11"/>
      <color rgb="FF006100"/>
      <name val="Calibri"/>
      <family val="2"/>
      <scheme val="minor"/>
    </font>
    <font>
      <sz val="12"/>
      <color rgb="FF000000"/>
      <name val="Arial Narrow"/>
      <family val="2"/>
    </font>
    <font>
      <b/>
      <sz val="12"/>
      <color rgb="FF000080"/>
      <name val="Arial Narrow"/>
      <family val="2"/>
    </font>
    <font>
      <sz val="12"/>
      <color theme="1"/>
      <name val="Arial Narrow"/>
      <family val="2"/>
    </font>
    <font>
      <sz val="12"/>
      <color theme="0"/>
      <name val="Arial Narrow"/>
      <family val="2"/>
    </font>
    <font>
      <sz val="12"/>
      <color rgb="FF9C6500"/>
      <name val="Arial Narrow"/>
      <family val="2"/>
    </font>
    <font>
      <sz val="12"/>
      <color rgb="FF3F3F76"/>
      <name val="Arial Narrow"/>
      <family val="2"/>
    </font>
    <font>
      <sz val="12"/>
      <color rgb="FFFF0000"/>
      <name val="Arial Narrow"/>
      <family val="2"/>
    </font>
    <font>
      <sz val="12"/>
      <color rgb="FF006100"/>
      <name val="Arial Narrow"/>
      <family val="2"/>
    </font>
    <font>
      <b/>
      <sz val="11"/>
      <color rgb="FFFA7D00"/>
      <name val="Calibri"/>
      <family val="2"/>
      <scheme val="minor"/>
    </font>
    <font>
      <b/>
      <sz val="12"/>
      <color rgb="FFFA7D00"/>
      <name val="Arial Narrow"/>
      <family val="2"/>
    </font>
    <font>
      <b/>
      <sz val="12"/>
      <color rgb="FF000000"/>
      <name val="Arial Narrow"/>
      <family val="2"/>
    </font>
    <font>
      <sz val="11"/>
      <color rgb="FF000000"/>
      <name val="Calibri"/>
      <family val="2"/>
    </font>
    <font>
      <sz val="10"/>
      <color rgb="FF000000"/>
      <name val="Times New Roman"/>
      <family val="1"/>
    </font>
    <font>
      <b/>
      <u/>
      <sz val="12"/>
      <color rgb="FF000000"/>
      <name val="Arial Narrow"/>
      <family val="2"/>
    </font>
    <font>
      <b/>
      <sz val="12"/>
      <name val="Arial Narrow"/>
      <family val="2"/>
    </font>
    <font>
      <sz val="12"/>
      <name val="Arial Narrow"/>
      <family val="2"/>
    </font>
    <font>
      <sz val="10"/>
      <name val="Arial"/>
      <family val="2"/>
    </font>
  </fonts>
  <fills count="36">
    <fill>
      <patternFill patternType="none"/>
    </fill>
    <fill>
      <patternFill patternType="gray125"/>
    </fill>
    <fill>
      <patternFill patternType="solid">
        <fgColor rgb="FFD2D9DE"/>
        <bgColor rgb="FF000000"/>
      </patternFill>
    </fill>
    <fill>
      <patternFill patternType="solid">
        <fgColor rgb="FFF2F2F2"/>
        <bgColor rgb="FF000000"/>
      </patternFill>
    </fill>
    <fill>
      <patternFill patternType="solid">
        <fgColor rgb="FFFFEB9C"/>
      </patternFill>
    </fill>
    <fill>
      <patternFill patternType="solid">
        <fgColor rgb="FFFFCC99"/>
      </patternFill>
    </fill>
    <fill>
      <patternFill patternType="solid">
        <fgColor theme="5"/>
      </patternFill>
    </fill>
    <fill>
      <patternFill patternType="solid">
        <fgColor theme="5" tint="0.39997558519241921"/>
        <bgColor indexed="65"/>
      </patternFill>
    </fill>
    <fill>
      <patternFill patternType="solid">
        <fgColor theme="6"/>
      </patternFill>
    </fill>
    <fill>
      <patternFill patternType="solid">
        <fgColor theme="7"/>
      </patternFill>
    </fill>
    <fill>
      <patternFill patternType="solid">
        <fgColor theme="7" tint="0.59999389629810485"/>
        <bgColor indexed="65"/>
      </patternFill>
    </fill>
    <fill>
      <patternFill patternType="solid">
        <fgColor rgb="FFFFFF00"/>
        <bgColor indexed="64"/>
      </patternFill>
    </fill>
    <fill>
      <patternFill patternType="solid">
        <fgColor theme="3" tint="0.79998168889431442"/>
        <bgColor indexed="64"/>
      </patternFill>
    </fill>
    <fill>
      <patternFill patternType="solid">
        <fgColor theme="6" tint="0.59999389629810485"/>
        <bgColor rgb="FF000000"/>
      </patternFill>
    </fill>
    <fill>
      <patternFill patternType="solid">
        <fgColor theme="3" tint="0.79998168889431442"/>
        <bgColor rgb="FF000000"/>
      </patternFill>
    </fill>
    <fill>
      <patternFill patternType="solid">
        <fgColor rgb="FFC6EFCE"/>
      </patternFill>
    </fill>
    <fill>
      <patternFill patternType="solid">
        <fgColor theme="9" tint="0.79998168889431442"/>
        <bgColor rgb="FF000000"/>
      </patternFill>
    </fill>
    <fill>
      <patternFill patternType="solid">
        <fgColor theme="9" tint="0.79998168889431442"/>
        <bgColor indexed="64"/>
      </patternFill>
    </fill>
    <fill>
      <patternFill patternType="solid">
        <fgColor theme="9" tint="0.59999389629810485"/>
        <bgColor rgb="FF000000"/>
      </patternFill>
    </fill>
    <fill>
      <patternFill patternType="solid">
        <fgColor theme="9" tint="0.59999389629810485"/>
        <bgColor indexed="64"/>
      </patternFill>
    </fill>
    <fill>
      <patternFill patternType="solid">
        <fgColor theme="6" tint="0.39997558519241921"/>
        <bgColor indexed="64"/>
      </patternFill>
    </fill>
    <fill>
      <patternFill patternType="solid">
        <fgColor rgb="FFF2F2F2"/>
      </patternFill>
    </fill>
    <fill>
      <patternFill patternType="solid">
        <fgColor theme="5" tint="0.79998168889431442"/>
        <bgColor indexed="64"/>
      </patternFill>
    </fill>
    <fill>
      <patternFill patternType="solid">
        <fgColor theme="5" tint="0.79998168889431442"/>
        <bgColor rgb="FF000000"/>
      </patternFill>
    </fill>
    <fill>
      <patternFill patternType="solid">
        <fgColor theme="6" tint="0.59999389629810485"/>
        <bgColor indexed="64"/>
      </patternFill>
    </fill>
    <fill>
      <patternFill patternType="solid">
        <fgColor theme="7" tint="0.79998168889431442"/>
        <bgColor indexed="64"/>
      </patternFill>
    </fill>
    <fill>
      <patternFill patternType="solid">
        <fgColor theme="7" tint="0.79998168889431442"/>
        <bgColor rgb="FF000000"/>
      </patternFill>
    </fill>
    <fill>
      <patternFill patternType="solid">
        <fgColor rgb="FFFFFF00"/>
        <bgColor rgb="FF000000"/>
      </patternFill>
    </fill>
    <fill>
      <patternFill patternType="solid">
        <fgColor theme="3" tint="0.59999389629810485"/>
        <bgColor rgb="FF000000"/>
      </patternFill>
    </fill>
    <fill>
      <patternFill patternType="solid">
        <fgColor theme="3" tint="0.59999389629810485"/>
        <bgColor indexed="64"/>
      </patternFill>
    </fill>
    <fill>
      <patternFill patternType="solid">
        <fgColor theme="7" tint="0.59999389629810485"/>
        <bgColor rgb="FF000000"/>
      </patternFill>
    </fill>
    <fill>
      <patternFill patternType="solid">
        <fgColor theme="4" tint="0.79998168889431442"/>
        <bgColor indexed="64"/>
      </patternFill>
    </fill>
    <fill>
      <patternFill patternType="solid">
        <fgColor theme="6" tint="0.79998168889431442"/>
        <bgColor indexed="64"/>
      </patternFill>
    </fill>
    <fill>
      <patternFill patternType="solid">
        <fgColor theme="8" tint="0.79998168889431442"/>
        <bgColor indexed="64"/>
      </patternFill>
    </fill>
    <fill>
      <patternFill patternType="solid">
        <fgColor theme="4" tint="0.59999389629810485"/>
        <bgColor indexed="64"/>
      </patternFill>
    </fill>
    <fill>
      <patternFill patternType="solid">
        <fgColor theme="7" tint="0.59999389629810485"/>
        <bgColor indexed="64"/>
      </patternFill>
    </fill>
  </fills>
  <borders count="3">
    <border>
      <left/>
      <right/>
      <top/>
      <bottom/>
      <diagonal/>
    </border>
    <border>
      <left/>
      <right/>
      <top/>
      <bottom style="thin">
        <color rgb="FF000000"/>
      </bottom>
      <diagonal/>
    </border>
    <border>
      <left style="thin">
        <color rgb="FF7F7F7F"/>
      </left>
      <right style="thin">
        <color rgb="FF7F7F7F"/>
      </right>
      <top style="thin">
        <color rgb="FF7F7F7F"/>
      </top>
      <bottom style="thin">
        <color rgb="FF7F7F7F"/>
      </bottom>
      <diagonal/>
    </border>
  </borders>
  <cellStyleXfs count="14">
    <xf numFmtId="0" fontId="0" fillId="0" borderId="0"/>
    <xf numFmtId="9" fontId="2" fillId="0" borderId="0" applyFont="0" applyFill="0" applyBorder="0" applyAlignment="0" applyProtection="0"/>
    <xf numFmtId="0" fontId="3" fillId="4" borderId="0" applyNumberFormat="0" applyBorder="0" applyAlignment="0" applyProtection="0"/>
    <xf numFmtId="0" fontId="4" fillId="5" borderId="2" applyNumberFormat="0" applyAlignment="0" applyProtection="0"/>
    <xf numFmtId="0" fontId="5" fillId="6" borderId="0" applyNumberFormat="0" applyBorder="0" applyAlignment="0" applyProtection="0"/>
    <xf numFmtId="0" fontId="5" fillId="7" borderId="0" applyNumberFormat="0" applyBorder="0" applyAlignment="0" applyProtection="0"/>
    <xf numFmtId="0" fontId="5" fillId="8" borderId="0" applyNumberFormat="0" applyBorder="0" applyAlignment="0" applyProtection="0"/>
    <xf numFmtId="0" fontId="5" fillId="9" borderId="0" applyNumberFormat="0" applyBorder="0" applyAlignment="0" applyProtection="0"/>
    <xf numFmtId="0" fontId="1" fillId="10" borderId="0" applyNumberFormat="0" applyBorder="0" applyAlignment="0" applyProtection="0"/>
    <xf numFmtId="0" fontId="6" fillId="15" borderId="0" applyNumberFormat="0" applyBorder="0" applyAlignment="0" applyProtection="0"/>
    <xf numFmtId="0" fontId="15" fillId="21" borderId="2" applyNumberFormat="0" applyAlignment="0" applyProtection="0"/>
    <xf numFmtId="43" fontId="18" fillId="0" borderId="0" applyFont="0" applyFill="0" applyBorder="0" applyAlignment="0" applyProtection="0"/>
    <xf numFmtId="0" fontId="19" fillId="0" borderId="0"/>
    <xf numFmtId="9" fontId="19" fillId="0" borderId="0" applyFont="0" applyFill="0" applyBorder="0" applyAlignment="0" applyProtection="0"/>
  </cellStyleXfs>
  <cellXfs count="183">
    <xf numFmtId="0" fontId="0" fillId="0" borderId="0" xfId="0"/>
    <xf numFmtId="0" fontId="7" fillId="0" borderId="0" xfId="0" applyFont="1"/>
    <xf numFmtId="49" fontId="7" fillId="0" borderId="0" xfId="0" applyNumberFormat="1" applyFont="1" applyAlignment="1">
      <alignment horizontal="left" vertical="top"/>
    </xf>
    <xf numFmtId="49" fontId="7" fillId="0" borderId="0" xfId="0" applyNumberFormat="1" applyFont="1" applyAlignment="1">
      <alignment horizontal="right" vertical="top"/>
    </xf>
    <xf numFmtId="49" fontId="7" fillId="3" borderId="0" xfId="0" applyNumberFormat="1" applyFont="1" applyFill="1" applyAlignment="1">
      <alignment horizontal="left" vertical="top"/>
    </xf>
    <xf numFmtId="49" fontId="7" fillId="3" borderId="0" xfId="0" applyNumberFormat="1" applyFont="1" applyFill="1" applyAlignment="1">
      <alignment horizontal="right" vertical="top"/>
    </xf>
    <xf numFmtId="0" fontId="8" fillId="11" borderId="1" xfId="0" applyFont="1" applyFill="1" applyBorder="1" applyAlignment="1">
      <alignment horizontal="center"/>
    </xf>
    <xf numFmtId="0" fontId="8" fillId="0" borderId="1" xfId="0" applyFont="1" applyBorder="1" applyAlignment="1">
      <alignment horizontal="center"/>
    </xf>
    <xf numFmtId="164" fontId="7" fillId="0" borderId="0" xfId="0" applyNumberFormat="1" applyFont="1" applyAlignment="1">
      <alignment horizontal="right" vertical="top"/>
    </xf>
    <xf numFmtId="49" fontId="9" fillId="10" borderId="0" xfId="8" applyNumberFormat="1" applyFont="1" applyAlignment="1">
      <alignment horizontal="left" vertical="top"/>
    </xf>
    <xf numFmtId="164" fontId="9" fillId="10" borderId="0" xfId="8" applyNumberFormat="1" applyFont="1" applyAlignment="1">
      <alignment horizontal="right" vertical="top"/>
    </xf>
    <xf numFmtId="164" fontId="7" fillId="3" borderId="0" xfId="0" applyNumberFormat="1" applyFont="1" applyFill="1" applyAlignment="1">
      <alignment horizontal="right" vertical="top"/>
    </xf>
    <xf numFmtId="49" fontId="10" fillId="6" borderId="0" xfId="4" applyNumberFormat="1" applyFont="1" applyAlignment="1">
      <alignment horizontal="left" vertical="top"/>
    </xf>
    <xf numFmtId="164" fontId="10" fillId="6" borderId="0" xfId="4" applyNumberFormat="1" applyFont="1" applyAlignment="1">
      <alignment horizontal="right" vertical="top"/>
    </xf>
    <xf numFmtId="166" fontId="7" fillId="0" borderId="0" xfId="1" applyNumberFormat="1" applyFont="1"/>
    <xf numFmtId="49" fontId="10" fillId="8" borderId="0" xfId="6" applyNumberFormat="1" applyFont="1" applyAlignment="1">
      <alignment horizontal="left" vertical="top"/>
    </xf>
    <xf numFmtId="164" fontId="10" fillId="8" borderId="0" xfId="6" applyNumberFormat="1" applyFont="1" applyAlignment="1">
      <alignment horizontal="right" vertical="top"/>
    </xf>
    <xf numFmtId="164" fontId="7" fillId="0" borderId="0" xfId="0" applyNumberFormat="1" applyFont="1"/>
    <xf numFmtId="49" fontId="11" fillId="4" borderId="0" xfId="2" applyNumberFormat="1" applyFont="1" applyAlignment="1">
      <alignment horizontal="left" vertical="top"/>
    </xf>
    <xf numFmtId="164" fontId="11" fillId="4" borderId="0" xfId="2" applyNumberFormat="1" applyFont="1" applyAlignment="1">
      <alignment horizontal="right" vertical="top"/>
    </xf>
    <xf numFmtId="49" fontId="10" fillId="9" borderId="0" xfId="7" applyNumberFormat="1" applyFont="1" applyAlignment="1">
      <alignment horizontal="left" vertical="top"/>
    </xf>
    <xf numFmtId="164" fontId="10" fillId="9" borderId="0" xfId="7" applyNumberFormat="1" applyFont="1" applyAlignment="1">
      <alignment horizontal="right" vertical="top"/>
    </xf>
    <xf numFmtId="167" fontId="7" fillId="0" borderId="0" xfId="0" applyNumberFormat="1" applyFont="1"/>
    <xf numFmtId="9" fontId="7" fillId="0" borderId="0" xfId="1" applyFont="1"/>
    <xf numFmtId="49" fontId="12" fillId="5" borderId="2" xfId="3" applyNumberFormat="1" applyFont="1" applyAlignment="1">
      <alignment horizontal="left" vertical="top"/>
    </xf>
    <xf numFmtId="164" fontId="12" fillId="5" borderId="2" xfId="3" applyNumberFormat="1" applyFont="1" applyAlignment="1">
      <alignment horizontal="right" vertical="top"/>
    </xf>
    <xf numFmtId="49" fontId="7" fillId="12" borderId="0" xfId="0" applyNumberFormat="1" applyFont="1" applyFill="1" applyAlignment="1">
      <alignment horizontal="left" vertical="top"/>
    </xf>
    <xf numFmtId="49" fontId="7" fillId="13" borderId="0" xfId="0" applyNumberFormat="1" applyFont="1" applyFill="1" applyAlignment="1">
      <alignment horizontal="left" vertical="top"/>
    </xf>
    <xf numFmtId="49" fontId="10" fillId="7" borderId="0" xfId="5" applyNumberFormat="1" applyFont="1" applyAlignment="1">
      <alignment horizontal="left" vertical="top"/>
    </xf>
    <xf numFmtId="165" fontId="7" fillId="3" borderId="0" xfId="0" applyNumberFormat="1" applyFont="1" applyFill="1" applyAlignment="1">
      <alignment horizontal="right" vertical="top"/>
    </xf>
    <xf numFmtId="165" fontId="7" fillId="0" borderId="0" xfId="0" applyNumberFormat="1" applyFont="1" applyAlignment="1">
      <alignment horizontal="right" vertical="top"/>
    </xf>
    <xf numFmtId="49" fontId="7" fillId="14" borderId="0" xfId="0" applyNumberFormat="1" applyFont="1" applyFill="1" applyAlignment="1">
      <alignment horizontal="left" vertical="top"/>
    </xf>
    <xf numFmtId="0" fontId="8" fillId="12" borderId="1" xfId="0" applyFont="1" applyFill="1" applyBorder="1" applyAlignment="1">
      <alignment horizontal="center"/>
    </xf>
    <xf numFmtId="0" fontId="8" fillId="0" borderId="0" xfId="0" applyFont="1" applyAlignment="1">
      <alignment horizontal="center"/>
    </xf>
    <xf numFmtId="0" fontId="8" fillId="12" borderId="0" xfId="0" applyFont="1" applyFill="1" applyAlignment="1">
      <alignment horizontal="center"/>
    </xf>
    <xf numFmtId="164" fontId="7" fillId="3" borderId="0" xfId="0" applyNumberFormat="1" applyFont="1" applyFill="1" applyAlignment="1">
      <alignment horizontal="left" vertical="top"/>
    </xf>
    <xf numFmtId="9" fontId="7" fillId="3" borderId="0" xfId="1" applyFont="1" applyFill="1" applyAlignment="1">
      <alignment horizontal="right" vertical="top"/>
    </xf>
    <xf numFmtId="164" fontId="7" fillId="14" borderId="0" xfId="0" applyNumberFormat="1" applyFont="1" applyFill="1" applyAlignment="1">
      <alignment horizontal="right" vertical="top"/>
    </xf>
    <xf numFmtId="164" fontId="7" fillId="12" borderId="0" xfId="0" applyNumberFormat="1" applyFont="1" applyFill="1" applyAlignment="1">
      <alignment horizontal="right" vertical="top"/>
    </xf>
    <xf numFmtId="164" fontId="13" fillId="14" borderId="0" xfId="0" applyNumberFormat="1" applyFont="1" applyFill="1" applyAlignment="1">
      <alignment horizontal="right" vertical="top"/>
    </xf>
    <xf numFmtId="49" fontId="7" fillId="16" borderId="0" xfId="0" applyNumberFormat="1" applyFont="1" applyFill="1" applyAlignment="1">
      <alignment horizontal="left" vertical="top"/>
    </xf>
    <xf numFmtId="164" fontId="7" fillId="16" borderId="0" xfId="0" applyNumberFormat="1" applyFont="1" applyFill="1" applyAlignment="1">
      <alignment horizontal="right" vertical="top"/>
    </xf>
    <xf numFmtId="49" fontId="7" fillId="17" borderId="0" xfId="0" applyNumberFormat="1" applyFont="1" applyFill="1" applyAlignment="1">
      <alignment horizontal="left" vertical="top"/>
    </xf>
    <xf numFmtId="164" fontId="7" fillId="17" borderId="0" xfId="0" applyNumberFormat="1" applyFont="1" applyFill="1" applyAlignment="1">
      <alignment horizontal="right" vertical="top"/>
    </xf>
    <xf numFmtId="165" fontId="7" fillId="17" borderId="0" xfId="0" applyNumberFormat="1" applyFont="1" applyFill="1" applyAlignment="1">
      <alignment horizontal="right" vertical="top"/>
    </xf>
    <xf numFmtId="165" fontId="7" fillId="16" borderId="0" xfId="0" applyNumberFormat="1" applyFont="1" applyFill="1" applyAlignment="1">
      <alignment horizontal="right" vertical="top"/>
    </xf>
    <xf numFmtId="49" fontId="7" fillId="18" borderId="0" xfId="0" applyNumberFormat="1" applyFont="1" applyFill="1" applyAlignment="1">
      <alignment horizontal="left" vertical="top"/>
    </xf>
    <xf numFmtId="164" fontId="7" fillId="18" borderId="0" xfId="0" applyNumberFormat="1" applyFont="1" applyFill="1" applyAlignment="1">
      <alignment horizontal="right" vertical="top"/>
    </xf>
    <xf numFmtId="49" fontId="7" fillId="19" borderId="0" xfId="0" applyNumberFormat="1" applyFont="1" applyFill="1" applyAlignment="1">
      <alignment horizontal="left" vertical="top"/>
    </xf>
    <xf numFmtId="165" fontId="7" fillId="19" borderId="0" xfId="0" applyNumberFormat="1" applyFont="1" applyFill="1" applyAlignment="1">
      <alignment horizontal="right" vertical="top"/>
    </xf>
    <xf numFmtId="164" fontId="7" fillId="19" borderId="0" xfId="0" applyNumberFormat="1" applyFont="1" applyFill="1" applyAlignment="1">
      <alignment horizontal="right" vertical="top"/>
    </xf>
    <xf numFmtId="165" fontId="7" fillId="18" borderId="0" xfId="0" applyNumberFormat="1" applyFont="1" applyFill="1" applyAlignment="1">
      <alignment horizontal="right" vertical="top"/>
    </xf>
    <xf numFmtId="9" fontId="7" fillId="0" borderId="0" xfId="1" applyFont="1" applyAlignment="1">
      <alignment horizontal="right" vertical="top"/>
    </xf>
    <xf numFmtId="164" fontId="14" fillId="15" borderId="0" xfId="9" applyNumberFormat="1" applyFont="1" applyAlignment="1">
      <alignment horizontal="right" vertical="top"/>
    </xf>
    <xf numFmtId="49" fontId="14" fillId="15" borderId="0" xfId="9" applyNumberFormat="1" applyFont="1" applyAlignment="1">
      <alignment horizontal="left" vertical="top"/>
    </xf>
    <xf numFmtId="0" fontId="7" fillId="0" borderId="0" xfId="0" applyFont="1" applyAlignment="1">
      <alignment horizontal="center"/>
    </xf>
    <xf numFmtId="10" fontId="7" fillId="0" borderId="0" xfId="1" applyNumberFormat="1" applyFont="1" applyAlignment="1">
      <alignment horizontal="center"/>
    </xf>
    <xf numFmtId="164" fontId="7" fillId="0" borderId="0" xfId="0" applyNumberFormat="1" applyFont="1" applyAlignment="1">
      <alignment horizontal="center"/>
    </xf>
    <xf numFmtId="10" fontId="7" fillId="20" borderId="0" xfId="1" applyNumberFormat="1" applyFont="1" applyFill="1" applyAlignment="1">
      <alignment horizontal="center"/>
    </xf>
    <xf numFmtId="164" fontId="11" fillId="4" borderId="0" xfId="2" applyNumberFormat="1" applyFont="1" applyAlignment="1">
      <alignment horizontal="center"/>
    </xf>
    <xf numFmtId="10" fontId="11" fillId="4" borderId="0" xfId="2" applyNumberFormat="1" applyFont="1" applyAlignment="1">
      <alignment horizontal="center"/>
    </xf>
    <xf numFmtId="49" fontId="16" fillId="21" borderId="2" xfId="10" applyNumberFormat="1" applyFont="1" applyAlignment="1">
      <alignment horizontal="left" vertical="top"/>
    </xf>
    <xf numFmtId="164" fontId="16" fillId="21" borderId="2" xfId="10" applyNumberFormat="1" applyFont="1" applyAlignment="1">
      <alignment horizontal="right" vertical="top"/>
    </xf>
    <xf numFmtId="164" fontId="16" fillId="21" borderId="2" xfId="10" applyNumberFormat="1" applyFont="1" applyAlignment="1">
      <alignment horizontal="center"/>
    </xf>
    <xf numFmtId="10" fontId="16" fillId="21" borderId="2" xfId="10" applyNumberFormat="1" applyFont="1" applyAlignment="1">
      <alignment horizontal="center"/>
    </xf>
    <xf numFmtId="9" fontId="7" fillId="0" borderId="0" xfId="0" applyNumberFormat="1" applyFont="1"/>
    <xf numFmtId="10" fontId="7" fillId="22" borderId="0" xfId="1" applyNumberFormat="1" applyFont="1" applyFill="1" applyAlignment="1">
      <alignment horizontal="center"/>
    </xf>
    <xf numFmtId="164" fontId="7" fillId="23" borderId="0" xfId="0" applyNumberFormat="1" applyFont="1" applyFill="1" applyAlignment="1">
      <alignment horizontal="right" vertical="top"/>
    </xf>
    <xf numFmtId="10" fontId="7" fillId="24" borderId="0" xfId="1" applyNumberFormat="1" applyFont="1" applyFill="1" applyAlignment="1">
      <alignment horizontal="center"/>
    </xf>
    <xf numFmtId="164" fontId="7" fillId="13" borderId="0" xfId="0" applyNumberFormat="1" applyFont="1" applyFill="1" applyAlignment="1">
      <alignment horizontal="right" vertical="top"/>
    </xf>
    <xf numFmtId="10" fontId="7" fillId="25" borderId="0" xfId="1" applyNumberFormat="1" applyFont="1" applyFill="1" applyAlignment="1">
      <alignment horizontal="center"/>
    </xf>
    <xf numFmtId="164" fontId="7" fillId="26" borderId="0" xfId="0" applyNumberFormat="1" applyFont="1" applyFill="1" applyAlignment="1">
      <alignment horizontal="right" vertical="top"/>
    </xf>
    <xf numFmtId="0" fontId="13" fillId="0" borderId="0" xfId="0" applyFont="1"/>
    <xf numFmtId="0" fontId="7" fillId="0" borderId="0" xfId="0" applyFont="1" applyAlignment="1">
      <alignment vertical="center" wrapText="1"/>
    </xf>
    <xf numFmtId="0" fontId="17" fillId="0" borderId="0" xfId="0" applyFont="1"/>
    <xf numFmtId="0" fontId="7" fillId="0" borderId="0" xfId="0" applyFont="1" applyAlignment="1">
      <alignment horizontal="center" vertical="center" wrapText="1"/>
    </xf>
    <xf numFmtId="0" fontId="7" fillId="0" borderId="0" xfId="0" applyFont="1" applyAlignment="1">
      <alignment horizontal="center" vertical="center"/>
    </xf>
    <xf numFmtId="168" fontId="7" fillId="0" borderId="0" xfId="0" applyNumberFormat="1" applyFont="1" applyAlignment="1">
      <alignment horizontal="center" vertical="center"/>
    </xf>
    <xf numFmtId="2" fontId="7" fillId="0" borderId="0" xfId="0" applyNumberFormat="1" applyFont="1" applyAlignment="1">
      <alignment horizontal="center" vertical="center"/>
    </xf>
    <xf numFmtId="0" fontId="17" fillId="0" borderId="0" xfId="0" applyFont="1" applyAlignment="1">
      <alignment vertical="center"/>
    </xf>
    <xf numFmtId="0" fontId="7" fillId="0" borderId="0" xfId="0" applyFont="1" applyAlignment="1">
      <alignment vertical="center"/>
    </xf>
    <xf numFmtId="164" fontId="7" fillId="11" borderId="0" xfId="0" applyNumberFormat="1" applyFont="1" applyFill="1" applyAlignment="1">
      <alignment horizontal="right" vertical="top"/>
    </xf>
    <xf numFmtId="164" fontId="7" fillId="27" borderId="0" xfId="0" applyNumberFormat="1" applyFont="1" applyFill="1" applyAlignment="1">
      <alignment horizontal="right" vertical="top"/>
    </xf>
    <xf numFmtId="164" fontId="7" fillId="28" borderId="0" xfId="0" applyNumberFormat="1" applyFont="1" applyFill="1" applyAlignment="1">
      <alignment horizontal="right" vertical="top"/>
    </xf>
    <xf numFmtId="164" fontId="7" fillId="29" borderId="0" xfId="0" applyNumberFormat="1" applyFont="1" applyFill="1" applyAlignment="1">
      <alignment horizontal="right" vertical="top"/>
    </xf>
    <xf numFmtId="165" fontId="7" fillId="29" borderId="0" xfId="0" applyNumberFormat="1" applyFont="1" applyFill="1" applyAlignment="1">
      <alignment horizontal="right" vertical="top"/>
    </xf>
    <xf numFmtId="49" fontId="7" fillId="30" borderId="0" xfId="0" applyNumberFormat="1" applyFont="1" applyFill="1" applyAlignment="1">
      <alignment horizontal="left" vertical="top"/>
    </xf>
    <xf numFmtId="164" fontId="7" fillId="30" borderId="0" xfId="0" applyNumberFormat="1" applyFont="1" applyFill="1" applyAlignment="1">
      <alignment horizontal="right" vertical="top"/>
    </xf>
    <xf numFmtId="168" fontId="7" fillId="0" borderId="0" xfId="0" applyNumberFormat="1" applyFont="1"/>
    <xf numFmtId="0" fontId="17" fillId="22" borderId="0" xfId="0" applyFont="1" applyFill="1" applyAlignment="1">
      <alignment vertical="center"/>
    </xf>
    <xf numFmtId="0" fontId="7" fillId="22" borderId="0" xfId="0" applyFont="1" applyFill="1" applyAlignment="1">
      <alignment horizontal="center" vertical="center"/>
    </xf>
    <xf numFmtId="0" fontId="7" fillId="22" borderId="0" xfId="0" applyFont="1" applyFill="1"/>
    <xf numFmtId="0" fontId="7" fillId="22" borderId="0" xfId="0" applyFont="1" applyFill="1" applyAlignment="1">
      <alignment vertical="center" wrapText="1"/>
    </xf>
    <xf numFmtId="168" fontId="7" fillId="22" borderId="0" xfId="0" applyNumberFormat="1" applyFont="1" applyFill="1" applyAlignment="1">
      <alignment horizontal="center" vertical="center"/>
    </xf>
    <xf numFmtId="0" fontId="17" fillId="22" borderId="0" xfId="0" applyFont="1" applyFill="1" applyAlignment="1">
      <alignment vertical="center" wrapText="1"/>
    </xf>
    <xf numFmtId="43" fontId="7" fillId="22" borderId="0" xfId="11" applyFont="1" applyFill="1" applyAlignment="1">
      <alignment vertical="center"/>
    </xf>
    <xf numFmtId="168" fontId="7" fillId="22" borderId="0" xfId="0" applyNumberFormat="1" applyFont="1" applyFill="1" applyAlignment="1">
      <alignment vertical="center"/>
    </xf>
    <xf numFmtId="0" fontId="7" fillId="22" borderId="0" xfId="0" applyFont="1" applyFill="1" applyAlignment="1">
      <alignment wrapText="1"/>
    </xf>
    <xf numFmtId="0" fontId="17" fillId="31" borderId="0" xfId="0" applyFont="1" applyFill="1" applyAlignment="1">
      <alignment vertical="center" wrapText="1"/>
    </xf>
    <xf numFmtId="0" fontId="7" fillId="31" borderId="0" xfId="0" applyFont="1" applyFill="1" applyAlignment="1">
      <alignment horizontal="center" vertical="center"/>
    </xf>
    <xf numFmtId="0" fontId="7" fillId="31" borderId="0" xfId="0" applyFont="1" applyFill="1"/>
    <xf numFmtId="0" fontId="7" fillId="31" borderId="0" xfId="0" applyFont="1" applyFill="1" applyAlignment="1">
      <alignment wrapText="1"/>
    </xf>
    <xf numFmtId="43" fontId="7" fillId="31" borderId="0" xfId="0" applyNumberFormat="1" applyFont="1" applyFill="1" applyAlignment="1">
      <alignment horizontal="center" vertical="center"/>
    </xf>
    <xf numFmtId="43" fontId="7" fillId="31" borderId="0" xfId="0" applyNumberFormat="1" applyFont="1" applyFill="1" applyAlignment="1">
      <alignment vertical="center"/>
    </xf>
    <xf numFmtId="0" fontId="17" fillId="32" borderId="0" xfId="0" applyFont="1" applyFill="1" applyAlignment="1">
      <alignment vertical="center" wrapText="1"/>
    </xf>
    <xf numFmtId="0" fontId="7" fillId="32" borderId="0" xfId="0" applyFont="1" applyFill="1"/>
    <xf numFmtId="0" fontId="17" fillId="32" borderId="0" xfId="0" applyFont="1" applyFill="1" applyAlignment="1">
      <alignment horizontal="center" vertical="center" wrapText="1"/>
    </xf>
    <xf numFmtId="167" fontId="7" fillId="32" borderId="0" xfId="0" applyNumberFormat="1" applyFont="1" applyFill="1" applyAlignment="1">
      <alignment horizontal="center" vertical="center"/>
    </xf>
    <xf numFmtId="2" fontId="7" fillId="32" borderId="0" xfId="0" applyNumberFormat="1" applyFont="1" applyFill="1" applyAlignment="1">
      <alignment vertical="center"/>
    </xf>
    <xf numFmtId="0" fontId="7" fillId="32" borderId="0" xfId="0" applyFont="1" applyFill="1" applyAlignment="1">
      <alignment horizontal="center" vertical="center" wrapText="1"/>
    </xf>
    <xf numFmtId="167" fontId="7" fillId="32" borderId="0" xfId="0" applyNumberFormat="1" applyFont="1" applyFill="1"/>
    <xf numFmtId="0" fontId="17" fillId="25" borderId="0" xfId="0" applyFont="1" applyFill="1" applyAlignment="1">
      <alignment vertical="center" wrapText="1"/>
    </xf>
    <xf numFmtId="2" fontId="7" fillId="25" borderId="0" xfId="0" applyNumberFormat="1" applyFont="1" applyFill="1" applyAlignment="1">
      <alignment horizontal="center" vertical="center"/>
    </xf>
    <xf numFmtId="0" fontId="7" fillId="25" borderId="0" xfId="0" applyFont="1" applyFill="1"/>
    <xf numFmtId="0" fontId="17" fillId="25" borderId="0" xfId="0" applyFont="1" applyFill="1" applyAlignment="1">
      <alignment horizontal="center" vertical="center" wrapText="1"/>
    </xf>
    <xf numFmtId="167" fontId="7" fillId="25" borderId="0" xfId="0" applyNumberFormat="1" applyFont="1" applyFill="1" applyAlignment="1">
      <alignment horizontal="center" vertical="center"/>
    </xf>
    <xf numFmtId="2" fontId="7" fillId="25" borderId="0" xfId="0" applyNumberFormat="1" applyFont="1" applyFill="1" applyAlignment="1">
      <alignment vertical="center"/>
    </xf>
    <xf numFmtId="0" fontId="7" fillId="25" borderId="0" xfId="0" applyFont="1" applyFill="1" applyAlignment="1">
      <alignment horizontal="center" vertical="center" wrapText="1"/>
    </xf>
    <xf numFmtId="167" fontId="7" fillId="25" borderId="0" xfId="0" applyNumberFormat="1" applyFont="1" applyFill="1"/>
    <xf numFmtId="43" fontId="7" fillId="25" borderId="0" xfId="0" applyNumberFormat="1" applyFont="1" applyFill="1" applyAlignment="1">
      <alignment horizontal="center" vertical="center"/>
    </xf>
    <xf numFmtId="43" fontId="7" fillId="25" borderId="0" xfId="0" applyNumberFormat="1" applyFont="1" applyFill="1" applyAlignment="1">
      <alignment vertical="center"/>
    </xf>
    <xf numFmtId="0" fontId="7" fillId="32" borderId="0" xfId="0" applyFont="1" applyFill="1" applyAlignment="1">
      <alignment horizontal="center" vertical="center"/>
    </xf>
    <xf numFmtId="168" fontId="7" fillId="32" borderId="0" xfId="0" applyNumberFormat="1" applyFont="1" applyFill="1" applyAlignment="1">
      <alignment horizontal="center" vertical="center"/>
    </xf>
    <xf numFmtId="0" fontId="7" fillId="32" borderId="0" xfId="0" applyFont="1" applyFill="1" applyAlignment="1">
      <alignment vertical="center"/>
    </xf>
    <xf numFmtId="0" fontId="17" fillId="32" borderId="0" xfId="0" applyFont="1" applyFill="1" applyAlignment="1">
      <alignment vertical="center"/>
    </xf>
    <xf numFmtId="0" fontId="17" fillId="31" borderId="0" xfId="0" applyFont="1" applyFill="1" applyAlignment="1">
      <alignment horizontal="center" vertical="center" wrapText="1"/>
    </xf>
    <xf numFmtId="0" fontId="17" fillId="22" borderId="0" xfId="0" applyFont="1" applyFill="1" applyAlignment="1">
      <alignment horizontal="center" vertical="center" wrapText="1"/>
    </xf>
    <xf numFmtId="0" fontId="17" fillId="17" borderId="0" xfId="0" applyFont="1" applyFill="1" applyAlignment="1">
      <alignment horizontal="center" vertical="center" wrapText="1"/>
    </xf>
    <xf numFmtId="0" fontId="7" fillId="17" borderId="0" xfId="0" applyFont="1" applyFill="1" applyAlignment="1">
      <alignment horizontal="center" vertical="center"/>
    </xf>
    <xf numFmtId="0" fontId="7" fillId="17" borderId="0" xfId="0" applyFont="1" applyFill="1"/>
    <xf numFmtId="0" fontId="7" fillId="17" borderId="0" xfId="0" applyFont="1" applyFill="1" applyAlignment="1">
      <alignment wrapText="1"/>
    </xf>
    <xf numFmtId="0" fontId="7" fillId="17" borderId="0" xfId="0" applyFont="1" applyFill="1" applyAlignment="1">
      <alignment vertical="center"/>
    </xf>
    <xf numFmtId="0" fontId="17" fillId="17" borderId="0" xfId="0" applyFont="1" applyFill="1" applyAlignment="1">
      <alignment horizontal="center" vertical="center"/>
    </xf>
    <xf numFmtId="0" fontId="7" fillId="17" borderId="0" xfId="0" applyFont="1" applyFill="1" applyAlignment="1">
      <alignment vertical="center" wrapText="1"/>
    </xf>
    <xf numFmtId="2" fontId="7" fillId="17" borderId="0" xfId="0" applyNumberFormat="1" applyFont="1" applyFill="1" applyAlignment="1">
      <alignment horizontal="center" vertical="center"/>
    </xf>
    <xf numFmtId="0" fontId="7" fillId="17" borderId="0" xfId="0" applyFont="1" applyFill="1" applyAlignment="1">
      <alignment horizontal="center" wrapText="1"/>
    </xf>
    <xf numFmtId="0" fontId="7" fillId="17" borderId="0" xfId="0" applyFont="1" applyFill="1" applyAlignment="1">
      <alignment horizontal="center" vertical="center" wrapText="1"/>
    </xf>
    <xf numFmtId="166" fontId="7" fillId="0" borderId="0" xfId="1" applyNumberFormat="1" applyFont="1" applyAlignment="1">
      <alignment horizontal="center" vertical="center"/>
    </xf>
    <xf numFmtId="0" fontId="17" fillId="31" borderId="0" xfId="0" applyFont="1" applyFill="1" applyAlignment="1">
      <alignment horizontal="center" vertical="center"/>
    </xf>
    <xf numFmtId="10" fontId="7" fillId="31" borderId="0" xfId="1" applyNumberFormat="1" applyFont="1" applyFill="1" applyAlignment="1">
      <alignment horizontal="center" vertical="center"/>
    </xf>
    <xf numFmtId="0" fontId="7" fillId="31" borderId="0" xfId="0" applyFont="1" applyFill="1" applyAlignment="1">
      <alignment horizontal="center" vertical="center" wrapText="1"/>
    </xf>
    <xf numFmtId="0" fontId="17" fillId="17" borderId="0" xfId="0" applyFont="1" applyFill="1" applyAlignment="1">
      <alignment horizontal="center"/>
    </xf>
    <xf numFmtId="2" fontId="7" fillId="17" borderId="0" xfId="1" applyNumberFormat="1" applyFont="1" applyFill="1" applyAlignment="1">
      <alignment horizontal="center" vertical="center"/>
    </xf>
    <xf numFmtId="0" fontId="17" fillId="34" borderId="0" xfId="0" applyFont="1" applyFill="1" applyAlignment="1">
      <alignment horizontal="center" vertical="center" wrapText="1"/>
    </xf>
    <xf numFmtId="0" fontId="7" fillId="34" borderId="0" xfId="0" applyFont="1" applyFill="1"/>
    <xf numFmtId="0" fontId="7" fillId="34" borderId="0" xfId="0" applyFont="1" applyFill="1" applyAlignment="1">
      <alignment horizontal="center" vertical="center" wrapText="1"/>
    </xf>
    <xf numFmtId="10" fontId="7" fillId="34" borderId="0" xfId="1" applyNumberFormat="1" applyFont="1" applyFill="1" applyAlignment="1">
      <alignment vertical="center"/>
    </xf>
    <xf numFmtId="0" fontId="17" fillId="0" borderId="0" xfId="0" applyFont="1" applyAlignment="1">
      <alignment horizontal="center" vertical="center" wrapText="1"/>
    </xf>
    <xf numFmtId="0" fontId="17" fillId="35" borderId="0" xfId="0" applyFont="1" applyFill="1" applyAlignment="1">
      <alignment horizontal="center" vertical="center" wrapText="1"/>
    </xf>
    <xf numFmtId="0" fontId="7" fillId="35" borderId="0" xfId="0" applyFont="1" applyFill="1"/>
    <xf numFmtId="0" fontId="7" fillId="35" borderId="0" xfId="0" applyFont="1" applyFill="1" applyAlignment="1">
      <alignment horizontal="center" vertical="center" wrapText="1"/>
    </xf>
    <xf numFmtId="9" fontId="7" fillId="35" borderId="0" xfId="1" applyFont="1" applyFill="1"/>
    <xf numFmtId="0" fontId="20" fillId="0" borderId="0" xfId="12" applyFont="1" applyAlignment="1">
      <alignment horizontal="left" vertical="top"/>
    </xf>
    <xf numFmtId="0" fontId="7" fillId="0" borderId="0" xfId="12" applyFont="1" applyAlignment="1">
      <alignment horizontal="left" vertical="top" wrapText="1"/>
    </xf>
    <xf numFmtId="0" fontId="7" fillId="0" borderId="0" xfId="12" applyFont="1" applyAlignment="1">
      <alignment horizontal="left" vertical="top"/>
    </xf>
    <xf numFmtId="0" fontId="17" fillId="0" borderId="0" xfId="12" applyFont="1" applyAlignment="1">
      <alignment horizontal="left" vertical="top" wrapText="1"/>
    </xf>
    <xf numFmtId="49" fontId="17" fillId="0" borderId="0" xfId="12" applyNumberFormat="1" applyFont="1" applyAlignment="1">
      <alignment horizontal="left" vertical="top" wrapText="1"/>
    </xf>
    <xf numFmtId="0" fontId="17" fillId="22" borderId="0" xfId="12" applyFont="1" applyFill="1" applyAlignment="1">
      <alignment horizontal="left" vertical="top" wrapText="1"/>
    </xf>
    <xf numFmtId="49" fontId="17" fillId="22" borderId="0" xfId="12" applyNumberFormat="1" applyFont="1" applyFill="1" applyAlignment="1">
      <alignment horizontal="left" vertical="top" wrapText="1"/>
    </xf>
    <xf numFmtId="0" fontId="17" fillId="31" borderId="0" xfId="12" applyFont="1" applyFill="1" applyAlignment="1">
      <alignment horizontal="left" vertical="top" wrapText="1"/>
    </xf>
    <xf numFmtId="49" fontId="17" fillId="31" borderId="0" xfId="12" applyNumberFormat="1" applyFont="1" applyFill="1" applyAlignment="1">
      <alignment horizontal="left" vertical="top" wrapText="1"/>
    </xf>
    <xf numFmtId="166" fontId="7" fillId="31" borderId="0" xfId="1" applyNumberFormat="1" applyFont="1" applyFill="1" applyAlignment="1">
      <alignment horizontal="center" vertical="center"/>
    </xf>
    <xf numFmtId="166" fontId="7" fillId="22" borderId="0" xfId="1" applyNumberFormat="1" applyFont="1" applyFill="1" applyAlignment="1">
      <alignment horizontal="center"/>
    </xf>
    <xf numFmtId="0" fontId="7" fillId="22" borderId="0" xfId="12" applyFont="1" applyFill="1" applyAlignment="1">
      <alignment horizontal="left" vertical="top"/>
    </xf>
    <xf numFmtId="10" fontId="7" fillId="22" borderId="0" xfId="13" applyNumberFormat="1" applyFont="1" applyFill="1" applyBorder="1" applyAlignment="1">
      <alignment horizontal="left" vertical="top" wrapText="1"/>
    </xf>
    <xf numFmtId="0" fontId="7" fillId="22" borderId="0" xfId="0" applyFont="1" applyFill="1" applyAlignment="1">
      <alignment horizontal="center"/>
    </xf>
    <xf numFmtId="0" fontId="7" fillId="22" borderId="0" xfId="12" applyFont="1" applyFill="1" applyAlignment="1">
      <alignment horizontal="left" vertical="top" wrapText="1"/>
    </xf>
    <xf numFmtId="0" fontId="7" fillId="0" borderId="0" xfId="0" applyFont="1" applyAlignment="1">
      <alignment wrapText="1"/>
    </xf>
    <xf numFmtId="0" fontId="22" fillId="24" borderId="0" xfId="0" applyFont="1" applyFill="1" applyAlignment="1">
      <alignment wrapText="1"/>
    </xf>
    <xf numFmtId="0" fontId="21" fillId="33" borderId="0" xfId="12" applyFont="1" applyFill="1" applyAlignment="1">
      <alignment horizontal="left" vertical="top" wrapText="1"/>
    </xf>
    <xf numFmtId="49" fontId="21" fillId="33" borderId="0" xfId="12" applyNumberFormat="1" applyFont="1" applyFill="1" applyAlignment="1">
      <alignment horizontal="left" vertical="top" wrapText="1"/>
    </xf>
    <xf numFmtId="0" fontId="22" fillId="33" borderId="0" xfId="0" applyFont="1" applyFill="1" applyAlignment="1">
      <alignment wrapText="1"/>
    </xf>
    <xf numFmtId="0" fontId="22" fillId="31" borderId="0" xfId="0" applyFont="1" applyFill="1" applyAlignment="1">
      <alignment wrapText="1"/>
    </xf>
    <xf numFmtId="166" fontId="22" fillId="33" borderId="0" xfId="1" applyNumberFormat="1" applyFont="1" applyFill="1" applyAlignment="1">
      <alignment horizontal="center" vertical="center"/>
    </xf>
    <xf numFmtId="49" fontId="7" fillId="31" borderId="0" xfId="0" applyNumberFormat="1" applyFont="1" applyFill="1" applyAlignment="1">
      <alignment horizontal="left" vertical="top"/>
    </xf>
    <xf numFmtId="164" fontId="7" fillId="31" borderId="0" xfId="0" applyNumberFormat="1" applyFont="1" applyFill="1" applyAlignment="1">
      <alignment horizontal="right" vertical="top"/>
    </xf>
    <xf numFmtId="167" fontId="7" fillId="11" borderId="0" xfId="0" applyNumberFormat="1" applyFont="1" applyFill="1"/>
    <xf numFmtId="0" fontId="8" fillId="2" borderId="0" xfId="0" applyFont="1" applyFill="1" applyAlignment="1">
      <alignment wrapText="1"/>
    </xf>
    <xf numFmtId="0" fontId="7" fillId="0" borderId="0" xfId="0" applyFont="1"/>
    <xf numFmtId="0" fontId="7" fillId="0" borderId="0" xfId="0" applyFont="1" applyAlignment="1">
      <alignment horizontal="right"/>
    </xf>
    <xf numFmtId="0" fontId="7" fillId="25" borderId="0" xfId="0" applyFont="1" applyFill="1" applyAlignment="1">
      <alignment horizontal="center" vertical="center" wrapText="1"/>
    </xf>
    <xf numFmtId="0" fontId="7" fillId="31" borderId="0" xfId="0" applyFont="1" applyFill="1" applyAlignment="1">
      <alignment horizontal="center" vertical="center" wrapText="1"/>
    </xf>
    <xf numFmtId="0" fontId="7" fillId="32" borderId="0" xfId="0" applyFont="1" applyFill="1" applyAlignment="1">
      <alignment horizontal="center" vertical="center" wrapText="1"/>
    </xf>
  </cellXfs>
  <cellStyles count="14">
    <cellStyle name="40% - Énfasis4" xfId="8" builtinId="43"/>
    <cellStyle name="60% - Énfasis2" xfId="5" builtinId="36"/>
    <cellStyle name="Bueno" xfId="9" builtinId="26"/>
    <cellStyle name="Cálculo" xfId="10" builtinId="22"/>
    <cellStyle name="Énfasis2" xfId="4" builtinId="33"/>
    <cellStyle name="Énfasis3" xfId="6" builtinId="37"/>
    <cellStyle name="Énfasis4" xfId="7" builtinId="41"/>
    <cellStyle name="Entrada" xfId="3" builtinId="20"/>
    <cellStyle name="Millares" xfId="11" builtinId="3"/>
    <cellStyle name="Neutral" xfId="2" builtinId="28"/>
    <cellStyle name="Normal" xfId="0" builtinId="0"/>
    <cellStyle name="Normal 2 2" xfId="12" xr:uid="{00000000-0005-0000-0000-00000B000000}"/>
    <cellStyle name="Porcentaje" xfId="1" builtinId="5"/>
    <cellStyle name="Porcentaje 2 2 2" xfId="13" xr:uid="{00000000-0005-0000-0000-00000D000000}"/>
  </cellStyles>
  <dxfs count="0"/>
  <tableStyles count="0" defaultTableStyle="Table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9525</xdr:colOff>
      <xdr:row>0</xdr:row>
      <xdr:rowOff>9525</xdr:rowOff>
    </xdr:from>
    <xdr:ext cx="1409700" cy="561975"/>
    <xdr:pic>
      <xdr:nvPicPr>
        <xdr:cNvPr id="2" name="Imagen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0" cy="0"/>
        </a:xfrm>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828282"/>
  </sheetPr>
  <dimension ref="A1:K119"/>
  <sheetViews>
    <sheetView showGridLines="0" zoomScale="130" zoomScaleNormal="130" workbookViewId="0">
      <selection activeCell="B69" sqref="B69"/>
    </sheetView>
  </sheetViews>
  <sheetFormatPr baseColWidth="10" defaultColWidth="8.7109375" defaultRowHeight="15.75" x14ac:dyDescent="0.25"/>
  <cols>
    <col min="1" max="1" width="55.140625" style="1" customWidth="1"/>
    <col min="2" max="2" width="14.5703125" style="1" customWidth="1"/>
    <col min="3" max="3" width="13.7109375" style="1" hidden="1" customWidth="1"/>
    <col min="4" max="4" width="13.42578125" style="1" customWidth="1"/>
    <col min="5" max="7" width="20" style="1" hidden="1" customWidth="1"/>
    <col min="8" max="8" width="7.85546875" style="1" customWidth="1"/>
    <col min="9" max="9" width="10.42578125" style="1" bestFit="1" customWidth="1"/>
    <col min="10" max="10" width="13.85546875" style="1" bestFit="1" customWidth="1"/>
    <col min="11" max="16384" width="8.7109375" style="1"/>
  </cols>
  <sheetData>
    <row r="1" spans="1:9" x14ac:dyDescent="0.25">
      <c r="A1" s="178"/>
      <c r="B1" s="178"/>
      <c r="C1" s="178"/>
      <c r="D1" s="178"/>
    </row>
    <row r="2" spans="1:9" x14ac:dyDescent="0.25">
      <c r="A2" s="178"/>
      <c r="B2" s="178"/>
      <c r="C2" s="178"/>
      <c r="D2" s="178"/>
      <c r="E2" s="179" t="s">
        <v>0</v>
      </c>
      <c r="F2" s="179"/>
      <c r="G2" s="179"/>
      <c r="H2" s="179"/>
      <c r="I2" s="179"/>
    </row>
    <row r="3" spans="1:9" x14ac:dyDescent="0.25">
      <c r="A3" s="178"/>
      <c r="B3" s="178"/>
      <c r="C3" s="178"/>
      <c r="D3" s="178"/>
      <c r="E3" s="179" t="s">
        <v>1</v>
      </c>
      <c r="F3" s="179"/>
      <c r="G3" s="179"/>
      <c r="H3" s="179"/>
      <c r="I3" s="179"/>
    </row>
    <row r="4" spans="1:9" x14ac:dyDescent="0.25">
      <c r="A4" s="178"/>
      <c r="B4" s="178"/>
      <c r="C4" s="178"/>
      <c r="D4" s="178"/>
      <c r="E4" s="179" t="s">
        <v>2</v>
      </c>
      <c r="F4" s="179"/>
      <c r="G4" s="179"/>
      <c r="H4" s="179"/>
      <c r="I4" s="179"/>
    </row>
    <row r="5" spans="1:9" x14ac:dyDescent="0.25">
      <c r="A5" s="178"/>
      <c r="B5" s="178"/>
      <c r="C5" s="178"/>
      <c r="D5" s="178"/>
      <c r="E5" s="179" t="s">
        <v>3</v>
      </c>
      <c r="F5" s="179"/>
      <c r="G5" s="179"/>
      <c r="H5" s="179"/>
      <c r="I5" s="179"/>
    </row>
    <row r="7" spans="1:9" ht="20.100000000000001" customHeight="1" x14ac:dyDescent="0.25">
      <c r="A7" s="177" t="s">
        <v>4</v>
      </c>
      <c r="B7" s="178"/>
      <c r="C7" s="178"/>
      <c r="D7" s="178"/>
      <c r="E7" s="178"/>
      <c r="F7" s="178"/>
      <c r="G7" s="178"/>
      <c r="H7" s="178"/>
      <c r="I7" s="178"/>
    </row>
    <row r="8" spans="1:9" x14ac:dyDescent="0.25">
      <c r="A8" s="1" t="s">
        <v>5</v>
      </c>
    </row>
    <row r="10" spans="1:9" x14ac:dyDescent="0.25">
      <c r="A10" s="2" t="s">
        <v>6</v>
      </c>
      <c r="B10" s="3" t="s">
        <v>7</v>
      </c>
      <c r="C10" s="3"/>
      <c r="D10" s="3" t="s">
        <v>7</v>
      </c>
      <c r="E10" s="3" t="s">
        <v>7</v>
      </c>
      <c r="F10" s="3" t="s">
        <v>7</v>
      </c>
      <c r="G10" s="3" t="s">
        <v>7</v>
      </c>
      <c r="H10" s="3"/>
    </row>
    <row r="11" spans="1:9" x14ac:dyDescent="0.25">
      <c r="A11" s="4" t="s">
        <v>8</v>
      </c>
      <c r="B11" s="5" t="s">
        <v>9</v>
      </c>
      <c r="C11" s="5"/>
      <c r="D11" s="5" t="s">
        <v>10</v>
      </c>
      <c r="E11" s="5" t="s">
        <v>11</v>
      </c>
      <c r="F11" s="5" t="s">
        <v>12</v>
      </c>
      <c r="G11" s="5" t="s">
        <v>13</v>
      </c>
      <c r="H11" s="5"/>
    </row>
    <row r="12" spans="1:9" x14ac:dyDescent="0.25">
      <c r="A12" s="2" t="s">
        <v>14</v>
      </c>
      <c r="B12" s="3" t="s">
        <v>15</v>
      </c>
      <c r="C12" s="3"/>
      <c r="D12" s="3" t="s">
        <v>15</v>
      </c>
      <c r="E12" s="3" t="s">
        <v>15</v>
      </c>
      <c r="F12" s="3" t="s">
        <v>15</v>
      </c>
      <c r="G12" s="3" t="s">
        <v>15</v>
      </c>
      <c r="H12" s="3"/>
    </row>
    <row r="15" spans="1:9" x14ac:dyDescent="0.25">
      <c r="A15" s="6" t="s">
        <v>16</v>
      </c>
      <c r="B15" s="7">
        <v>2021</v>
      </c>
      <c r="C15" s="7" t="s">
        <v>117</v>
      </c>
      <c r="D15" s="7">
        <v>2020</v>
      </c>
      <c r="E15" s="7">
        <v>2019</v>
      </c>
      <c r="F15" s="7">
        <v>2018</v>
      </c>
      <c r="G15" s="7">
        <v>2017</v>
      </c>
      <c r="H15" s="33"/>
    </row>
    <row r="16" spans="1:9" x14ac:dyDescent="0.25">
      <c r="A16" s="2" t="s">
        <v>17</v>
      </c>
      <c r="B16" s="8">
        <v>16893034.66</v>
      </c>
      <c r="C16" s="8"/>
      <c r="D16" s="8">
        <v>12605085.18</v>
      </c>
      <c r="E16" s="8">
        <v>17088111.690000001</v>
      </c>
      <c r="F16" s="8">
        <v>14856517.800000001</v>
      </c>
      <c r="G16" s="8">
        <v>12465597.52</v>
      </c>
      <c r="H16" s="8"/>
    </row>
    <row r="17" spans="1:10" x14ac:dyDescent="0.25">
      <c r="A17" s="9" t="s">
        <v>18</v>
      </c>
      <c r="B17" s="10">
        <v>16823499.829999998</v>
      </c>
      <c r="C17" s="10"/>
      <c r="D17" s="10">
        <v>12579288.699999999</v>
      </c>
      <c r="E17" s="11">
        <v>17039798.100000001</v>
      </c>
      <c r="F17" s="11">
        <v>14733960.039999999</v>
      </c>
      <c r="G17" s="11">
        <v>12440020.59</v>
      </c>
      <c r="H17" s="11"/>
    </row>
    <row r="18" spans="1:10" x14ac:dyDescent="0.25">
      <c r="A18" s="2" t="s">
        <v>19</v>
      </c>
      <c r="B18" s="8">
        <v>-15365206.18</v>
      </c>
      <c r="C18" s="52"/>
      <c r="D18" s="8">
        <v>-11590213.720000001</v>
      </c>
      <c r="E18" s="8">
        <v>-15694467</v>
      </c>
      <c r="F18" s="8">
        <v>-13585091.119999999</v>
      </c>
      <c r="G18" s="8">
        <v>-11367569.390000001</v>
      </c>
      <c r="H18" s="8"/>
    </row>
    <row r="19" spans="1:10" x14ac:dyDescent="0.25">
      <c r="A19" s="12" t="s">
        <v>20</v>
      </c>
      <c r="B19" s="13">
        <f>+B17+B18</f>
        <v>1458293.6499999985</v>
      </c>
      <c r="C19" s="13"/>
      <c r="D19" s="13">
        <v>989074.97</v>
      </c>
      <c r="E19" s="13">
        <v>1345331.11</v>
      </c>
      <c r="F19" s="13">
        <v>1148868.92</v>
      </c>
      <c r="G19" s="13">
        <v>1072451.2</v>
      </c>
      <c r="H19" s="13" t="s">
        <v>118</v>
      </c>
      <c r="I19" s="14">
        <f>+D19/D17</f>
        <v>7.8627257358359223E-2</v>
      </c>
      <c r="J19" s="14">
        <f>+B19/B17</f>
        <v>8.6681942802385295E-2</v>
      </c>
    </row>
    <row r="20" spans="1:10" x14ac:dyDescent="0.25">
      <c r="A20" s="2" t="s">
        <v>21</v>
      </c>
      <c r="B20" s="8">
        <v>-671638.2</v>
      </c>
      <c r="C20" s="8"/>
      <c r="D20" s="8">
        <v>-619935.61</v>
      </c>
      <c r="E20" s="8">
        <v>-659902.31000000006</v>
      </c>
      <c r="F20" s="8">
        <v>-595624.41</v>
      </c>
      <c r="G20" s="8">
        <v>-518871.56</v>
      </c>
      <c r="H20" s="8"/>
    </row>
    <row r="21" spans="1:10" x14ac:dyDescent="0.25">
      <c r="A21" s="4" t="s">
        <v>22</v>
      </c>
      <c r="B21" s="11">
        <v>-190576.99</v>
      </c>
      <c r="C21" s="11"/>
      <c r="D21" s="11">
        <v>-165645.48000000001</v>
      </c>
      <c r="E21" s="11">
        <v>-170996.42</v>
      </c>
      <c r="F21" s="11">
        <v>-143555.28</v>
      </c>
      <c r="G21" s="11">
        <v>-131969.53</v>
      </c>
      <c r="H21" s="11"/>
    </row>
    <row r="22" spans="1:10" x14ac:dyDescent="0.25">
      <c r="A22" s="2" t="s">
        <v>23</v>
      </c>
      <c r="B22" s="8">
        <v>-8368.25</v>
      </c>
      <c r="C22" s="8"/>
      <c r="D22" s="8">
        <v>-33397.15</v>
      </c>
      <c r="E22" s="8">
        <v>-26489.09</v>
      </c>
      <c r="F22" s="8">
        <v>-116042.87</v>
      </c>
      <c r="G22" s="8">
        <v>-34300.89</v>
      </c>
      <c r="H22" s="8"/>
    </row>
    <row r="23" spans="1:10" x14ac:dyDescent="0.25">
      <c r="A23" s="4" t="s">
        <v>24</v>
      </c>
      <c r="B23" s="11">
        <v>69534.83</v>
      </c>
      <c r="C23" s="11"/>
      <c r="D23" s="11">
        <v>25796.48</v>
      </c>
      <c r="E23" s="11">
        <v>48313.58</v>
      </c>
      <c r="F23" s="11">
        <v>122557.75999999999</v>
      </c>
      <c r="G23" s="11">
        <v>25576.93</v>
      </c>
      <c r="H23" s="11"/>
    </row>
    <row r="24" spans="1:10" x14ac:dyDescent="0.25">
      <c r="A24" s="2" t="s">
        <v>25</v>
      </c>
      <c r="B24" s="8">
        <v>-77903.08</v>
      </c>
      <c r="C24" s="8"/>
      <c r="D24" s="8">
        <v>-59193.63</v>
      </c>
      <c r="E24" s="8">
        <v>-74802.67</v>
      </c>
      <c r="F24" s="8">
        <v>-238600.63</v>
      </c>
      <c r="G24" s="8">
        <v>-59877.82</v>
      </c>
      <c r="H24" s="8"/>
    </row>
    <row r="25" spans="1:10" x14ac:dyDescent="0.25">
      <c r="A25" s="15" t="s">
        <v>26</v>
      </c>
      <c r="B25" s="16">
        <v>587710.21</v>
      </c>
      <c r="C25" s="16"/>
      <c r="D25" s="16">
        <v>170096.74</v>
      </c>
      <c r="E25" s="11">
        <v>487943.29</v>
      </c>
      <c r="F25" s="11">
        <v>293646.37</v>
      </c>
      <c r="G25" s="11">
        <v>387309.22</v>
      </c>
      <c r="H25" s="11" t="s">
        <v>119</v>
      </c>
      <c r="I25" s="17">
        <f>+B19+B20+B21+B23+B24</f>
        <v>587710.20999999857</v>
      </c>
      <c r="J25" s="88">
        <f>+B25*3</f>
        <v>1763130.63</v>
      </c>
    </row>
    <row r="26" spans="1:10" x14ac:dyDescent="0.25">
      <c r="A26" s="2" t="s">
        <v>27</v>
      </c>
      <c r="B26" s="8">
        <v>-31772</v>
      </c>
      <c r="C26" s="8"/>
      <c r="D26" s="8">
        <v>-201372.18</v>
      </c>
      <c r="E26" s="8">
        <v>-135928.82</v>
      </c>
      <c r="F26" s="8">
        <v>-149708.16</v>
      </c>
      <c r="G26" s="8">
        <v>-51070.239999999998</v>
      </c>
      <c r="H26" s="8"/>
      <c r="J26" s="88">
        <f>+B25*15</f>
        <v>8815653.1499999985</v>
      </c>
    </row>
    <row r="27" spans="1:10" x14ac:dyDescent="0.25">
      <c r="A27" s="4" t="s">
        <v>28</v>
      </c>
      <c r="B27" s="11">
        <v>11965.42</v>
      </c>
      <c r="C27" s="11"/>
      <c r="D27" s="11">
        <v>12922.8</v>
      </c>
      <c r="E27" s="11">
        <v>7181.21</v>
      </c>
      <c r="F27" s="11">
        <v>6334.81</v>
      </c>
      <c r="G27" s="11">
        <v>8040.3</v>
      </c>
      <c r="H27" s="11"/>
    </row>
    <row r="28" spans="1:10" x14ac:dyDescent="0.25">
      <c r="A28" s="2" t="s">
        <v>29</v>
      </c>
      <c r="B28" s="8">
        <v>-163113.32999999999</v>
      </c>
      <c r="C28" s="8"/>
      <c r="D28" s="8">
        <v>-176649.07</v>
      </c>
      <c r="E28" s="8">
        <v>-183904.26</v>
      </c>
      <c r="F28" s="8">
        <v>-178965.45</v>
      </c>
      <c r="G28" s="8">
        <v>-86769.58</v>
      </c>
      <c r="H28" s="8"/>
    </row>
    <row r="29" spans="1:10" x14ac:dyDescent="0.25">
      <c r="A29" s="18" t="s">
        <v>30</v>
      </c>
      <c r="B29" s="19">
        <v>119375.91</v>
      </c>
      <c r="C29" s="19"/>
      <c r="D29" s="19">
        <v>-37645.910000000003</v>
      </c>
      <c r="E29" s="11">
        <v>40794.22</v>
      </c>
      <c r="F29" s="11">
        <v>22922.48</v>
      </c>
      <c r="G29" s="11">
        <v>27659.040000000001</v>
      </c>
      <c r="H29" s="35" t="s">
        <v>121</v>
      </c>
    </row>
    <row r="30" spans="1:10" x14ac:dyDescent="0.25">
      <c r="A30" s="20" t="s">
        <v>31</v>
      </c>
      <c r="B30" s="21">
        <f>+B25+B26</f>
        <v>555938.21</v>
      </c>
      <c r="C30" s="21"/>
      <c r="D30" s="21">
        <v>-31275.439999999999</v>
      </c>
      <c r="E30" s="8">
        <v>352014.47</v>
      </c>
      <c r="F30" s="8">
        <v>143938.21</v>
      </c>
      <c r="G30" s="8">
        <v>336238.98</v>
      </c>
      <c r="H30" s="8" t="s">
        <v>120</v>
      </c>
      <c r="I30" s="17">
        <f>+B25+B27+B28+B29</f>
        <v>555938.21000000008</v>
      </c>
    </row>
    <row r="31" spans="1:10" x14ac:dyDescent="0.25">
      <c r="A31" s="4" t="s">
        <v>32</v>
      </c>
      <c r="B31" s="11">
        <v>-180216.51</v>
      </c>
      <c r="C31" s="11"/>
      <c r="D31" s="11">
        <v>-8462.81</v>
      </c>
      <c r="E31" s="11">
        <v>-114094.8</v>
      </c>
      <c r="F31" s="11">
        <v>-10196.86</v>
      </c>
      <c r="G31" s="11">
        <v>-140957.76999999999</v>
      </c>
      <c r="H31" s="36">
        <v>0.35</v>
      </c>
      <c r="I31" s="22">
        <f>+B30*35%</f>
        <v>194578.37349999999</v>
      </c>
      <c r="J31" s="23">
        <f>+I31/B30</f>
        <v>0.35</v>
      </c>
    </row>
    <row r="32" spans="1:10" x14ac:dyDescent="0.25">
      <c r="A32" s="2" t="s">
        <v>33</v>
      </c>
      <c r="B32" s="8">
        <v>375721.71</v>
      </c>
      <c r="C32" s="8"/>
      <c r="D32" s="8">
        <v>-39738.25</v>
      </c>
      <c r="E32" s="8">
        <v>237919.67</v>
      </c>
      <c r="F32" s="8">
        <v>133741.35</v>
      </c>
      <c r="G32" s="8">
        <v>195281.21</v>
      </c>
      <c r="H32" s="8"/>
      <c r="J32" s="23">
        <f>-B31/B30</f>
        <v>0.32416643928827993</v>
      </c>
    </row>
    <row r="33" spans="1:9" x14ac:dyDescent="0.25">
      <c r="A33" s="24" t="s">
        <v>34</v>
      </c>
      <c r="B33" s="25">
        <f>+B30+B31</f>
        <v>375721.69999999995</v>
      </c>
      <c r="C33" s="25"/>
      <c r="D33" s="25">
        <v>-39738.25</v>
      </c>
      <c r="E33" s="11">
        <v>237919.67</v>
      </c>
      <c r="F33" s="11">
        <v>133741.35</v>
      </c>
      <c r="G33" s="11">
        <v>195281.21</v>
      </c>
      <c r="H33" s="11" t="s">
        <v>122</v>
      </c>
    </row>
    <row r="34" spans="1:9" x14ac:dyDescent="0.25">
      <c r="B34" s="17">
        <f>+B30+B31</f>
        <v>375721.69999999995</v>
      </c>
      <c r="C34" s="17"/>
    </row>
    <row r="36" spans="1:9" x14ac:dyDescent="0.25">
      <c r="A36" s="6" t="s">
        <v>116</v>
      </c>
      <c r="B36" s="7">
        <v>2021</v>
      </c>
      <c r="C36" s="7"/>
      <c r="D36" s="7">
        <v>2020</v>
      </c>
      <c r="E36" s="7">
        <v>2019</v>
      </c>
      <c r="F36" s="7">
        <v>2018</v>
      </c>
      <c r="G36" s="7">
        <v>2017</v>
      </c>
      <c r="H36" s="33"/>
    </row>
    <row r="37" spans="1:9" x14ac:dyDescent="0.25">
      <c r="A37" s="4" t="s">
        <v>35</v>
      </c>
      <c r="B37" s="11">
        <v>6336788.1500000004</v>
      </c>
      <c r="C37" s="11"/>
      <c r="D37" s="11">
        <v>5631290.9199999999</v>
      </c>
      <c r="E37" s="11">
        <v>5761315.8600000003</v>
      </c>
      <c r="F37" s="11">
        <v>5488095.6900000004</v>
      </c>
      <c r="G37" s="11">
        <v>3863475.15</v>
      </c>
      <c r="H37" s="11"/>
      <c r="I37" s="17">
        <f>+B37-B69</f>
        <v>2574977.6300000004</v>
      </c>
    </row>
    <row r="38" spans="1:9" x14ac:dyDescent="0.25">
      <c r="A38" s="26" t="s">
        <v>36</v>
      </c>
      <c r="B38" s="8">
        <v>4420021.95</v>
      </c>
      <c r="C38" s="8"/>
      <c r="D38" s="8">
        <v>4081636.06</v>
      </c>
      <c r="E38" s="8">
        <v>4148814.25</v>
      </c>
      <c r="F38" s="8">
        <v>3909790.25</v>
      </c>
      <c r="G38" s="8">
        <v>2552711.85</v>
      </c>
      <c r="H38" s="8"/>
    </row>
    <row r="39" spans="1:9" x14ac:dyDescent="0.25">
      <c r="A39" s="4" t="s">
        <v>37</v>
      </c>
      <c r="B39" s="11">
        <v>2123183.09</v>
      </c>
      <c r="C39" s="11"/>
      <c r="D39" s="11">
        <v>1851980.08</v>
      </c>
      <c r="E39" s="11">
        <v>1821369.98</v>
      </c>
      <c r="F39" s="11">
        <v>1515895.03</v>
      </c>
      <c r="G39" s="11">
        <v>1305818.77</v>
      </c>
      <c r="H39" s="11"/>
    </row>
    <row r="40" spans="1:9" x14ac:dyDescent="0.25">
      <c r="A40" s="2" t="s">
        <v>38</v>
      </c>
      <c r="B40" s="8">
        <v>492610.19</v>
      </c>
      <c r="C40" s="8"/>
      <c r="D40" s="8">
        <v>909940.33</v>
      </c>
      <c r="E40" s="8">
        <v>934225.94</v>
      </c>
      <c r="F40" s="8">
        <v>961443.05</v>
      </c>
      <c r="G40" s="8">
        <v>786533.04</v>
      </c>
      <c r="H40" s="8"/>
    </row>
    <row r="41" spans="1:9" x14ac:dyDescent="0.25">
      <c r="A41" s="4" t="s">
        <v>39</v>
      </c>
      <c r="B41" s="11">
        <v>228932.47</v>
      </c>
      <c r="C41" s="11"/>
      <c r="D41" s="11">
        <v>228932.47</v>
      </c>
      <c r="E41" s="11">
        <v>228932.47</v>
      </c>
      <c r="F41" s="11">
        <v>228932.47</v>
      </c>
      <c r="G41" s="11">
        <v>306031.99</v>
      </c>
      <c r="H41" s="11"/>
    </row>
    <row r="42" spans="1:9" x14ac:dyDescent="0.25">
      <c r="A42" s="2" t="s">
        <v>40</v>
      </c>
      <c r="B42" s="8">
        <v>263677.71999999997</v>
      </c>
      <c r="C42" s="8"/>
      <c r="D42" s="8">
        <v>681007.86</v>
      </c>
      <c r="E42" s="8">
        <v>705293.47</v>
      </c>
      <c r="F42" s="8">
        <v>732510.58</v>
      </c>
      <c r="G42" s="8">
        <v>480501.05</v>
      </c>
      <c r="H42" s="8"/>
    </row>
    <row r="43" spans="1:9" x14ac:dyDescent="0.25">
      <c r="A43" s="4" t="s">
        <v>41</v>
      </c>
      <c r="B43" s="11">
        <v>5667.5</v>
      </c>
      <c r="C43" s="11"/>
      <c r="D43" s="11">
        <v>7224.31</v>
      </c>
      <c r="E43" s="11">
        <v>8566.3799999999992</v>
      </c>
      <c r="F43" s="11">
        <v>9723.33</v>
      </c>
      <c r="G43" s="11">
        <v>10472.59</v>
      </c>
      <c r="H43" s="11"/>
    </row>
    <row r="44" spans="1:9" x14ac:dyDescent="0.25">
      <c r="A44" s="2" t="s">
        <v>42</v>
      </c>
      <c r="B44" s="8">
        <v>5667.5</v>
      </c>
      <c r="C44" s="8"/>
      <c r="D44" s="8">
        <v>7224.31</v>
      </c>
      <c r="E44" s="8">
        <v>8566.3799999999992</v>
      </c>
      <c r="F44" s="8">
        <v>9723.33</v>
      </c>
      <c r="G44" s="8">
        <v>10472.59</v>
      </c>
      <c r="H44" s="8"/>
    </row>
    <row r="45" spans="1:9" x14ac:dyDescent="0.25">
      <c r="A45" s="4" t="s">
        <v>43</v>
      </c>
      <c r="B45" s="11">
        <v>1796703.57</v>
      </c>
      <c r="C45" s="11"/>
      <c r="D45" s="11">
        <v>1311438.46</v>
      </c>
      <c r="E45" s="11">
        <v>1352259.81</v>
      </c>
      <c r="F45" s="11">
        <v>1390596.73</v>
      </c>
      <c r="G45" s="11">
        <v>418554.35</v>
      </c>
      <c r="H45" s="11"/>
    </row>
    <row r="46" spans="1:9" x14ac:dyDescent="0.25">
      <c r="A46" s="2" t="s">
        <v>44</v>
      </c>
      <c r="B46" s="8">
        <v>5450.98</v>
      </c>
      <c r="C46" s="8"/>
      <c r="D46" s="8">
        <v>5523</v>
      </c>
      <c r="E46" s="8">
        <v>5922.12</v>
      </c>
      <c r="F46" s="8">
        <v>5958.73</v>
      </c>
      <c r="G46" s="8">
        <v>5967.92</v>
      </c>
      <c r="H46" s="8"/>
    </row>
    <row r="47" spans="1:9" x14ac:dyDescent="0.25">
      <c r="A47" s="4" t="s">
        <v>45</v>
      </c>
      <c r="B47" s="11">
        <v>1791252.58</v>
      </c>
      <c r="C47" s="11"/>
      <c r="D47" s="11">
        <v>1305915.45</v>
      </c>
      <c r="E47" s="11">
        <v>1346337.7</v>
      </c>
      <c r="F47" s="11">
        <v>1384638</v>
      </c>
      <c r="G47" s="11">
        <v>412586.43</v>
      </c>
      <c r="H47" s="11"/>
    </row>
    <row r="48" spans="1:9" x14ac:dyDescent="0.25">
      <c r="A48" s="2" t="s">
        <v>46</v>
      </c>
      <c r="B48" s="8">
        <v>1857.61</v>
      </c>
      <c r="C48" s="8"/>
      <c r="D48" s="8">
        <v>1052.8800000000001</v>
      </c>
      <c r="E48" s="8">
        <v>32392.14</v>
      </c>
      <c r="F48" s="8">
        <v>32132.11</v>
      </c>
      <c r="G48" s="8">
        <v>31333.1</v>
      </c>
      <c r="H48" s="8"/>
    </row>
    <row r="49" spans="1:8" x14ac:dyDescent="0.25">
      <c r="A49" s="27" t="s">
        <v>47</v>
      </c>
      <c r="B49" s="11">
        <v>1916766.2</v>
      </c>
      <c r="C49" s="11"/>
      <c r="D49" s="11">
        <v>1549654.87</v>
      </c>
      <c r="E49" s="11">
        <v>1612501.61</v>
      </c>
      <c r="F49" s="11">
        <v>1578305.44</v>
      </c>
      <c r="G49" s="11">
        <v>1310763.3</v>
      </c>
      <c r="H49" s="11"/>
    </row>
    <row r="50" spans="1:8" x14ac:dyDescent="0.25">
      <c r="A50" s="2" t="s">
        <v>48</v>
      </c>
      <c r="B50" s="8">
        <v>705677.94</v>
      </c>
      <c r="C50" s="8"/>
      <c r="D50" s="8">
        <v>626940.23</v>
      </c>
      <c r="E50" s="8">
        <v>708559.5</v>
      </c>
      <c r="F50" s="8">
        <v>666644.24</v>
      </c>
      <c r="G50" s="8">
        <v>547487.23</v>
      </c>
      <c r="H50" s="8"/>
    </row>
    <row r="51" spans="1:8" x14ac:dyDescent="0.25">
      <c r="A51" s="4" t="s">
        <v>49</v>
      </c>
      <c r="B51" s="11">
        <v>609886.55000000005</v>
      </c>
      <c r="C51" s="11"/>
      <c r="D51" s="11">
        <v>461681.58</v>
      </c>
      <c r="E51" s="11">
        <v>645243.68000000005</v>
      </c>
      <c r="F51" s="11">
        <v>623817.37</v>
      </c>
      <c r="G51" s="11">
        <v>526638.35</v>
      </c>
      <c r="H51" s="11"/>
    </row>
    <row r="52" spans="1:8" x14ac:dyDescent="0.25">
      <c r="A52" s="28" t="s">
        <v>50</v>
      </c>
      <c r="B52" s="8">
        <v>534184.89</v>
      </c>
      <c r="C52" s="8"/>
      <c r="D52" s="8">
        <v>379531.22</v>
      </c>
      <c r="E52" s="8">
        <v>527771.38</v>
      </c>
      <c r="F52" s="8">
        <v>506617.84</v>
      </c>
      <c r="G52" s="8">
        <v>393885.93</v>
      </c>
      <c r="H52" s="8"/>
    </row>
    <row r="53" spans="1:8" x14ac:dyDescent="0.25">
      <c r="A53" s="4" t="s">
        <v>51</v>
      </c>
      <c r="B53" s="11">
        <v>63793.77</v>
      </c>
      <c r="C53" s="11"/>
      <c r="D53" s="11">
        <v>32998.57</v>
      </c>
      <c r="E53" s="11">
        <v>56389.919999999998</v>
      </c>
      <c r="F53" s="11">
        <v>41808.33</v>
      </c>
      <c r="G53" s="11">
        <v>43933.71</v>
      </c>
      <c r="H53" s="11"/>
    </row>
    <row r="54" spans="1:8" x14ac:dyDescent="0.25">
      <c r="A54" s="2" t="s">
        <v>52</v>
      </c>
      <c r="B54" s="8">
        <v>11907.89</v>
      </c>
      <c r="C54" s="8"/>
      <c r="D54" s="8">
        <v>49151.79</v>
      </c>
      <c r="E54" s="8">
        <v>61082.38</v>
      </c>
      <c r="F54" s="8">
        <v>75391.199999999997</v>
      </c>
      <c r="G54" s="8">
        <v>88818.71</v>
      </c>
      <c r="H54" s="8"/>
    </row>
    <row r="55" spans="1:8" x14ac:dyDescent="0.25">
      <c r="A55" s="4" t="s">
        <v>53</v>
      </c>
      <c r="B55" s="11">
        <v>59746.54</v>
      </c>
      <c r="C55" s="11"/>
      <c r="D55" s="29">
        <v>0</v>
      </c>
      <c r="E55" s="29">
        <v>0</v>
      </c>
      <c r="F55" s="29">
        <v>0</v>
      </c>
      <c r="G55" s="29">
        <v>0</v>
      </c>
      <c r="H55" s="29"/>
    </row>
    <row r="56" spans="1:8" x14ac:dyDescent="0.25">
      <c r="A56" s="2" t="s">
        <v>54</v>
      </c>
      <c r="B56" s="8">
        <v>59746.54</v>
      </c>
      <c r="C56" s="8"/>
      <c r="D56" s="30">
        <v>0</v>
      </c>
      <c r="E56" s="30">
        <v>0</v>
      </c>
      <c r="F56" s="30">
        <v>0</v>
      </c>
      <c r="G56" s="30">
        <v>0</v>
      </c>
      <c r="H56" s="30"/>
    </row>
    <row r="57" spans="1:8" x14ac:dyDescent="0.25">
      <c r="A57" s="28" t="s">
        <v>55</v>
      </c>
      <c r="B57" s="53">
        <v>476940.97</v>
      </c>
      <c r="C57" s="11"/>
      <c r="D57" s="87">
        <v>411113.34</v>
      </c>
      <c r="E57" s="11">
        <v>180999.86</v>
      </c>
      <c r="F57" s="11">
        <v>224085.83</v>
      </c>
      <c r="G57" s="11">
        <v>162428.71</v>
      </c>
      <c r="H57" s="11"/>
    </row>
    <row r="58" spans="1:8" x14ac:dyDescent="0.25">
      <c r="A58" s="2" t="s">
        <v>56</v>
      </c>
      <c r="B58" s="8">
        <v>62860.31</v>
      </c>
      <c r="C58" s="8"/>
      <c r="D58" s="8">
        <v>49919.72</v>
      </c>
      <c r="E58" s="8">
        <v>77698.570000000007</v>
      </c>
      <c r="F58" s="8">
        <v>63758</v>
      </c>
      <c r="G58" s="8">
        <v>72814.62</v>
      </c>
      <c r="H58" s="8"/>
    </row>
    <row r="59" spans="1:8" x14ac:dyDescent="0.25">
      <c r="A59" s="4" t="s">
        <v>57</v>
      </c>
      <c r="B59" s="11">
        <v>1653.89</v>
      </c>
      <c r="C59" s="11"/>
      <c r="D59" s="29">
        <v>0</v>
      </c>
      <c r="E59" s="29">
        <v>0</v>
      </c>
      <c r="F59" s="29">
        <v>0</v>
      </c>
      <c r="G59" s="11">
        <v>1394.39</v>
      </c>
      <c r="H59" s="11"/>
    </row>
    <row r="60" spans="1:8" x14ac:dyDescent="0.25">
      <c r="A60" s="2" t="s">
        <v>58</v>
      </c>
      <c r="B60" s="8">
        <v>6336788.1500000004</v>
      </c>
      <c r="C60" s="8"/>
      <c r="D60" s="8">
        <v>5631290.9199999999</v>
      </c>
      <c r="E60" s="8">
        <v>5761315.8600000003</v>
      </c>
      <c r="F60" s="8">
        <v>5488095.6900000004</v>
      </c>
      <c r="G60" s="8">
        <v>3863475.15</v>
      </c>
      <c r="H60" s="8"/>
    </row>
    <row r="61" spans="1:8" x14ac:dyDescent="0.25">
      <c r="A61" s="4" t="s">
        <v>59</v>
      </c>
      <c r="B61" s="11">
        <v>2574977.63</v>
      </c>
      <c r="C61" s="11"/>
      <c r="D61" s="11">
        <v>1998374.48</v>
      </c>
      <c r="E61" s="11">
        <v>2130130.81</v>
      </c>
      <c r="F61" s="11">
        <v>1962597.23</v>
      </c>
      <c r="G61" s="11">
        <v>1677263.03</v>
      </c>
      <c r="H61" s="11"/>
    </row>
    <row r="62" spans="1:8" x14ac:dyDescent="0.25">
      <c r="A62" s="2" t="s">
        <v>60</v>
      </c>
      <c r="B62" s="8">
        <v>2574977.63</v>
      </c>
      <c r="C62" s="8"/>
      <c r="D62" s="8">
        <v>1998374.48</v>
      </c>
      <c r="E62" s="8">
        <v>2130130.81</v>
      </c>
      <c r="F62" s="8">
        <v>1962597.23</v>
      </c>
      <c r="G62" s="8">
        <v>1677263.03</v>
      </c>
      <c r="H62" s="8"/>
    </row>
    <row r="63" spans="1:8" x14ac:dyDescent="0.25">
      <c r="A63" s="4" t="s">
        <v>61</v>
      </c>
      <c r="B63" s="11">
        <v>195999.47</v>
      </c>
      <c r="C63" s="11"/>
      <c r="D63" s="11">
        <v>195999.47</v>
      </c>
      <c r="E63" s="11">
        <v>195999.47</v>
      </c>
      <c r="F63" s="11">
        <v>195999.47</v>
      </c>
      <c r="G63" s="11">
        <v>195999.47</v>
      </c>
      <c r="H63" s="11"/>
    </row>
    <row r="64" spans="1:8" x14ac:dyDescent="0.25">
      <c r="A64" s="18" t="s">
        <v>62</v>
      </c>
      <c r="B64" s="19">
        <v>219365.73</v>
      </c>
      <c r="C64" s="19"/>
      <c r="D64" s="19">
        <v>219365.73</v>
      </c>
      <c r="E64" s="8">
        <v>219365.73</v>
      </c>
      <c r="F64" s="8">
        <v>219365.73</v>
      </c>
      <c r="G64" s="8">
        <v>219365.73</v>
      </c>
      <c r="H64" s="8"/>
    </row>
    <row r="65" spans="1:8" x14ac:dyDescent="0.25">
      <c r="A65" s="4" t="s">
        <v>63</v>
      </c>
      <c r="B65" s="11">
        <v>129356.07</v>
      </c>
      <c r="C65" s="11"/>
      <c r="D65" s="11">
        <v>133730.53</v>
      </c>
      <c r="E65" s="11">
        <v>138099.45000000001</v>
      </c>
      <c r="F65" s="11">
        <v>142461.72</v>
      </c>
      <c r="G65" s="11">
        <v>146815.85</v>
      </c>
      <c r="H65" s="11"/>
    </row>
    <row r="66" spans="1:8" x14ac:dyDescent="0.25">
      <c r="A66" s="2" t="s">
        <v>64</v>
      </c>
      <c r="B66" s="8">
        <v>1159686.81</v>
      </c>
      <c r="C66" s="8"/>
      <c r="D66" s="8">
        <v>1214707.96</v>
      </c>
      <c r="E66" s="8">
        <v>1091379.22</v>
      </c>
      <c r="F66" s="8">
        <v>1020285</v>
      </c>
      <c r="G66" s="8">
        <v>919545.72</v>
      </c>
      <c r="H66" s="8"/>
    </row>
    <row r="67" spans="1:8" x14ac:dyDescent="0.25">
      <c r="A67" s="24" t="s">
        <v>65</v>
      </c>
      <c r="B67" s="25">
        <v>375721.71</v>
      </c>
      <c r="C67" s="25"/>
      <c r="D67" s="25">
        <v>-39738.25</v>
      </c>
      <c r="E67" s="11">
        <v>237919.67</v>
      </c>
      <c r="F67" s="11">
        <v>133741.35</v>
      </c>
      <c r="G67" s="11">
        <v>195281.21</v>
      </c>
      <c r="H67" s="11"/>
    </row>
    <row r="68" spans="1:8" x14ac:dyDescent="0.25">
      <c r="A68" s="2" t="s">
        <v>66</v>
      </c>
      <c r="B68" s="8">
        <v>494847.85</v>
      </c>
      <c r="C68" s="8"/>
      <c r="D68" s="8">
        <v>274309.03000000003</v>
      </c>
      <c r="E68" s="8">
        <v>247367.28</v>
      </c>
      <c r="F68" s="8">
        <v>250743.97</v>
      </c>
      <c r="G68" s="30">
        <v>255.06</v>
      </c>
      <c r="H68" s="30"/>
    </row>
    <row r="69" spans="1:8" x14ac:dyDescent="0.25">
      <c r="A69" s="4" t="s">
        <v>67</v>
      </c>
      <c r="B69" s="11">
        <v>3761810.52</v>
      </c>
      <c r="C69" s="11"/>
      <c r="D69" s="11">
        <v>3632916.44</v>
      </c>
      <c r="E69" s="11">
        <v>3631185.05</v>
      </c>
      <c r="F69" s="11">
        <v>3525498.46</v>
      </c>
      <c r="G69" s="11">
        <v>2186212.12</v>
      </c>
      <c r="H69" s="11"/>
    </row>
    <row r="70" spans="1:8" x14ac:dyDescent="0.25">
      <c r="A70" s="26" t="s">
        <v>68</v>
      </c>
      <c r="B70" s="8">
        <v>2660098.7200000002</v>
      </c>
      <c r="C70" s="8"/>
      <c r="D70" s="8">
        <v>2763195.19</v>
      </c>
      <c r="E70" s="8">
        <v>2311279.1800000002</v>
      </c>
      <c r="F70" s="8">
        <v>2377456.29</v>
      </c>
      <c r="G70" s="8">
        <v>1246924.82</v>
      </c>
      <c r="H70" s="8"/>
    </row>
    <row r="71" spans="1:8" x14ac:dyDescent="0.25">
      <c r="A71" s="4" t="s">
        <v>69</v>
      </c>
      <c r="B71" s="11">
        <v>2384626.87</v>
      </c>
      <c r="C71" s="11"/>
      <c r="D71" s="11">
        <v>2532708.94</v>
      </c>
      <c r="E71" s="11">
        <v>2065111.49</v>
      </c>
      <c r="F71" s="11">
        <v>2113653.62</v>
      </c>
      <c r="G71" s="11">
        <v>1021798.41</v>
      </c>
      <c r="H71" s="11"/>
    </row>
    <row r="72" spans="1:8" x14ac:dyDescent="0.25">
      <c r="A72" s="2" t="s">
        <v>70</v>
      </c>
      <c r="B72" s="30">
        <v>0</v>
      </c>
      <c r="C72" s="30"/>
      <c r="D72" s="30">
        <v>0</v>
      </c>
      <c r="E72" s="30">
        <v>0</v>
      </c>
      <c r="F72" s="8">
        <v>16497.68</v>
      </c>
      <c r="G72" s="8">
        <v>8779.5400000000009</v>
      </c>
      <c r="H72" s="8"/>
    </row>
    <row r="73" spans="1:8" x14ac:dyDescent="0.25">
      <c r="A73" s="4" t="s">
        <v>71</v>
      </c>
      <c r="B73" s="11">
        <v>275354.78000000003</v>
      </c>
      <c r="C73" s="11"/>
      <c r="D73" s="11">
        <v>230355.93</v>
      </c>
      <c r="E73" s="11">
        <v>246040.77</v>
      </c>
      <c r="F73" s="11">
        <v>247304.99</v>
      </c>
      <c r="G73" s="11">
        <v>216346.88</v>
      </c>
      <c r="H73" s="11"/>
    </row>
    <row r="74" spans="1:8" x14ac:dyDescent="0.25">
      <c r="A74" s="2" t="s">
        <v>72</v>
      </c>
      <c r="B74" s="30">
        <v>117.07</v>
      </c>
      <c r="C74" s="30"/>
      <c r="D74" s="30">
        <v>130.33000000000001</v>
      </c>
      <c r="E74" s="30">
        <v>126.92</v>
      </c>
      <c r="F74" s="30">
        <v>0</v>
      </c>
      <c r="G74" s="30">
        <v>0</v>
      </c>
      <c r="H74" s="30"/>
    </row>
    <row r="75" spans="1:8" x14ac:dyDescent="0.25">
      <c r="A75" s="31" t="s">
        <v>73</v>
      </c>
      <c r="B75" s="11">
        <v>1101711.8</v>
      </c>
      <c r="C75" s="11"/>
      <c r="D75" s="11">
        <v>869721.25</v>
      </c>
      <c r="E75" s="11">
        <v>1319905.8600000001</v>
      </c>
      <c r="F75" s="11">
        <v>1148042.17</v>
      </c>
      <c r="G75" s="11">
        <v>939287.3</v>
      </c>
      <c r="H75" s="11"/>
    </row>
    <row r="76" spans="1:8" x14ac:dyDescent="0.25">
      <c r="A76" s="2" t="s">
        <v>74</v>
      </c>
      <c r="B76" s="8">
        <v>99354.23</v>
      </c>
      <c r="C76" s="8"/>
      <c r="D76" s="8">
        <v>28164.37</v>
      </c>
      <c r="E76" s="8">
        <v>497936.19</v>
      </c>
      <c r="F76" s="8">
        <v>381356.82</v>
      </c>
      <c r="G76" s="8">
        <v>178928.36</v>
      </c>
      <c r="H76" s="8"/>
    </row>
    <row r="77" spans="1:8" x14ac:dyDescent="0.25">
      <c r="A77" s="4" t="s">
        <v>75</v>
      </c>
      <c r="B77" s="11">
        <v>804971.87</v>
      </c>
      <c r="C77" s="11"/>
      <c r="D77" s="11">
        <v>682473.49</v>
      </c>
      <c r="E77" s="11">
        <v>664311.55000000005</v>
      </c>
      <c r="F77" s="11">
        <v>665057.47</v>
      </c>
      <c r="G77" s="11">
        <v>579809.21</v>
      </c>
      <c r="H77" s="11"/>
    </row>
    <row r="78" spans="1:8" x14ac:dyDescent="0.25">
      <c r="A78" s="174" t="s">
        <v>76</v>
      </c>
      <c r="B78" s="175">
        <v>780908.96</v>
      </c>
      <c r="C78" s="175"/>
      <c r="D78" s="175">
        <v>654019.9</v>
      </c>
      <c r="E78" s="8">
        <v>639046.41</v>
      </c>
      <c r="F78" s="8">
        <v>643382.72</v>
      </c>
      <c r="G78" s="8">
        <v>563732.62</v>
      </c>
      <c r="H78" s="8"/>
    </row>
    <row r="79" spans="1:8" x14ac:dyDescent="0.25">
      <c r="A79" s="4" t="s">
        <v>77</v>
      </c>
      <c r="B79" s="11">
        <v>24062.91</v>
      </c>
      <c r="C79" s="11"/>
      <c r="D79" s="11">
        <v>28453.59</v>
      </c>
      <c r="E79" s="11">
        <v>25265.14</v>
      </c>
      <c r="F79" s="11">
        <v>21674.75</v>
      </c>
      <c r="G79" s="11">
        <v>16076.59</v>
      </c>
      <c r="H79" s="11"/>
    </row>
    <row r="80" spans="1:8" x14ac:dyDescent="0.25">
      <c r="A80" s="2" t="s">
        <v>72</v>
      </c>
      <c r="B80" s="30">
        <v>16.96</v>
      </c>
      <c r="C80" s="30"/>
      <c r="D80" s="30">
        <v>16.690000000000001</v>
      </c>
      <c r="E80" s="30">
        <v>18.75</v>
      </c>
      <c r="F80" s="30">
        <v>129.32</v>
      </c>
      <c r="G80" s="30">
        <v>131.1</v>
      </c>
      <c r="H80" s="30"/>
    </row>
    <row r="81" spans="1:8" x14ac:dyDescent="0.25">
      <c r="A81" s="4" t="s">
        <v>78</v>
      </c>
      <c r="B81" s="11">
        <v>197368.74</v>
      </c>
      <c r="C81" s="11"/>
      <c r="D81" s="11">
        <v>159066.70000000001</v>
      </c>
      <c r="E81" s="11">
        <v>157639.38</v>
      </c>
      <c r="F81" s="11">
        <v>101498.57</v>
      </c>
      <c r="G81" s="11">
        <v>180418.63</v>
      </c>
      <c r="H81" s="11"/>
    </row>
    <row r="82" spans="1:8" x14ac:dyDescent="0.25">
      <c r="B82" s="17">
        <f>+B69+B61</f>
        <v>6336788.1500000004</v>
      </c>
      <c r="C82" s="17"/>
    </row>
    <row r="83" spans="1:8" x14ac:dyDescent="0.25">
      <c r="B83" s="17">
        <f>+B82-B37</f>
        <v>0</v>
      </c>
      <c r="C83" s="17"/>
      <c r="D83" s="17"/>
    </row>
    <row r="84" spans="1:8" x14ac:dyDescent="0.25">
      <c r="A84" s="32" t="s">
        <v>79</v>
      </c>
      <c r="B84" s="32">
        <v>2021</v>
      </c>
      <c r="C84" s="32"/>
      <c r="D84" s="32">
        <v>2020</v>
      </c>
      <c r="E84" s="32">
        <v>2019</v>
      </c>
      <c r="F84" s="32">
        <v>2018</v>
      </c>
      <c r="G84" s="32">
        <v>2017</v>
      </c>
      <c r="H84" s="34"/>
    </row>
    <row r="85" spans="1:8" x14ac:dyDescent="0.25">
      <c r="A85" s="31" t="s">
        <v>80</v>
      </c>
      <c r="B85" s="39">
        <v>539072.05000000005</v>
      </c>
      <c r="C85" s="37"/>
      <c r="D85" s="37">
        <v>691716.65</v>
      </c>
      <c r="E85" s="37">
        <v>514408.42</v>
      </c>
      <c r="F85" s="37">
        <v>357224.75</v>
      </c>
      <c r="G85" s="37">
        <v>215777.68</v>
      </c>
      <c r="H85" s="37"/>
    </row>
    <row r="86" spans="1:8" x14ac:dyDescent="0.25">
      <c r="A86" s="26" t="s">
        <v>81</v>
      </c>
      <c r="B86" s="38">
        <v>375721.71</v>
      </c>
      <c r="C86" s="38"/>
      <c r="D86" s="38">
        <v>-39738.25</v>
      </c>
      <c r="E86" s="38">
        <v>237919.67</v>
      </c>
      <c r="F86" s="38">
        <v>133741.35</v>
      </c>
      <c r="G86" s="38">
        <v>195281.21</v>
      </c>
      <c r="H86" s="38"/>
    </row>
    <row r="87" spans="1:8" x14ac:dyDescent="0.25">
      <c r="A87" s="31" t="s">
        <v>82</v>
      </c>
      <c r="B87" s="37">
        <v>-73726.64</v>
      </c>
      <c r="C87" s="37"/>
      <c r="D87" s="37">
        <v>-76619.570000000007</v>
      </c>
      <c r="E87" s="37">
        <v>-72422.25</v>
      </c>
      <c r="F87" s="37">
        <v>-155323.39000000001</v>
      </c>
      <c r="G87" s="37">
        <v>-106746.68</v>
      </c>
      <c r="H87" s="37"/>
    </row>
    <row r="88" spans="1:8" x14ac:dyDescent="0.25">
      <c r="A88" s="26" t="s">
        <v>83</v>
      </c>
      <c r="B88" s="38">
        <v>-4680.32</v>
      </c>
      <c r="C88" s="38"/>
      <c r="D88" s="38">
        <v>-1728.45</v>
      </c>
      <c r="E88" s="38">
        <v>-9568.3799999999992</v>
      </c>
      <c r="F88" s="38">
        <v>4792.92</v>
      </c>
      <c r="G88" s="38">
        <v>6815.86</v>
      </c>
      <c r="H88" s="38"/>
    </row>
    <row r="89" spans="1:8" x14ac:dyDescent="0.25">
      <c r="A89" s="40" t="s">
        <v>84</v>
      </c>
      <c r="B89" s="41">
        <v>-231637.65</v>
      </c>
      <c r="C89" s="41"/>
      <c r="D89" s="41">
        <v>-170159.85</v>
      </c>
      <c r="E89" s="41">
        <v>-175740.45</v>
      </c>
      <c r="F89" s="41">
        <v>-1352674.16</v>
      </c>
      <c r="G89" s="41">
        <v>-178027.16</v>
      </c>
      <c r="H89" s="41"/>
    </row>
    <row r="90" spans="1:8" x14ac:dyDescent="0.25">
      <c r="A90" s="42" t="s">
        <v>85</v>
      </c>
      <c r="B90" s="81">
        <v>1136.49</v>
      </c>
      <c r="C90" s="43"/>
      <c r="D90" s="43">
        <v>1387.45</v>
      </c>
      <c r="E90" s="43">
        <v>1803.34</v>
      </c>
      <c r="F90" s="44">
        <v>41.38</v>
      </c>
      <c r="G90" s="43">
        <v>4137.3500000000004</v>
      </c>
      <c r="H90" s="43"/>
    </row>
    <row r="91" spans="1:8" x14ac:dyDescent="0.25">
      <c r="A91" s="40" t="s">
        <v>86</v>
      </c>
      <c r="B91" s="83">
        <v>-188599.66</v>
      </c>
      <c r="C91" s="41"/>
      <c r="D91" s="41">
        <v>-80592.41</v>
      </c>
      <c r="E91" s="41">
        <v>-137433.15</v>
      </c>
      <c r="F91" s="41">
        <v>-125087.82</v>
      </c>
      <c r="G91" s="41">
        <v>-125038.08</v>
      </c>
      <c r="H91" s="41"/>
    </row>
    <row r="92" spans="1:8" x14ac:dyDescent="0.25">
      <c r="A92" s="42" t="s">
        <v>87</v>
      </c>
      <c r="B92" s="84">
        <v>-65116.93</v>
      </c>
      <c r="C92" s="43"/>
      <c r="D92" s="43">
        <v>-126427.94</v>
      </c>
      <c r="E92" s="43">
        <v>-117089.22</v>
      </c>
      <c r="F92" s="43">
        <v>-143956.76999999999</v>
      </c>
      <c r="G92" s="43">
        <v>-101372.74</v>
      </c>
      <c r="H92" s="43"/>
    </row>
    <row r="93" spans="1:8" x14ac:dyDescent="0.25">
      <c r="A93" s="40" t="s">
        <v>88</v>
      </c>
      <c r="B93" s="45">
        <v>0</v>
      </c>
      <c r="C93" s="45"/>
      <c r="D93" s="45">
        <v>0</v>
      </c>
      <c r="E93" s="45">
        <v>0</v>
      </c>
      <c r="F93" s="45">
        <v>0</v>
      </c>
      <c r="G93" s="41">
        <v>23695.77</v>
      </c>
      <c r="H93" s="41"/>
    </row>
    <row r="94" spans="1:8" x14ac:dyDescent="0.25">
      <c r="A94" s="42" t="s">
        <v>89</v>
      </c>
      <c r="B94" s="85">
        <v>-20.91</v>
      </c>
      <c r="C94" s="44"/>
      <c r="D94" s="44">
        <v>0</v>
      </c>
      <c r="E94" s="44">
        <v>-150</v>
      </c>
      <c r="F94" s="43">
        <v>-1822809.15</v>
      </c>
      <c r="G94" s="44">
        <v>0</v>
      </c>
      <c r="H94" s="44"/>
    </row>
    <row r="95" spans="1:8" x14ac:dyDescent="0.25">
      <c r="A95" s="40" t="s">
        <v>90</v>
      </c>
      <c r="B95" s="82">
        <v>20963.349999999999</v>
      </c>
      <c r="C95" s="41"/>
      <c r="D95" s="41">
        <v>5552.21</v>
      </c>
      <c r="E95" s="41">
        <v>17548.22</v>
      </c>
      <c r="F95" s="41">
        <v>18746.23</v>
      </c>
      <c r="G95" s="41">
        <v>16068.04</v>
      </c>
      <c r="H95" s="41"/>
    </row>
    <row r="96" spans="1:8" x14ac:dyDescent="0.25">
      <c r="A96" s="42" t="s">
        <v>91</v>
      </c>
      <c r="B96" s="44">
        <v>0</v>
      </c>
      <c r="C96" s="44"/>
      <c r="D96" s="43">
        <v>29920.83</v>
      </c>
      <c r="E96" s="43">
        <v>59580.36</v>
      </c>
      <c r="F96" s="43">
        <v>720391.98</v>
      </c>
      <c r="G96" s="43">
        <v>4482.51</v>
      </c>
      <c r="H96" s="43"/>
    </row>
    <row r="97" spans="1:11" x14ac:dyDescent="0.25">
      <c r="A97" s="46" t="s">
        <v>92</v>
      </c>
      <c r="B97" s="47">
        <v>-241606.77</v>
      </c>
      <c r="C97" s="47"/>
      <c r="D97" s="47">
        <v>-291443.32</v>
      </c>
      <c r="E97" s="47">
        <v>-381753.93</v>
      </c>
      <c r="F97" s="47">
        <v>1057106.52</v>
      </c>
      <c r="G97" s="47">
        <v>-166571.91</v>
      </c>
      <c r="H97" s="47"/>
    </row>
    <row r="98" spans="1:11" x14ac:dyDescent="0.25">
      <c r="A98" s="48" t="s">
        <v>93</v>
      </c>
      <c r="B98" s="49">
        <v>0</v>
      </c>
      <c r="C98" s="49"/>
      <c r="D98" s="50">
        <v>720000</v>
      </c>
      <c r="E98" s="49">
        <v>30</v>
      </c>
      <c r="F98" s="50">
        <v>3475220.42</v>
      </c>
      <c r="G98" s="50">
        <v>159758.68</v>
      </c>
      <c r="H98" s="50"/>
    </row>
    <row r="99" spans="1:11" x14ac:dyDescent="0.25">
      <c r="A99" s="46" t="s">
        <v>94</v>
      </c>
      <c r="B99" s="47">
        <v>-83000</v>
      </c>
      <c r="C99" s="47"/>
      <c r="D99" s="47">
        <v>-716704.95</v>
      </c>
      <c r="E99" s="47">
        <v>-121357.19</v>
      </c>
      <c r="F99" s="47">
        <v>-2161925.2999999998</v>
      </c>
      <c r="G99" s="47">
        <v>-136723.92000000001</v>
      </c>
      <c r="H99" s="47"/>
    </row>
    <row r="100" spans="1:11" x14ac:dyDescent="0.25">
      <c r="A100" s="48" t="s">
        <v>95</v>
      </c>
      <c r="B100" s="50">
        <v>-21091.52</v>
      </c>
      <c r="C100" s="50"/>
      <c r="D100" s="50">
        <v>-15066.54</v>
      </c>
      <c r="E100" s="50">
        <v>-16595.439999999999</v>
      </c>
      <c r="F100" s="50">
        <v>-5817.11</v>
      </c>
      <c r="G100" s="50">
        <v>-4953.97</v>
      </c>
      <c r="H100" s="50"/>
    </row>
    <row r="101" spans="1:11" x14ac:dyDescent="0.25">
      <c r="A101" s="46" t="s">
        <v>96</v>
      </c>
      <c r="B101" s="47">
        <v>-135123.20000000001</v>
      </c>
      <c r="C101" s="47"/>
      <c r="D101" s="47">
        <v>-160816.51</v>
      </c>
      <c r="E101" s="47">
        <v>-176921.57</v>
      </c>
      <c r="F101" s="47">
        <v>-151241.13</v>
      </c>
      <c r="G101" s="47">
        <v>-86599.58</v>
      </c>
      <c r="H101" s="47"/>
    </row>
    <row r="102" spans="1:11" x14ac:dyDescent="0.25">
      <c r="A102" s="48" t="s">
        <v>97</v>
      </c>
      <c r="B102" s="49">
        <v>-50.22</v>
      </c>
      <c r="C102" s="49"/>
      <c r="D102" s="50">
        <v>-118855.31</v>
      </c>
      <c r="E102" s="50">
        <v>-66909.73</v>
      </c>
      <c r="F102" s="50">
        <v>-97405.36</v>
      </c>
      <c r="G102" s="50">
        <v>-98053.119999999995</v>
      </c>
      <c r="H102" s="50"/>
      <c r="I102" s="1" t="s">
        <v>123</v>
      </c>
    </row>
    <row r="103" spans="1:11" x14ac:dyDescent="0.25">
      <c r="A103" s="46" t="s">
        <v>98</v>
      </c>
      <c r="B103" s="47">
        <v>-2341.83</v>
      </c>
      <c r="C103" s="47"/>
      <c r="D103" s="51">
        <v>0</v>
      </c>
      <c r="E103" s="51">
        <v>0</v>
      </c>
      <c r="F103" s="47">
        <v>-1725</v>
      </c>
      <c r="G103" s="51">
        <v>0</v>
      </c>
      <c r="H103" s="51"/>
      <c r="I103" s="1" t="s">
        <v>124</v>
      </c>
      <c r="K103" s="17">
        <f>+B85</f>
        <v>539072.05000000005</v>
      </c>
    </row>
    <row r="104" spans="1:11" x14ac:dyDescent="0.25">
      <c r="A104" s="2" t="s">
        <v>99</v>
      </c>
      <c r="B104" s="8">
        <v>65827.63</v>
      </c>
      <c r="C104" s="8"/>
      <c r="D104" s="8">
        <v>230113.48</v>
      </c>
      <c r="E104" s="8">
        <v>-43085.97</v>
      </c>
      <c r="F104" s="8">
        <v>61657.11</v>
      </c>
      <c r="G104" s="8">
        <v>-128821.39</v>
      </c>
      <c r="H104" s="8"/>
      <c r="K104" s="17">
        <f>+B89</f>
        <v>-231637.65</v>
      </c>
    </row>
    <row r="105" spans="1:11" x14ac:dyDescent="0.25">
      <c r="A105" s="86" t="s">
        <v>100</v>
      </c>
      <c r="B105" s="87">
        <v>411113.34</v>
      </c>
      <c r="C105" s="87"/>
      <c r="D105" s="87">
        <v>180999.86</v>
      </c>
      <c r="E105" s="11">
        <v>224085.83</v>
      </c>
      <c r="F105" s="11">
        <v>162428.71</v>
      </c>
      <c r="G105" s="11">
        <v>291250.09999999998</v>
      </c>
      <c r="H105" s="11"/>
      <c r="K105" s="17">
        <f>+B97</f>
        <v>-241606.77</v>
      </c>
    </row>
    <row r="106" spans="1:11" x14ac:dyDescent="0.25">
      <c r="A106" s="54" t="s">
        <v>101</v>
      </c>
      <c r="B106" s="53">
        <v>476940.97</v>
      </c>
      <c r="C106" s="53"/>
      <c r="D106" s="53">
        <v>411113.34</v>
      </c>
      <c r="E106" s="8">
        <v>180999.86</v>
      </c>
      <c r="F106" s="8">
        <v>224085.83</v>
      </c>
      <c r="G106" s="8">
        <v>162428.71</v>
      </c>
      <c r="H106" s="8"/>
      <c r="K106" s="17">
        <f>+K103+K104+K105</f>
        <v>65827.630000000034</v>
      </c>
    </row>
    <row r="107" spans="1:11" x14ac:dyDescent="0.25">
      <c r="A107" s="4" t="s">
        <v>102</v>
      </c>
      <c r="B107" s="11">
        <v>253716.58</v>
      </c>
      <c r="C107" s="11"/>
      <c r="D107" s="11">
        <v>207020.35</v>
      </c>
      <c r="E107" s="11">
        <v>254522.37</v>
      </c>
      <c r="F107" s="11">
        <v>269044.59000000003</v>
      </c>
      <c r="G107" s="11">
        <v>226410.82</v>
      </c>
      <c r="H107" s="11"/>
      <c r="K107" s="17">
        <f>+B105</f>
        <v>411113.34</v>
      </c>
    </row>
    <row r="108" spans="1:11" x14ac:dyDescent="0.25">
      <c r="J108" s="1" t="s">
        <v>125</v>
      </c>
      <c r="K108" s="17">
        <f>+K107+K106</f>
        <v>476940.97000000009</v>
      </c>
    </row>
    <row r="110" spans="1:11" x14ac:dyDescent="0.25">
      <c r="A110" s="2" t="s">
        <v>6</v>
      </c>
      <c r="B110" s="3" t="s">
        <v>7</v>
      </c>
      <c r="C110" s="3"/>
      <c r="D110" s="3" t="s">
        <v>7</v>
      </c>
      <c r="E110" s="3" t="s">
        <v>7</v>
      </c>
      <c r="F110" s="3" t="s">
        <v>7</v>
      </c>
      <c r="G110" s="3" t="s">
        <v>7</v>
      </c>
      <c r="H110" s="3"/>
    </row>
    <row r="111" spans="1:11" x14ac:dyDescent="0.25">
      <c r="A111" s="4" t="s">
        <v>103</v>
      </c>
      <c r="B111" s="5" t="s">
        <v>104</v>
      </c>
      <c r="C111" s="5"/>
      <c r="D111" s="5" t="s">
        <v>105</v>
      </c>
      <c r="E111" s="5" t="s">
        <v>106</v>
      </c>
      <c r="F111" s="5" t="s">
        <v>107</v>
      </c>
      <c r="G111" s="5" t="s">
        <v>108</v>
      </c>
      <c r="H111" s="5"/>
    </row>
    <row r="112" spans="1:11" x14ac:dyDescent="0.25">
      <c r="A112" s="2" t="s">
        <v>8</v>
      </c>
      <c r="B112" s="3" t="s">
        <v>9</v>
      </c>
      <c r="C112" s="3"/>
      <c r="D112" s="3" t="s">
        <v>10</v>
      </c>
      <c r="E112" s="3" t="s">
        <v>11</v>
      </c>
      <c r="F112" s="3" t="s">
        <v>12</v>
      </c>
      <c r="G112" s="3" t="s">
        <v>13</v>
      </c>
      <c r="H112" s="3"/>
    </row>
    <row r="113" spans="1:8" x14ac:dyDescent="0.25">
      <c r="A113" s="4" t="s">
        <v>109</v>
      </c>
      <c r="B113" s="5" t="s">
        <v>110</v>
      </c>
      <c r="C113" s="5"/>
      <c r="D113" s="5" t="s">
        <v>110</v>
      </c>
      <c r="E113" s="5" t="s">
        <v>110</v>
      </c>
      <c r="F113" s="5" t="s">
        <v>110</v>
      </c>
      <c r="G113" s="5" t="s">
        <v>110</v>
      </c>
      <c r="H113" s="5"/>
    </row>
    <row r="114" spans="1:8" x14ac:dyDescent="0.25">
      <c r="A114" s="2" t="s">
        <v>111</v>
      </c>
      <c r="B114" s="3" t="s">
        <v>111</v>
      </c>
      <c r="C114" s="3"/>
      <c r="D114" s="3" t="s">
        <v>111</v>
      </c>
      <c r="E114" s="3" t="s">
        <v>111</v>
      </c>
      <c r="F114" s="3" t="s">
        <v>111</v>
      </c>
      <c r="G114" s="3" t="s">
        <v>111</v>
      </c>
      <c r="H114" s="3"/>
    </row>
    <row r="115" spans="1:8" x14ac:dyDescent="0.25">
      <c r="A115" s="4" t="s">
        <v>112</v>
      </c>
      <c r="B115" s="5" t="s">
        <v>113</v>
      </c>
      <c r="C115" s="5"/>
      <c r="D115" s="5" t="s">
        <v>113</v>
      </c>
      <c r="E115" s="5" t="s">
        <v>113</v>
      </c>
      <c r="F115" s="5" t="s">
        <v>113</v>
      </c>
      <c r="G115" s="5" t="s">
        <v>113</v>
      </c>
      <c r="H115" s="5"/>
    </row>
    <row r="118" spans="1:8" x14ac:dyDescent="0.25">
      <c r="A118" s="1" t="s">
        <v>114</v>
      </c>
    </row>
    <row r="119" spans="1:8" x14ac:dyDescent="0.25">
      <c r="A119" s="1" t="s">
        <v>115</v>
      </c>
    </row>
  </sheetData>
  <sheetProtection formatCells="0" formatColumns="0" formatRows="0" insertColumns="0" insertRows="0" insertHyperlinks="0" deleteColumns="0" deleteRows="0" sort="0" autoFilter="0" pivotTables="0"/>
  <mergeCells count="6">
    <mergeCell ref="A7:I7"/>
    <mergeCell ref="A1:D5"/>
    <mergeCell ref="E2:I2"/>
    <mergeCell ref="E3:I3"/>
    <mergeCell ref="E4:I4"/>
    <mergeCell ref="E5:I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67"/>
  <sheetViews>
    <sheetView topLeftCell="A49" zoomScale="130" zoomScaleNormal="130" workbookViewId="0">
      <selection activeCell="C56" sqref="C56"/>
    </sheetView>
  </sheetViews>
  <sheetFormatPr baseColWidth="10" defaultColWidth="10.85546875" defaultRowHeight="15.75" x14ac:dyDescent="0.25"/>
  <cols>
    <col min="1" max="1" width="43.140625" style="1" bestFit="1" customWidth="1"/>
    <col min="2" max="2" width="10.5703125" style="1" bestFit="1" customWidth="1"/>
    <col min="3" max="3" width="10.85546875" style="56"/>
    <col min="4" max="4" width="43.28515625" style="1" bestFit="1" customWidth="1"/>
    <col min="5" max="16384" width="10.85546875" style="1"/>
  </cols>
  <sheetData>
    <row r="1" spans="1:4" x14ac:dyDescent="0.25">
      <c r="A1" s="6" t="s">
        <v>16</v>
      </c>
      <c r="B1" s="7">
        <v>2021</v>
      </c>
      <c r="C1" s="56" t="s">
        <v>129</v>
      </c>
    </row>
    <row r="2" spans="1:4" x14ac:dyDescent="0.25">
      <c r="A2" s="2" t="s">
        <v>17</v>
      </c>
      <c r="B2" s="8">
        <v>16893034.66</v>
      </c>
      <c r="C2" s="56">
        <f>+B2/B2</f>
        <v>1</v>
      </c>
      <c r="D2" s="1" t="s">
        <v>130</v>
      </c>
    </row>
    <row r="3" spans="1:4" x14ac:dyDescent="0.25">
      <c r="A3" s="9" t="s">
        <v>18</v>
      </c>
      <c r="B3" s="10">
        <v>16823499.829999998</v>
      </c>
      <c r="C3" s="56">
        <f>+B3/B2</f>
        <v>0.99588381653151703</v>
      </c>
    </row>
    <row r="4" spans="1:4" x14ac:dyDescent="0.25">
      <c r="A4" s="2" t="s">
        <v>19</v>
      </c>
      <c r="B4" s="8">
        <v>-15365206.18</v>
      </c>
      <c r="C4" s="56">
        <f>-B4/B2</f>
        <v>0.90955867250911093</v>
      </c>
      <c r="D4" s="65"/>
    </row>
    <row r="5" spans="1:4" x14ac:dyDescent="0.25">
      <c r="A5" s="12" t="s">
        <v>20</v>
      </c>
      <c r="B5" s="13">
        <f>+B3+B4</f>
        <v>1458293.6499999985</v>
      </c>
      <c r="C5" s="56">
        <f>+B5/B2</f>
        <v>8.6325144022406125E-2</v>
      </c>
    </row>
    <row r="6" spans="1:4" x14ac:dyDescent="0.25">
      <c r="A6" s="2" t="s">
        <v>21</v>
      </c>
      <c r="B6" s="8">
        <v>-671638.2</v>
      </c>
      <c r="C6" s="56">
        <f>-B6/B2</f>
        <v>3.9758291717137809E-2</v>
      </c>
    </row>
    <row r="7" spans="1:4" x14ac:dyDescent="0.25">
      <c r="A7" s="4" t="s">
        <v>22</v>
      </c>
      <c r="B7" s="11">
        <v>-190576.99</v>
      </c>
      <c r="C7" s="56">
        <f>-B7/B2</f>
        <v>1.1281394600536503E-2</v>
      </c>
    </row>
    <row r="8" spans="1:4" x14ac:dyDescent="0.25">
      <c r="A8" s="2" t="s">
        <v>23</v>
      </c>
      <c r="B8" s="8">
        <v>-8368.25</v>
      </c>
    </row>
    <row r="9" spans="1:4" x14ac:dyDescent="0.25">
      <c r="A9" s="4" t="s">
        <v>24</v>
      </c>
      <c r="B9" s="11">
        <v>69534.83</v>
      </c>
      <c r="C9" s="56">
        <f>+B9/B2</f>
        <v>4.1161834684828617E-3</v>
      </c>
    </row>
    <row r="10" spans="1:4" x14ac:dyDescent="0.25">
      <c r="A10" s="2" t="s">
        <v>25</v>
      </c>
      <c r="B10" s="8">
        <v>-77903.08</v>
      </c>
      <c r="C10" s="56">
        <f>-B10/B2</f>
        <v>4.611550355985595E-3</v>
      </c>
    </row>
    <row r="11" spans="1:4" x14ac:dyDescent="0.25">
      <c r="A11" s="15" t="s">
        <v>26</v>
      </c>
      <c r="B11" s="16">
        <v>587710.21</v>
      </c>
      <c r="C11" s="56">
        <f>+B11/B2</f>
        <v>3.4790090817229162E-2</v>
      </c>
    </row>
    <row r="12" spans="1:4" x14ac:dyDescent="0.25">
      <c r="A12" s="2" t="s">
        <v>27</v>
      </c>
      <c r="B12" s="8">
        <f>+B13+B14+B15</f>
        <v>-31771.999999999971</v>
      </c>
    </row>
    <row r="13" spans="1:4" x14ac:dyDescent="0.25">
      <c r="A13" s="4" t="s">
        <v>28</v>
      </c>
      <c r="B13" s="11">
        <v>11965.42</v>
      </c>
      <c r="C13" s="56">
        <f>+B13/B2</f>
        <v>7.0830494584446675E-4</v>
      </c>
    </row>
    <row r="14" spans="1:4" x14ac:dyDescent="0.25">
      <c r="A14" s="2" t="s">
        <v>29</v>
      </c>
      <c r="B14" s="8">
        <v>-163113.32999999999</v>
      </c>
      <c r="C14" s="56">
        <f>-B14/B2</f>
        <v>9.6556559128021108E-3</v>
      </c>
    </row>
    <row r="15" spans="1:4" x14ac:dyDescent="0.25">
      <c r="A15" s="18" t="s">
        <v>30</v>
      </c>
      <c r="B15" s="19">
        <v>119375.91</v>
      </c>
      <c r="C15" s="56">
        <f>+B15/B2</f>
        <v>7.0665758049181671E-3</v>
      </c>
    </row>
    <row r="16" spans="1:4" x14ac:dyDescent="0.25">
      <c r="A16" s="20" t="s">
        <v>31</v>
      </c>
      <c r="B16" s="21">
        <f>+B11+B12</f>
        <v>555938.21</v>
      </c>
      <c r="C16" s="56">
        <f>+B16/B2</f>
        <v>3.2909315655189682E-2</v>
      </c>
    </row>
    <row r="17" spans="1:4" x14ac:dyDescent="0.25">
      <c r="A17" s="4" t="s">
        <v>32</v>
      </c>
      <c r="B17" s="11">
        <v>-180216.51</v>
      </c>
      <c r="C17" s="56">
        <f>-B17/B2</f>
        <v>1.0668095675356887E-2</v>
      </c>
      <c r="D17" s="1" t="s">
        <v>151</v>
      </c>
    </row>
    <row r="18" spans="1:4" x14ac:dyDescent="0.25">
      <c r="A18" s="2" t="s">
        <v>33</v>
      </c>
      <c r="B18" s="8">
        <v>375721.71</v>
      </c>
      <c r="C18" s="56">
        <f>+B18/B2</f>
        <v>2.2241220571792755E-2</v>
      </c>
    </row>
    <row r="19" spans="1:4" x14ac:dyDescent="0.25">
      <c r="A19" s="24" t="s">
        <v>34</v>
      </c>
      <c r="B19" s="25">
        <f>+B16+B17</f>
        <v>375721.69999999995</v>
      </c>
    </row>
    <row r="22" spans="1:4" x14ac:dyDescent="0.25">
      <c r="A22" s="6" t="s">
        <v>116</v>
      </c>
      <c r="B22" s="7">
        <v>2021</v>
      </c>
    </row>
    <row r="23" spans="1:4" x14ac:dyDescent="0.25">
      <c r="A23" s="4" t="s">
        <v>35</v>
      </c>
      <c r="B23" s="67">
        <v>6336788.1500000004</v>
      </c>
      <c r="C23" s="66"/>
    </row>
    <row r="24" spans="1:4" x14ac:dyDescent="0.25">
      <c r="A24" s="26" t="s">
        <v>36</v>
      </c>
      <c r="B24" s="8">
        <v>4420021.95</v>
      </c>
      <c r="C24" s="66">
        <f>+B24/B23</f>
        <v>0.69751770855713391</v>
      </c>
      <c r="D24" s="72" t="s">
        <v>133</v>
      </c>
    </row>
    <row r="25" spans="1:4" x14ac:dyDescent="0.25">
      <c r="A25" s="4" t="s">
        <v>37</v>
      </c>
      <c r="B25" s="11">
        <v>2123183.09</v>
      </c>
      <c r="C25" s="66">
        <f>+B25/B23</f>
        <v>0.33505666273536377</v>
      </c>
      <c r="D25" s="72" t="s">
        <v>134</v>
      </c>
    </row>
    <row r="26" spans="1:4" x14ac:dyDescent="0.25">
      <c r="A26" s="2" t="s">
        <v>38</v>
      </c>
      <c r="B26" s="8">
        <v>492610.19</v>
      </c>
      <c r="C26" s="66">
        <f>+B26/B23</f>
        <v>7.7738150359342534E-2</v>
      </c>
    </row>
    <row r="27" spans="1:4" x14ac:dyDescent="0.25">
      <c r="A27" s="4" t="s">
        <v>39</v>
      </c>
      <c r="B27" s="11">
        <v>228932.47</v>
      </c>
      <c r="C27" s="66">
        <f>+B27/B23</f>
        <v>3.6127524635646842E-2</v>
      </c>
    </row>
    <row r="28" spans="1:4" x14ac:dyDescent="0.25">
      <c r="A28" s="2" t="s">
        <v>40</v>
      </c>
      <c r="B28" s="8">
        <v>263677.71999999997</v>
      </c>
      <c r="C28" s="66">
        <f>+B28/B23</f>
        <v>4.1610625723695678E-2</v>
      </c>
    </row>
    <row r="29" spans="1:4" x14ac:dyDescent="0.25">
      <c r="A29" s="4" t="s">
        <v>41</v>
      </c>
      <c r="B29" s="11">
        <v>5667.5</v>
      </c>
      <c r="C29" s="66"/>
    </row>
    <row r="30" spans="1:4" x14ac:dyDescent="0.25">
      <c r="A30" s="2" t="s">
        <v>42</v>
      </c>
      <c r="B30" s="8">
        <v>5667.5</v>
      </c>
      <c r="C30" s="66">
        <f>+B30/B23</f>
        <v>8.9438053882233697E-4</v>
      </c>
    </row>
    <row r="31" spans="1:4" x14ac:dyDescent="0.25">
      <c r="A31" s="4" t="s">
        <v>43</v>
      </c>
      <c r="B31" s="11">
        <v>1796703.57</v>
      </c>
      <c r="C31" s="66"/>
    </row>
    <row r="32" spans="1:4" x14ac:dyDescent="0.25">
      <c r="A32" s="2" t="s">
        <v>44</v>
      </c>
      <c r="B32" s="8">
        <v>5450.98</v>
      </c>
      <c r="C32" s="66">
        <f>+B32/B23</f>
        <v>8.602118093532919E-4</v>
      </c>
    </row>
    <row r="33" spans="1:4" x14ac:dyDescent="0.25">
      <c r="A33" s="4" t="s">
        <v>45</v>
      </c>
      <c r="B33" s="11">
        <v>1791252.58</v>
      </c>
      <c r="C33" s="66">
        <f>+B33/B23</f>
        <v>0.28267515618302624</v>
      </c>
    </row>
    <row r="34" spans="1:4" x14ac:dyDescent="0.25">
      <c r="A34" s="2" t="s">
        <v>46</v>
      </c>
      <c r="B34" s="8">
        <v>1857.61</v>
      </c>
      <c r="C34" s="66">
        <f t="shared" ref="C34:C35" si="0">+B34/$B$23</f>
        <v>2.9314693122571881E-4</v>
      </c>
    </row>
    <row r="35" spans="1:4" x14ac:dyDescent="0.25">
      <c r="A35" s="27" t="s">
        <v>47</v>
      </c>
      <c r="B35" s="11">
        <v>1916766.2</v>
      </c>
      <c r="C35" s="66">
        <f t="shared" si="0"/>
        <v>0.30248229144286604</v>
      </c>
      <c r="D35" s="72" t="s">
        <v>136</v>
      </c>
    </row>
    <row r="36" spans="1:4" x14ac:dyDescent="0.25">
      <c r="A36" s="2" t="s">
        <v>48</v>
      </c>
      <c r="B36" s="8">
        <v>705677.94</v>
      </c>
      <c r="C36" s="66">
        <f>+B36/B23</f>
        <v>0.11136208490732011</v>
      </c>
    </row>
    <row r="37" spans="1:4" x14ac:dyDescent="0.25">
      <c r="A37" s="4" t="s">
        <v>49</v>
      </c>
      <c r="B37" s="11">
        <v>609886.55000000005</v>
      </c>
      <c r="C37" s="66">
        <f>+B37/$B$23</f>
        <v>9.6245374717158563E-2</v>
      </c>
    </row>
    <row r="38" spans="1:4" x14ac:dyDescent="0.25">
      <c r="A38" s="28" t="s">
        <v>50</v>
      </c>
      <c r="B38" s="8">
        <v>534184.89</v>
      </c>
      <c r="C38" s="66">
        <f t="shared" ref="C38:C45" si="1">+B38/$B$23</f>
        <v>8.429899775014571E-2</v>
      </c>
      <c r="D38" s="72" t="s">
        <v>132</v>
      </c>
    </row>
    <row r="39" spans="1:4" x14ac:dyDescent="0.25">
      <c r="A39" s="4" t="s">
        <v>51</v>
      </c>
      <c r="B39" s="11">
        <v>63793.77</v>
      </c>
      <c r="C39" s="66">
        <f t="shared" si="1"/>
        <v>1.0067208890358753E-2</v>
      </c>
    </row>
    <row r="40" spans="1:4" x14ac:dyDescent="0.25">
      <c r="A40" s="2" t="s">
        <v>52</v>
      </c>
      <c r="B40" s="8">
        <v>11907.89</v>
      </c>
      <c r="C40" s="66">
        <f t="shared" si="1"/>
        <v>1.8791680766541009E-3</v>
      </c>
    </row>
    <row r="41" spans="1:4" x14ac:dyDescent="0.25">
      <c r="A41" s="4" t="s">
        <v>53</v>
      </c>
      <c r="B41" s="11">
        <v>59746.54</v>
      </c>
      <c r="C41" s="66">
        <f t="shared" si="1"/>
        <v>9.42852097714518E-3</v>
      </c>
    </row>
    <row r="42" spans="1:4" x14ac:dyDescent="0.25">
      <c r="A42" s="2" t="s">
        <v>54</v>
      </c>
      <c r="B42" s="8">
        <v>59746.54</v>
      </c>
      <c r="C42" s="66">
        <f t="shared" si="1"/>
        <v>9.42852097714518E-3</v>
      </c>
    </row>
    <row r="43" spans="1:4" x14ac:dyDescent="0.25">
      <c r="A43" s="28" t="s">
        <v>55</v>
      </c>
      <c r="B43" s="53">
        <v>476940.97</v>
      </c>
      <c r="C43" s="66">
        <f t="shared" si="1"/>
        <v>7.5265411863263881E-2</v>
      </c>
      <c r="D43" s="72" t="s">
        <v>131</v>
      </c>
    </row>
    <row r="44" spans="1:4" x14ac:dyDescent="0.25">
      <c r="A44" s="2" t="s">
        <v>56</v>
      </c>
      <c r="B44" s="8">
        <v>62860.31</v>
      </c>
      <c r="C44" s="66">
        <f t="shared" si="1"/>
        <v>9.9199008254678665E-3</v>
      </c>
    </row>
    <row r="45" spans="1:4" x14ac:dyDescent="0.25">
      <c r="A45" s="4" t="s">
        <v>57</v>
      </c>
      <c r="B45" s="11">
        <v>1653.89</v>
      </c>
      <c r="C45" s="66">
        <f t="shared" si="1"/>
        <v>2.6099815251043226E-4</v>
      </c>
    </row>
    <row r="46" spans="1:4" x14ac:dyDescent="0.25">
      <c r="A46" s="2" t="s">
        <v>58</v>
      </c>
      <c r="B46" s="8">
        <v>6336788.1500000004</v>
      </c>
    </row>
    <row r="47" spans="1:4" x14ac:dyDescent="0.25">
      <c r="A47" s="4" t="s">
        <v>59</v>
      </c>
      <c r="B47" s="69">
        <v>2574977.63</v>
      </c>
    </row>
    <row r="48" spans="1:4" x14ac:dyDescent="0.25">
      <c r="A48" s="2" t="s">
        <v>60</v>
      </c>
      <c r="B48" s="8">
        <v>2574977.63</v>
      </c>
    </row>
    <row r="49" spans="1:4" x14ac:dyDescent="0.25">
      <c r="A49" s="4" t="s">
        <v>61</v>
      </c>
      <c r="B49" s="11">
        <v>195999.47</v>
      </c>
      <c r="C49" s="68">
        <f>+B49/B47</f>
        <v>7.6116960285981208E-2</v>
      </c>
    </row>
    <row r="50" spans="1:4" x14ac:dyDescent="0.25">
      <c r="A50" s="18" t="s">
        <v>62</v>
      </c>
      <c r="B50" s="19">
        <v>219365.73</v>
      </c>
      <c r="C50" s="68">
        <f>+B50/B47</f>
        <v>8.5191314846490535E-2</v>
      </c>
    </row>
    <row r="51" spans="1:4" x14ac:dyDescent="0.25">
      <c r="A51" s="4" t="s">
        <v>63</v>
      </c>
      <c r="B51" s="11">
        <v>129356.07</v>
      </c>
      <c r="C51" s="68">
        <f>+B51/B47</f>
        <v>5.0235803407736791E-2</v>
      </c>
    </row>
    <row r="52" spans="1:4" x14ac:dyDescent="0.25">
      <c r="A52" s="2" t="s">
        <v>64</v>
      </c>
      <c r="B52" s="8">
        <v>1159686.81</v>
      </c>
      <c r="C52" s="68">
        <f>+B52/B47</f>
        <v>0.45036772222366844</v>
      </c>
    </row>
    <row r="53" spans="1:4" x14ac:dyDescent="0.25">
      <c r="A53" s="24" t="s">
        <v>65</v>
      </c>
      <c r="B53" s="25">
        <v>375721.71</v>
      </c>
      <c r="C53" s="68">
        <f>+B53/B47</f>
        <v>0.14591261128742311</v>
      </c>
    </row>
    <row r="54" spans="1:4" x14ac:dyDescent="0.25">
      <c r="A54" s="2" t="s">
        <v>66</v>
      </c>
      <c r="B54" s="8">
        <v>494847.85</v>
      </c>
      <c r="C54" s="68">
        <f>+B54/B47</f>
        <v>0.19217559183222885</v>
      </c>
    </row>
    <row r="55" spans="1:4" x14ac:dyDescent="0.25">
      <c r="A55" s="4" t="s">
        <v>67</v>
      </c>
      <c r="B55" s="71">
        <v>3761810.52</v>
      </c>
    </row>
    <row r="56" spans="1:4" x14ac:dyDescent="0.25">
      <c r="A56" s="26" t="s">
        <v>68</v>
      </c>
      <c r="B56" s="8">
        <v>2660098.7200000002</v>
      </c>
      <c r="C56" s="70">
        <f>+B56/$B$55</f>
        <v>0.70713256445462869</v>
      </c>
    </row>
    <row r="57" spans="1:4" x14ac:dyDescent="0.25">
      <c r="A57" s="4" t="s">
        <v>69</v>
      </c>
      <c r="B57" s="11">
        <v>2384626.87</v>
      </c>
      <c r="C57" s="70">
        <f>+B57/$B$55</f>
        <v>0.6339040356556821</v>
      </c>
    </row>
    <row r="58" spans="1:4" x14ac:dyDescent="0.25">
      <c r="A58" s="2" t="s">
        <v>70</v>
      </c>
      <c r="B58" s="30">
        <v>0</v>
      </c>
      <c r="C58" s="70">
        <f t="shared" ref="C58:C67" si="2">+B58/$B$55</f>
        <v>0</v>
      </c>
    </row>
    <row r="59" spans="1:4" x14ac:dyDescent="0.25">
      <c r="A59" s="4" t="s">
        <v>71</v>
      </c>
      <c r="B59" s="11">
        <v>275354.78000000003</v>
      </c>
      <c r="C59" s="70">
        <f t="shared" si="2"/>
        <v>7.3197408145905238E-2</v>
      </c>
    </row>
    <row r="60" spans="1:4" x14ac:dyDescent="0.25">
      <c r="A60" s="2" t="s">
        <v>72</v>
      </c>
      <c r="B60" s="30">
        <v>117.07</v>
      </c>
      <c r="C60" s="70">
        <f t="shared" si="2"/>
        <v>3.1120653041291406E-5</v>
      </c>
    </row>
    <row r="61" spans="1:4" x14ac:dyDescent="0.25">
      <c r="A61" s="31" t="s">
        <v>73</v>
      </c>
      <c r="B61" s="11">
        <v>1101711.8</v>
      </c>
      <c r="C61" s="70">
        <f t="shared" si="2"/>
        <v>0.29286743554537137</v>
      </c>
      <c r="D61" s="72" t="s">
        <v>135</v>
      </c>
    </row>
    <row r="62" spans="1:4" x14ac:dyDescent="0.25">
      <c r="A62" s="2" t="s">
        <v>74</v>
      </c>
      <c r="B62" s="8">
        <v>99354.23</v>
      </c>
      <c r="C62" s="70">
        <f t="shared" si="2"/>
        <v>2.6411279747285091E-2</v>
      </c>
    </row>
    <row r="63" spans="1:4" x14ac:dyDescent="0.25">
      <c r="A63" s="4" t="s">
        <v>75</v>
      </c>
      <c r="B63" s="11">
        <v>804971.87</v>
      </c>
      <c r="C63" s="70">
        <f t="shared" si="2"/>
        <v>0.2139852248592255</v>
      </c>
    </row>
    <row r="64" spans="1:4" x14ac:dyDescent="0.25">
      <c r="A64" s="2" t="s">
        <v>76</v>
      </c>
      <c r="B64" s="8">
        <v>780908.96</v>
      </c>
      <c r="C64" s="70">
        <f t="shared" si="2"/>
        <v>0.20758859486628262</v>
      </c>
    </row>
    <row r="65" spans="1:3" x14ac:dyDescent="0.25">
      <c r="A65" s="4" t="s">
        <v>77</v>
      </c>
      <c r="B65" s="11">
        <v>24062.91</v>
      </c>
      <c r="C65" s="70">
        <f t="shared" si="2"/>
        <v>6.396629992942866E-3</v>
      </c>
    </row>
    <row r="66" spans="1:3" x14ac:dyDescent="0.25">
      <c r="A66" s="2" t="s">
        <v>72</v>
      </c>
      <c r="B66" s="30">
        <v>16.96</v>
      </c>
      <c r="C66" s="70">
        <f t="shared" si="2"/>
        <v>4.5084673749064851E-6</v>
      </c>
    </row>
    <row r="67" spans="1:3" x14ac:dyDescent="0.25">
      <c r="A67" s="4" t="s">
        <v>78</v>
      </c>
      <c r="B67" s="11">
        <v>197368.74</v>
      </c>
      <c r="C67" s="70">
        <f t="shared" si="2"/>
        <v>5.2466422471485884E-2</v>
      </c>
    </row>
  </sheetData>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67"/>
  <sheetViews>
    <sheetView zoomScale="130" zoomScaleNormal="130" workbookViewId="0">
      <selection activeCell="F11" sqref="F11"/>
    </sheetView>
  </sheetViews>
  <sheetFormatPr baseColWidth="10" defaultColWidth="10.85546875" defaultRowHeight="15.75" x14ac:dyDescent="0.25"/>
  <cols>
    <col min="1" max="1" width="53.42578125" style="1" customWidth="1"/>
    <col min="2" max="3" width="10.85546875" style="1"/>
    <col min="4" max="4" width="16.28515625" style="55" bestFit="1" customWidth="1"/>
    <col min="5" max="5" width="10.85546875" style="56"/>
    <col min="6" max="6" width="13.85546875" style="1" bestFit="1" customWidth="1"/>
    <col min="7" max="16384" width="10.85546875" style="1"/>
  </cols>
  <sheetData>
    <row r="1" spans="1:6" x14ac:dyDescent="0.25">
      <c r="A1" s="6" t="s">
        <v>16</v>
      </c>
      <c r="B1" s="7">
        <v>2021</v>
      </c>
      <c r="C1" s="7">
        <v>2020</v>
      </c>
      <c r="D1" s="55" t="s">
        <v>126</v>
      </c>
      <c r="E1" s="56" t="s">
        <v>127</v>
      </c>
    </row>
    <row r="2" spans="1:6" x14ac:dyDescent="0.25">
      <c r="A2" s="2" t="s">
        <v>17</v>
      </c>
      <c r="B2" s="8">
        <v>16893034.66</v>
      </c>
      <c r="C2" s="8">
        <v>12605085.18</v>
      </c>
      <c r="D2" s="57">
        <f>+B2-C2</f>
        <v>4287949.4800000004</v>
      </c>
      <c r="E2" s="56">
        <f>+D2/C2</f>
        <v>0.34017616055491029</v>
      </c>
    </row>
    <row r="3" spans="1:6" x14ac:dyDescent="0.25">
      <c r="A3" s="9" t="s">
        <v>18</v>
      </c>
      <c r="B3" s="10">
        <v>16823499.829999998</v>
      </c>
      <c r="C3" s="10">
        <v>12579288.699999999</v>
      </c>
      <c r="D3" s="57">
        <f>+B3-C3</f>
        <v>4244211.129999999</v>
      </c>
      <c r="E3" s="56">
        <f>+D3/C3</f>
        <v>0.33739675042198525</v>
      </c>
    </row>
    <row r="4" spans="1:6" x14ac:dyDescent="0.25">
      <c r="A4" s="2" t="s">
        <v>19</v>
      </c>
      <c r="B4" s="8">
        <v>-15365206.18</v>
      </c>
      <c r="C4" s="8">
        <v>-11590213.720000001</v>
      </c>
      <c r="D4" s="57">
        <f>+B4-C4</f>
        <v>-3774992.459999999</v>
      </c>
      <c r="E4" s="58">
        <f>+D4/C4</f>
        <v>0.32570516395965121</v>
      </c>
    </row>
    <row r="5" spans="1:6" x14ac:dyDescent="0.25">
      <c r="A5" s="12" t="s">
        <v>20</v>
      </c>
      <c r="B5" s="13">
        <f>+B3+B4</f>
        <v>1458293.6499999985</v>
      </c>
      <c r="C5" s="13">
        <v>989074.97</v>
      </c>
      <c r="D5" s="57">
        <f>+B5-C5</f>
        <v>469218.67999999854</v>
      </c>
      <c r="E5" s="56">
        <f>+D5/C5</f>
        <v>0.474401530957758</v>
      </c>
    </row>
    <row r="6" spans="1:6" x14ac:dyDescent="0.25">
      <c r="A6" s="2" t="s">
        <v>21</v>
      </c>
      <c r="B6" s="8">
        <v>-671638.2</v>
      </c>
      <c r="C6" s="8">
        <v>-619935.61</v>
      </c>
      <c r="D6" s="57">
        <f>+B6-C6</f>
        <v>-51702.589999999967</v>
      </c>
      <c r="E6" s="56">
        <f>+D6/C6</f>
        <v>8.3399935680416828E-2</v>
      </c>
    </row>
    <row r="7" spans="1:6" x14ac:dyDescent="0.25">
      <c r="A7" s="4" t="s">
        <v>22</v>
      </c>
      <c r="B7" s="11">
        <v>-190576.99</v>
      </c>
      <c r="C7" s="11">
        <v>-165645.48000000001</v>
      </c>
      <c r="D7" s="57">
        <f t="shared" ref="D7:D19" si="0">+B7-C7</f>
        <v>-24931.50999999998</v>
      </c>
      <c r="E7" s="56">
        <f t="shared" ref="E7:E19" si="1">+D7/C7</f>
        <v>0.15051126055477021</v>
      </c>
    </row>
    <row r="8" spans="1:6" x14ac:dyDescent="0.25">
      <c r="A8" s="18" t="s">
        <v>23</v>
      </c>
      <c r="B8" s="19">
        <f>+B9+B10</f>
        <v>-8368.25</v>
      </c>
      <c r="C8" s="19">
        <f>+C9+C10</f>
        <v>-33397.149999999994</v>
      </c>
      <c r="D8" s="59">
        <f t="shared" si="0"/>
        <v>25028.899999999994</v>
      </c>
      <c r="E8" s="60">
        <f t="shared" si="1"/>
        <v>-0.74943221203006838</v>
      </c>
      <c r="F8" s="1" t="s">
        <v>128</v>
      </c>
    </row>
    <row r="9" spans="1:6" x14ac:dyDescent="0.25">
      <c r="A9" s="4" t="s">
        <v>24</v>
      </c>
      <c r="B9" s="11">
        <v>69534.83</v>
      </c>
      <c r="C9" s="11">
        <v>25796.48</v>
      </c>
      <c r="D9" s="57">
        <f t="shared" si="0"/>
        <v>43738.350000000006</v>
      </c>
      <c r="E9" s="56">
        <f t="shared" si="1"/>
        <v>1.6955162099635301</v>
      </c>
    </row>
    <row r="10" spans="1:6" x14ac:dyDescent="0.25">
      <c r="A10" s="2" t="s">
        <v>25</v>
      </c>
      <c r="B10" s="8">
        <v>-77903.08</v>
      </c>
      <c r="C10" s="8">
        <v>-59193.63</v>
      </c>
      <c r="D10" s="57">
        <f>+B10-C10</f>
        <v>-18709.450000000004</v>
      </c>
      <c r="E10" s="56">
        <f t="shared" si="1"/>
        <v>0.3160720165328601</v>
      </c>
    </row>
    <row r="11" spans="1:6" x14ac:dyDescent="0.25">
      <c r="A11" s="15" t="s">
        <v>26</v>
      </c>
      <c r="B11" s="16">
        <v>587710.21</v>
      </c>
      <c r="C11" s="16">
        <v>170096.74</v>
      </c>
      <c r="D11" s="57">
        <f t="shared" si="0"/>
        <v>417613.47</v>
      </c>
      <c r="E11" s="56">
        <f t="shared" si="1"/>
        <v>2.4551526972239444</v>
      </c>
      <c r="F11" s="22">
        <f>+B11*2</f>
        <v>1175420.42</v>
      </c>
    </row>
    <row r="12" spans="1:6" x14ac:dyDescent="0.25">
      <c r="A12" s="2" t="s">
        <v>27</v>
      </c>
      <c r="B12" s="8">
        <v>-31772</v>
      </c>
      <c r="C12" s="8">
        <v>-201372.18</v>
      </c>
      <c r="D12" s="57">
        <f t="shared" si="0"/>
        <v>169600.18</v>
      </c>
      <c r="E12" s="56">
        <f>+D12/C12</f>
        <v>-0.84222249567939322</v>
      </c>
      <c r="F12" s="22">
        <f>+B11*7</f>
        <v>4113971.4699999997</v>
      </c>
    </row>
    <row r="13" spans="1:6" x14ac:dyDescent="0.25">
      <c r="A13" s="4" t="s">
        <v>28</v>
      </c>
      <c r="B13" s="11">
        <v>11965.42</v>
      </c>
      <c r="C13" s="11">
        <v>12922.8</v>
      </c>
      <c r="D13" s="57">
        <f t="shared" si="0"/>
        <v>-957.3799999999992</v>
      </c>
      <c r="E13" s="56">
        <f t="shared" si="1"/>
        <v>-7.4084563716841495E-2</v>
      </c>
      <c r="F13" s="176">
        <f>+B11*10</f>
        <v>5877102.0999999996</v>
      </c>
    </row>
    <row r="14" spans="1:6" x14ac:dyDescent="0.25">
      <c r="A14" s="2" t="s">
        <v>29</v>
      </c>
      <c r="B14" s="8">
        <v>-163113.32999999999</v>
      </c>
      <c r="C14" s="8">
        <v>-176649.07</v>
      </c>
      <c r="D14" s="57">
        <f t="shared" si="0"/>
        <v>13535.74000000002</v>
      </c>
      <c r="E14" s="56">
        <f t="shared" si="1"/>
        <v>-7.6625028368391745E-2</v>
      </c>
      <c r="F14" s="22">
        <f>+F13-'Financial Statements'!I37</f>
        <v>3302124.4699999993</v>
      </c>
    </row>
    <row r="15" spans="1:6" x14ac:dyDescent="0.25">
      <c r="A15" s="18" t="s">
        <v>30</v>
      </c>
      <c r="B15" s="19">
        <v>119375.91</v>
      </c>
      <c r="C15" s="19">
        <v>-37645.910000000003</v>
      </c>
      <c r="D15" s="57">
        <f t="shared" si="0"/>
        <v>157021.82</v>
      </c>
      <c r="E15" s="56">
        <f t="shared" si="1"/>
        <v>-4.171019375013115</v>
      </c>
    </row>
    <row r="16" spans="1:6" x14ac:dyDescent="0.25">
      <c r="A16" s="20" t="s">
        <v>31</v>
      </c>
      <c r="B16" s="21">
        <f>+B11+B12</f>
        <v>555938.21</v>
      </c>
      <c r="C16" s="21">
        <v>-31275.439999999999</v>
      </c>
      <c r="D16" s="57">
        <f t="shared" si="0"/>
        <v>587213.64999999991</v>
      </c>
      <c r="E16" s="56">
        <f t="shared" si="1"/>
        <v>-18.775551998628956</v>
      </c>
    </row>
    <row r="17" spans="1:5" x14ac:dyDescent="0.25">
      <c r="A17" s="4" t="s">
        <v>32</v>
      </c>
      <c r="B17" s="11">
        <v>-180216.51</v>
      </c>
      <c r="C17" s="11">
        <v>-8462.81</v>
      </c>
      <c r="D17" s="57">
        <f t="shared" si="0"/>
        <v>-171753.7</v>
      </c>
      <c r="E17" s="56">
        <f t="shared" si="1"/>
        <v>20.295114743211773</v>
      </c>
    </row>
    <row r="18" spans="1:5" x14ac:dyDescent="0.25">
      <c r="A18" s="2" t="s">
        <v>33</v>
      </c>
      <c r="B18" s="8">
        <v>375721.71</v>
      </c>
      <c r="C18" s="8">
        <v>-39738.25</v>
      </c>
      <c r="D18" s="57">
        <f t="shared" si="0"/>
        <v>415459.96</v>
      </c>
      <c r="E18" s="56">
        <f t="shared" si="1"/>
        <v>-10.454913339163149</v>
      </c>
    </row>
    <row r="19" spans="1:5" x14ac:dyDescent="0.25">
      <c r="A19" s="24" t="s">
        <v>34</v>
      </c>
      <c r="B19" s="25">
        <f>+B16+B17</f>
        <v>375721.69999999995</v>
      </c>
      <c r="C19" s="25">
        <v>-39738.25</v>
      </c>
      <c r="D19" s="57">
        <f t="shared" si="0"/>
        <v>415459.94999999995</v>
      </c>
      <c r="E19" s="56">
        <f t="shared" si="1"/>
        <v>-10.454913087516434</v>
      </c>
    </row>
    <row r="20" spans="1:5" x14ac:dyDescent="0.25">
      <c r="B20" s="17"/>
      <c r="D20" s="57"/>
    </row>
    <row r="22" spans="1:5" x14ac:dyDescent="0.25">
      <c r="A22" s="6" t="s">
        <v>116</v>
      </c>
      <c r="B22" s="7">
        <v>2021</v>
      </c>
      <c r="C22" s="7">
        <v>2020</v>
      </c>
      <c r="D22" s="55" t="s">
        <v>126</v>
      </c>
      <c r="E22" s="56" t="s">
        <v>127</v>
      </c>
    </row>
    <row r="23" spans="1:5" x14ac:dyDescent="0.25">
      <c r="A23" s="4" t="s">
        <v>35</v>
      </c>
      <c r="B23" s="11">
        <v>6336788.1500000004</v>
      </c>
      <c r="C23" s="11">
        <v>5631290.9199999999</v>
      </c>
      <c r="D23" s="57">
        <f>+B23-C23</f>
        <v>705497.23000000045</v>
      </c>
      <c r="E23" s="56">
        <f>+D23/C23</f>
        <v>0.12528161659955592</v>
      </c>
    </row>
    <row r="24" spans="1:5" x14ac:dyDescent="0.25">
      <c r="A24" s="26" t="s">
        <v>36</v>
      </c>
      <c r="B24" s="8">
        <v>4420021.95</v>
      </c>
      <c r="C24" s="8">
        <v>4081636.06</v>
      </c>
      <c r="D24" s="57">
        <f t="shared" ref="D24:D67" si="2">+B24-C24</f>
        <v>338385.89000000013</v>
      </c>
      <c r="E24" s="56">
        <f t="shared" ref="E24:E67" si="3">+D24/C24</f>
        <v>8.2904473849635715E-2</v>
      </c>
    </row>
    <row r="25" spans="1:5" x14ac:dyDescent="0.25">
      <c r="A25" s="4" t="s">
        <v>37</v>
      </c>
      <c r="B25" s="11">
        <v>2123183.09</v>
      </c>
      <c r="C25" s="11">
        <v>1851980.08</v>
      </c>
      <c r="D25" s="57">
        <f t="shared" si="2"/>
        <v>271203.00999999978</v>
      </c>
      <c r="E25" s="56">
        <f t="shared" si="3"/>
        <v>0.14643948546142016</v>
      </c>
    </row>
    <row r="26" spans="1:5" x14ac:dyDescent="0.25">
      <c r="A26" s="61" t="s">
        <v>38</v>
      </c>
      <c r="B26" s="62">
        <v>492610.19</v>
      </c>
      <c r="C26" s="62">
        <v>909940.33</v>
      </c>
      <c r="D26" s="63">
        <f t="shared" si="2"/>
        <v>-417330.13999999996</v>
      </c>
      <c r="E26" s="64">
        <f t="shared" si="3"/>
        <v>-0.4586346227779573</v>
      </c>
    </row>
    <row r="27" spans="1:5" x14ac:dyDescent="0.25">
      <c r="A27" s="61" t="s">
        <v>39</v>
      </c>
      <c r="B27" s="62">
        <v>228932.47</v>
      </c>
      <c r="C27" s="62">
        <v>228932.47</v>
      </c>
      <c r="D27" s="63">
        <f t="shared" si="2"/>
        <v>0</v>
      </c>
      <c r="E27" s="64">
        <f t="shared" si="3"/>
        <v>0</v>
      </c>
    </row>
    <row r="28" spans="1:5" x14ac:dyDescent="0.25">
      <c r="A28" s="61" t="s">
        <v>40</v>
      </c>
      <c r="B28" s="62">
        <v>263677.71999999997</v>
      </c>
      <c r="C28" s="62">
        <v>681007.86</v>
      </c>
      <c r="D28" s="63">
        <f t="shared" si="2"/>
        <v>-417330.14</v>
      </c>
      <c r="E28" s="64">
        <f t="shared" si="3"/>
        <v>-0.61281251584967023</v>
      </c>
    </row>
    <row r="29" spans="1:5" x14ac:dyDescent="0.25">
      <c r="A29" s="4" t="s">
        <v>41</v>
      </c>
      <c r="B29" s="11">
        <v>5667.5</v>
      </c>
      <c r="C29" s="11">
        <v>7224.31</v>
      </c>
      <c r="D29" s="57">
        <f t="shared" si="2"/>
        <v>-1556.8100000000004</v>
      </c>
      <c r="E29" s="56">
        <f t="shared" si="3"/>
        <v>-0.21549601276800143</v>
      </c>
    </row>
    <row r="30" spans="1:5" x14ac:dyDescent="0.25">
      <c r="A30" s="2" t="s">
        <v>42</v>
      </c>
      <c r="B30" s="8">
        <v>5667.5</v>
      </c>
      <c r="C30" s="8">
        <v>7224.31</v>
      </c>
      <c r="D30" s="57">
        <f t="shared" si="2"/>
        <v>-1556.8100000000004</v>
      </c>
      <c r="E30" s="56">
        <f t="shared" si="3"/>
        <v>-0.21549601276800143</v>
      </c>
    </row>
    <row r="31" spans="1:5" x14ac:dyDescent="0.25">
      <c r="A31" s="4" t="s">
        <v>43</v>
      </c>
      <c r="B31" s="11">
        <v>1796703.57</v>
      </c>
      <c r="C31" s="11">
        <v>1311438.46</v>
      </c>
      <c r="D31" s="57">
        <f t="shared" si="2"/>
        <v>485265.1100000001</v>
      </c>
      <c r="E31" s="56">
        <f t="shared" si="3"/>
        <v>0.37002507155387232</v>
      </c>
    </row>
    <row r="32" spans="1:5" x14ac:dyDescent="0.25">
      <c r="A32" s="2" t="s">
        <v>44</v>
      </c>
      <c r="B32" s="8">
        <v>5450.98</v>
      </c>
      <c r="C32" s="8">
        <v>5523</v>
      </c>
      <c r="D32" s="57">
        <f t="shared" si="2"/>
        <v>-72.020000000000437</v>
      </c>
      <c r="E32" s="56">
        <f t="shared" si="3"/>
        <v>-1.3040014484881485E-2</v>
      </c>
    </row>
    <row r="33" spans="1:5" x14ac:dyDescent="0.25">
      <c r="A33" s="4" t="s">
        <v>45</v>
      </c>
      <c r="B33" s="11">
        <v>1791252.58</v>
      </c>
      <c r="C33" s="11">
        <v>1305915.45</v>
      </c>
      <c r="D33" s="57">
        <f t="shared" si="2"/>
        <v>485337.13000000012</v>
      </c>
      <c r="E33" s="56">
        <f t="shared" si="3"/>
        <v>0.37164513981360747</v>
      </c>
    </row>
    <row r="34" spans="1:5" x14ac:dyDescent="0.25">
      <c r="A34" s="2" t="s">
        <v>46</v>
      </c>
      <c r="B34" s="8">
        <v>1857.61</v>
      </c>
      <c r="C34" s="8">
        <v>1052.8800000000001</v>
      </c>
      <c r="D34" s="57">
        <f t="shared" si="2"/>
        <v>804.72999999999979</v>
      </c>
      <c r="E34" s="56">
        <f t="shared" si="3"/>
        <v>0.76431312210318336</v>
      </c>
    </row>
    <row r="35" spans="1:5" x14ac:dyDescent="0.25">
      <c r="A35" s="27" t="s">
        <v>47</v>
      </c>
      <c r="B35" s="11">
        <v>1916766.2</v>
      </c>
      <c r="C35" s="11">
        <v>1549654.87</v>
      </c>
      <c r="D35" s="57">
        <f t="shared" si="2"/>
        <v>367111.32999999984</v>
      </c>
      <c r="E35" s="56">
        <f t="shared" si="3"/>
        <v>0.23689876830445467</v>
      </c>
    </row>
    <row r="36" spans="1:5" x14ac:dyDescent="0.25">
      <c r="A36" s="2" t="s">
        <v>48</v>
      </c>
      <c r="B36" s="8">
        <v>705677.94</v>
      </c>
      <c r="C36" s="8">
        <v>626940.23</v>
      </c>
      <c r="D36" s="57">
        <f t="shared" si="2"/>
        <v>78737.709999999963</v>
      </c>
      <c r="E36" s="56">
        <f t="shared" si="3"/>
        <v>0.12559045700417082</v>
      </c>
    </row>
    <row r="37" spans="1:5" x14ac:dyDescent="0.25">
      <c r="A37" s="4" t="s">
        <v>49</v>
      </c>
      <c r="B37" s="11">
        <v>609886.55000000005</v>
      </c>
      <c r="C37" s="11">
        <v>461681.58</v>
      </c>
      <c r="D37" s="57">
        <f t="shared" si="2"/>
        <v>148204.97000000003</v>
      </c>
      <c r="E37" s="56">
        <f t="shared" si="3"/>
        <v>0.32101122596227477</v>
      </c>
    </row>
    <row r="38" spans="1:5" x14ac:dyDescent="0.25">
      <c r="A38" s="28" t="s">
        <v>50</v>
      </c>
      <c r="B38" s="8">
        <v>534184.89</v>
      </c>
      <c r="C38" s="8">
        <v>379531.22</v>
      </c>
      <c r="D38" s="57">
        <f t="shared" si="2"/>
        <v>154653.67000000004</v>
      </c>
      <c r="E38" s="56">
        <f t="shared" si="3"/>
        <v>0.40748602973952985</v>
      </c>
    </row>
    <row r="39" spans="1:5" x14ac:dyDescent="0.25">
      <c r="A39" s="4" t="s">
        <v>51</v>
      </c>
      <c r="B39" s="11">
        <v>63793.77</v>
      </c>
      <c r="C39" s="11">
        <v>32998.57</v>
      </c>
      <c r="D39" s="57">
        <f t="shared" si="2"/>
        <v>30795.199999999997</v>
      </c>
      <c r="E39" s="56">
        <f t="shared" si="3"/>
        <v>0.93322831868168821</v>
      </c>
    </row>
    <row r="40" spans="1:5" x14ac:dyDescent="0.25">
      <c r="A40" s="2" t="s">
        <v>52</v>
      </c>
      <c r="B40" s="8">
        <v>11907.89</v>
      </c>
      <c r="C40" s="8">
        <v>49151.79</v>
      </c>
      <c r="D40" s="57">
        <f t="shared" si="2"/>
        <v>-37243.9</v>
      </c>
      <c r="E40" s="56">
        <f t="shared" si="3"/>
        <v>-0.757732322668208</v>
      </c>
    </row>
    <row r="41" spans="1:5" x14ac:dyDescent="0.25">
      <c r="A41" s="4" t="s">
        <v>53</v>
      </c>
      <c r="B41" s="11">
        <v>59746.54</v>
      </c>
      <c r="C41" s="29">
        <v>0</v>
      </c>
      <c r="D41" s="57">
        <f t="shared" si="2"/>
        <v>59746.54</v>
      </c>
    </row>
    <row r="42" spans="1:5" x14ac:dyDescent="0.25">
      <c r="A42" s="2" t="s">
        <v>54</v>
      </c>
      <c r="B42" s="8">
        <v>59746.54</v>
      </c>
      <c r="C42" s="30">
        <v>0</v>
      </c>
      <c r="D42" s="57">
        <f t="shared" si="2"/>
        <v>59746.54</v>
      </c>
    </row>
    <row r="43" spans="1:5" x14ac:dyDescent="0.25">
      <c r="A43" s="28" t="s">
        <v>55</v>
      </c>
      <c r="B43" s="53">
        <v>476940.97</v>
      </c>
      <c r="C43" s="11">
        <v>411113.34</v>
      </c>
      <c r="D43" s="57">
        <f t="shared" si="2"/>
        <v>65827.629999999946</v>
      </c>
      <c r="E43" s="56">
        <f t="shared" si="3"/>
        <v>0.16012039404997158</v>
      </c>
    </row>
    <row r="44" spans="1:5" x14ac:dyDescent="0.25">
      <c r="A44" s="2" t="s">
        <v>56</v>
      </c>
      <c r="B44" s="8">
        <v>62860.31</v>
      </c>
      <c r="C44" s="8">
        <v>49919.72</v>
      </c>
      <c r="D44" s="57">
        <f t="shared" si="2"/>
        <v>12940.589999999997</v>
      </c>
      <c r="E44" s="56">
        <f t="shared" si="3"/>
        <v>0.25922801650329763</v>
      </c>
    </row>
    <row r="45" spans="1:5" x14ac:dyDescent="0.25">
      <c r="A45" s="4" t="s">
        <v>57</v>
      </c>
      <c r="B45" s="11">
        <v>1653.89</v>
      </c>
      <c r="C45" s="29">
        <v>0</v>
      </c>
      <c r="D45" s="57">
        <f t="shared" si="2"/>
        <v>1653.89</v>
      </c>
    </row>
    <row r="46" spans="1:5" x14ac:dyDescent="0.25">
      <c r="A46" s="2" t="s">
        <v>58</v>
      </c>
      <c r="B46" s="8">
        <v>6336788.1500000004</v>
      </c>
      <c r="C46" s="8">
        <v>5631290.9199999999</v>
      </c>
      <c r="D46" s="57">
        <f t="shared" si="2"/>
        <v>705497.23000000045</v>
      </c>
      <c r="E46" s="56">
        <f t="shared" si="3"/>
        <v>0.12528161659955592</v>
      </c>
    </row>
    <row r="47" spans="1:5" x14ac:dyDescent="0.25">
      <c r="A47" s="4" t="s">
        <v>59</v>
      </c>
      <c r="B47" s="11">
        <v>2574977.63</v>
      </c>
      <c r="C47" s="11">
        <v>1998374.48</v>
      </c>
      <c r="D47" s="57">
        <f t="shared" si="2"/>
        <v>576603.14999999991</v>
      </c>
      <c r="E47" s="56">
        <f t="shared" si="3"/>
        <v>0.28853608558892319</v>
      </c>
    </row>
    <row r="48" spans="1:5" x14ac:dyDescent="0.25">
      <c r="A48" s="2" t="s">
        <v>60</v>
      </c>
      <c r="B48" s="8">
        <v>2574977.63</v>
      </c>
      <c r="C48" s="8">
        <v>1998374.48</v>
      </c>
      <c r="D48" s="57">
        <f t="shared" si="2"/>
        <v>576603.14999999991</v>
      </c>
      <c r="E48" s="56">
        <f t="shared" si="3"/>
        <v>0.28853608558892319</v>
      </c>
    </row>
    <row r="49" spans="1:5" x14ac:dyDescent="0.25">
      <c r="A49" s="4" t="s">
        <v>61</v>
      </c>
      <c r="B49" s="11">
        <v>195999.47</v>
      </c>
      <c r="C49" s="11">
        <v>195999.47</v>
      </c>
      <c r="D49" s="57">
        <f t="shared" si="2"/>
        <v>0</v>
      </c>
      <c r="E49" s="56">
        <f t="shared" si="3"/>
        <v>0</v>
      </c>
    </row>
    <row r="50" spans="1:5" x14ac:dyDescent="0.25">
      <c r="A50" s="18" t="s">
        <v>62</v>
      </c>
      <c r="B50" s="19">
        <v>219365.73</v>
      </c>
      <c r="C50" s="19">
        <v>219365.73</v>
      </c>
      <c r="D50" s="57">
        <f t="shared" si="2"/>
        <v>0</v>
      </c>
      <c r="E50" s="56">
        <f t="shared" si="3"/>
        <v>0</v>
      </c>
    </row>
    <row r="51" spans="1:5" x14ac:dyDescent="0.25">
      <c r="A51" s="4" t="s">
        <v>63</v>
      </c>
      <c r="B51" s="11">
        <v>129356.07</v>
      </c>
      <c r="C51" s="11">
        <v>133730.53</v>
      </c>
      <c r="D51" s="57">
        <f t="shared" si="2"/>
        <v>-4374.4599999999919</v>
      </c>
      <c r="E51" s="56">
        <f t="shared" si="3"/>
        <v>-3.2711004734670472E-2</v>
      </c>
    </row>
    <row r="52" spans="1:5" x14ac:dyDescent="0.25">
      <c r="A52" s="2" t="s">
        <v>64</v>
      </c>
      <c r="B52" s="8">
        <v>1159686.81</v>
      </c>
      <c r="C52" s="8">
        <v>1214707.96</v>
      </c>
      <c r="D52" s="57">
        <f t="shared" si="2"/>
        <v>-55021.149999999907</v>
      </c>
      <c r="E52" s="56">
        <f t="shared" si="3"/>
        <v>-4.529578451103581E-2</v>
      </c>
    </row>
    <row r="53" spans="1:5" x14ac:dyDescent="0.25">
      <c r="A53" s="24" t="s">
        <v>65</v>
      </c>
      <c r="B53" s="25">
        <v>375721.71</v>
      </c>
      <c r="C53" s="25">
        <v>-39738.25</v>
      </c>
      <c r="D53" s="57">
        <f t="shared" si="2"/>
        <v>415459.96</v>
      </c>
      <c r="E53" s="56">
        <f t="shared" si="3"/>
        <v>-10.454913339163149</v>
      </c>
    </row>
    <row r="54" spans="1:5" x14ac:dyDescent="0.25">
      <c r="A54" s="2" t="s">
        <v>66</v>
      </c>
      <c r="B54" s="8">
        <v>494847.85</v>
      </c>
      <c r="C54" s="8">
        <v>274309.03000000003</v>
      </c>
      <c r="D54" s="57">
        <f t="shared" si="2"/>
        <v>220538.81999999995</v>
      </c>
      <c r="E54" s="56">
        <f t="shared" si="3"/>
        <v>0.80397943881030798</v>
      </c>
    </row>
    <row r="55" spans="1:5" x14ac:dyDescent="0.25">
      <c r="A55" s="4" t="s">
        <v>67</v>
      </c>
      <c r="B55" s="11">
        <v>3761810.52</v>
      </c>
      <c r="C55" s="11">
        <v>3632916.44</v>
      </c>
      <c r="D55" s="57">
        <f t="shared" si="2"/>
        <v>128894.08000000007</v>
      </c>
      <c r="E55" s="56">
        <f t="shared" si="3"/>
        <v>3.5479505826453879E-2</v>
      </c>
    </row>
    <row r="56" spans="1:5" x14ac:dyDescent="0.25">
      <c r="A56" s="26" t="s">
        <v>68</v>
      </c>
      <c r="B56" s="8">
        <v>2660098.7200000002</v>
      </c>
      <c r="C56" s="8">
        <v>2763195.19</v>
      </c>
      <c r="D56" s="57">
        <f t="shared" si="2"/>
        <v>-103096.46999999974</v>
      </c>
      <c r="E56" s="56">
        <f t="shared" si="3"/>
        <v>-3.7310599834968497E-2</v>
      </c>
    </row>
    <row r="57" spans="1:5" x14ac:dyDescent="0.25">
      <c r="A57" s="4" t="s">
        <v>69</v>
      </c>
      <c r="B57" s="11">
        <v>2384626.87</v>
      </c>
      <c r="C57" s="11">
        <v>2532708.94</v>
      </c>
      <c r="D57" s="57">
        <f t="shared" si="2"/>
        <v>-148082.06999999983</v>
      </c>
      <c r="E57" s="56">
        <f t="shared" si="3"/>
        <v>-5.8467859319041943E-2</v>
      </c>
    </row>
    <row r="58" spans="1:5" x14ac:dyDescent="0.25">
      <c r="A58" s="2" t="s">
        <v>70</v>
      </c>
      <c r="B58" s="30">
        <v>0</v>
      </c>
      <c r="C58" s="30">
        <v>0</v>
      </c>
      <c r="D58" s="57">
        <f t="shared" si="2"/>
        <v>0</v>
      </c>
    </row>
    <row r="59" spans="1:5" x14ac:dyDescent="0.25">
      <c r="A59" s="4" t="s">
        <v>71</v>
      </c>
      <c r="B59" s="11">
        <v>275354.78000000003</v>
      </c>
      <c r="C59" s="11">
        <v>230355.93</v>
      </c>
      <c r="D59" s="57">
        <f t="shared" si="2"/>
        <v>44998.850000000035</v>
      </c>
      <c r="E59" s="56">
        <f t="shared" si="3"/>
        <v>0.19534487347471383</v>
      </c>
    </row>
    <row r="60" spans="1:5" x14ac:dyDescent="0.25">
      <c r="A60" s="2" t="s">
        <v>72</v>
      </c>
      <c r="B60" s="30">
        <v>117.07</v>
      </c>
      <c r="C60" s="30">
        <v>130.33000000000001</v>
      </c>
      <c r="D60" s="57">
        <f t="shared" si="2"/>
        <v>-13.260000000000019</v>
      </c>
      <c r="E60" s="56">
        <f t="shared" si="3"/>
        <v>-0.10174173252512866</v>
      </c>
    </row>
    <row r="61" spans="1:5" x14ac:dyDescent="0.25">
      <c r="A61" s="31" t="s">
        <v>73</v>
      </c>
      <c r="B61" s="11">
        <v>1101711.8</v>
      </c>
      <c r="C61" s="11">
        <v>869721.25</v>
      </c>
      <c r="D61" s="57">
        <f t="shared" si="2"/>
        <v>231990.55000000005</v>
      </c>
      <c r="E61" s="56">
        <f t="shared" si="3"/>
        <v>0.26674126911352347</v>
      </c>
    </row>
    <row r="62" spans="1:5" x14ac:dyDescent="0.25">
      <c r="A62" s="2" t="s">
        <v>74</v>
      </c>
      <c r="B62" s="8">
        <v>99354.23</v>
      </c>
      <c r="C62" s="8">
        <v>28164.37</v>
      </c>
      <c r="D62" s="57">
        <f t="shared" si="2"/>
        <v>71189.86</v>
      </c>
      <c r="E62" s="56">
        <f t="shared" si="3"/>
        <v>2.5276567521304401</v>
      </c>
    </row>
    <row r="63" spans="1:5" x14ac:dyDescent="0.25">
      <c r="A63" s="4" t="s">
        <v>75</v>
      </c>
      <c r="B63" s="11">
        <v>804971.87</v>
      </c>
      <c r="C63" s="11">
        <v>682473.49</v>
      </c>
      <c r="D63" s="57">
        <f t="shared" si="2"/>
        <v>122498.38</v>
      </c>
      <c r="E63" s="56">
        <f t="shared" si="3"/>
        <v>0.17949177776854014</v>
      </c>
    </row>
    <row r="64" spans="1:5" x14ac:dyDescent="0.25">
      <c r="A64" s="2" t="s">
        <v>76</v>
      </c>
      <c r="B64" s="8">
        <v>780908.96</v>
      </c>
      <c r="C64" s="8">
        <v>654019.9</v>
      </c>
      <c r="D64" s="57">
        <f t="shared" si="2"/>
        <v>126889.05999999994</v>
      </c>
      <c r="E64" s="56">
        <f t="shared" si="3"/>
        <v>0.19401406593285608</v>
      </c>
    </row>
    <row r="65" spans="1:5" x14ac:dyDescent="0.25">
      <c r="A65" s="4" t="s">
        <v>77</v>
      </c>
      <c r="B65" s="11">
        <v>24062.91</v>
      </c>
      <c r="C65" s="11">
        <v>28453.59</v>
      </c>
      <c r="D65" s="57">
        <f t="shared" si="2"/>
        <v>-4390.68</v>
      </c>
      <c r="E65" s="56">
        <f t="shared" si="3"/>
        <v>-0.15431022939460365</v>
      </c>
    </row>
    <row r="66" spans="1:5" x14ac:dyDescent="0.25">
      <c r="A66" s="2" t="s">
        <v>72</v>
      </c>
      <c r="B66" s="30">
        <v>16.96</v>
      </c>
      <c r="C66" s="30">
        <v>16.690000000000001</v>
      </c>
      <c r="D66" s="57">
        <f t="shared" si="2"/>
        <v>0.26999999999999957</v>
      </c>
      <c r="E66" s="56">
        <f t="shared" si="3"/>
        <v>1.6177351707609321E-2</v>
      </c>
    </row>
    <row r="67" spans="1:5" x14ac:dyDescent="0.25">
      <c r="A67" s="4" t="s">
        <v>78</v>
      </c>
      <c r="B67" s="11">
        <v>197368.74</v>
      </c>
      <c r="C67" s="11">
        <v>159066.70000000001</v>
      </c>
      <c r="D67" s="57">
        <f t="shared" si="2"/>
        <v>38302.039999999979</v>
      </c>
      <c r="E67" s="56">
        <f t="shared" si="3"/>
        <v>0.24079232171158374</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E11"/>
  <sheetViews>
    <sheetView tabSelected="1" zoomScale="120" zoomScaleNormal="120" workbookViewId="0">
      <selection activeCell="E2" sqref="E2"/>
    </sheetView>
  </sheetViews>
  <sheetFormatPr baseColWidth="10" defaultColWidth="10.85546875" defaultRowHeight="15.75" x14ac:dyDescent="0.25"/>
  <cols>
    <col min="1" max="1" width="10.85546875" style="1"/>
    <col min="2" max="2" width="20.140625" style="80" bestFit="1" customWidth="1"/>
    <col min="3" max="3" width="13.28515625" style="76" bestFit="1" customWidth="1"/>
    <col min="4" max="4" width="10.85546875" style="1"/>
    <col min="5" max="5" width="42.85546875" style="1" bestFit="1" customWidth="1"/>
    <col min="6" max="16384" width="10.85546875" style="1"/>
  </cols>
  <sheetData>
    <row r="1" spans="2:5" x14ac:dyDescent="0.25">
      <c r="B1" s="79" t="s">
        <v>140</v>
      </c>
    </row>
    <row r="2" spans="2:5" x14ac:dyDescent="0.25">
      <c r="B2" s="80" t="s">
        <v>137</v>
      </c>
      <c r="C2" s="77">
        <f>+'Financial Statements'!B49-'Financial Statements'!B75</f>
        <v>815054.39999999991</v>
      </c>
      <c r="E2" s="74" t="s">
        <v>138</v>
      </c>
    </row>
    <row r="3" spans="2:5" ht="63" x14ac:dyDescent="0.25">
      <c r="E3" s="73" t="s">
        <v>139</v>
      </c>
    </row>
    <row r="4" spans="2:5" ht="220.5" x14ac:dyDescent="0.25">
      <c r="E4" s="73" t="s">
        <v>152</v>
      </c>
    </row>
    <row r="5" spans="2:5" x14ac:dyDescent="0.25">
      <c r="B5" s="79" t="s">
        <v>141</v>
      </c>
    </row>
    <row r="6" spans="2:5" ht="126" x14ac:dyDescent="0.25">
      <c r="B6" s="75" t="s">
        <v>143</v>
      </c>
      <c r="C6" s="78">
        <f>+'Financial Statements'!B49/'Financial Statements'!B75</f>
        <v>1.73980727083072</v>
      </c>
      <c r="E6" s="73" t="s">
        <v>142</v>
      </c>
    </row>
    <row r="8" spans="2:5" x14ac:dyDescent="0.25">
      <c r="B8" s="79" t="s">
        <v>144</v>
      </c>
    </row>
    <row r="9" spans="2:5" ht="157.5" x14ac:dyDescent="0.25">
      <c r="B9" s="75" t="s">
        <v>146</v>
      </c>
      <c r="C9" s="78">
        <f>+('Financial Statements'!B49-'Financial Statements'!B50)/'Financial Statements'!B75</f>
        <v>1.0992786498247544</v>
      </c>
      <c r="E9" s="73" t="s">
        <v>145</v>
      </c>
    </row>
    <row r="10" spans="2:5" ht="141.75" x14ac:dyDescent="0.25">
      <c r="E10" s="73" t="s">
        <v>147</v>
      </c>
    </row>
    <row r="11" spans="2:5" ht="110.25" x14ac:dyDescent="0.25">
      <c r="E11" s="73" t="s">
        <v>148</v>
      </c>
    </row>
  </sheetData>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F25"/>
  <sheetViews>
    <sheetView zoomScale="120" zoomScaleNormal="120" workbookViewId="0">
      <selection activeCell="C23" sqref="C23"/>
    </sheetView>
  </sheetViews>
  <sheetFormatPr baseColWidth="10" defaultColWidth="10.85546875" defaultRowHeight="15.75" x14ac:dyDescent="0.25"/>
  <cols>
    <col min="1" max="1" width="10.85546875" style="1"/>
    <col min="2" max="2" width="28" style="80" bestFit="1" customWidth="1"/>
    <col min="3" max="3" width="15.42578125" style="76" bestFit="1" customWidth="1"/>
    <col min="4" max="4" width="13.28515625" style="1" bestFit="1" customWidth="1"/>
    <col min="5" max="5" width="41" style="1" bestFit="1" customWidth="1"/>
    <col min="6" max="16384" width="10.85546875" style="1"/>
  </cols>
  <sheetData>
    <row r="1" spans="2:6" ht="94.5" x14ac:dyDescent="0.25">
      <c r="B1" s="89" t="s">
        <v>149</v>
      </c>
      <c r="C1" s="90"/>
      <c r="D1" s="91"/>
      <c r="E1" s="92" t="s">
        <v>153</v>
      </c>
    </row>
    <row r="2" spans="2:6" x14ac:dyDescent="0.25">
      <c r="B2" s="90" t="s">
        <v>150</v>
      </c>
      <c r="C2" s="93"/>
      <c r="D2" s="91"/>
      <c r="E2" s="91"/>
    </row>
    <row r="3" spans="2:6" ht="47.25" x14ac:dyDescent="0.25">
      <c r="B3" s="126" t="s">
        <v>166</v>
      </c>
      <c r="C3" s="93">
        <f>+'Financial Statements'!B17</f>
        <v>16823499.829999998</v>
      </c>
      <c r="D3" s="95">
        <f>+C3/D4</f>
        <v>36.824347619305954</v>
      </c>
      <c r="E3" s="92" t="s">
        <v>154</v>
      </c>
    </row>
    <row r="4" spans="2:6" ht="126" x14ac:dyDescent="0.25">
      <c r="B4" s="94" t="s">
        <v>156</v>
      </c>
      <c r="C4" s="93">
        <f>+('Financial Statements'!D52+'Financial Statements'!B52)</f>
        <v>913716.11</v>
      </c>
      <c r="D4" s="96">
        <f>+C4/2</f>
        <v>456858.05499999999</v>
      </c>
      <c r="E4" s="92" t="s">
        <v>215</v>
      </c>
    </row>
    <row r="5" spans="2:6" x14ac:dyDescent="0.25">
      <c r="E5" s="80"/>
      <c r="F5" s="76"/>
    </row>
    <row r="6" spans="2:6" ht="108.6" customHeight="1" x14ac:dyDescent="0.25">
      <c r="B6" s="125" t="s">
        <v>155</v>
      </c>
      <c r="C6" s="99"/>
      <c r="D6" s="100"/>
      <c r="E6" s="181" t="s">
        <v>214</v>
      </c>
    </row>
    <row r="7" spans="2:6" ht="31.5" x14ac:dyDescent="0.25">
      <c r="B7" s="98" t="s">
        <v>157</v>
      </c>
      <c r="C7" s="102">
        <f>+D3</f>
        <v>36.824347619305954</v>
      </c>
      <c r="D7" s="103">
        <f>365/C7</f>
        <v>9.911920335246915</v>
      </c>
      <c r="E7" s="181"/>
    </row>
    <row r="8" spans="2:6" x14ac:dyDescent="0.25">
      <c r="B8" s="75"/>
      <c r="E8" s="73"/>
    </row>
    <row r="9" spans="2:6" ht="186" customHeight="1" x14ac:dyDescent="0.25">
      <c r="B9" s="114" t="s">
        <v>167</v>
      </c>
      <c r="C9" s="112"/>
      <c r="D9" s="113"/>
      <c r="E9" s="180" t="s">
        <v>168</v>
      </c>
    </row>
    <row r="10" spans="2:6" ht="47.25" x14ac:dyDescent="0.25">
      <c r="B10" s="114" t="s">
        <v>169</v>
      </c>
      <c r="C10" s="115">
        <f>-'Financial Statements'!B18</f>
        <v>15365206.18</v>
      </c>
      <c r="D10" s="116">
        <f>+C10/D12</f>
        <v>21.415983200728153</v>
      </c>
      <c r="E10" s="180"/>
    </row>
    <row r="11" spans="2:6" x14ac:dyDescent="0.25">
      <c r="B11" s="117"/>
      <c r="C11" s="112"/>
      <c r="D11" s="113"/>
      <c r="E11" s="180"/>
    </row>
    <row r="12" spans="2:6" ht="31.5" x14ac:dyDescent="0.25">
      <c r="B12" s="114" t="s">
        <v>170</v>
      </c>
      <c r="C12" s="115">
        <f>+'Financial Statements'!B78+'Financial Statements'!D78</f>
        <v>1434928.8599999999</v>
      </c>
      <c r="D12" s="118">
        <f>+C12/2</f>
        <v>717464.42999999993</v>
      </c>
      <c r="E12" s="180"/>
    </row>
    <row r="13" spans="2:6" x14ac:dyDescent="0.25">
      <c r="B13" s="117"/>
      <c r="C13" s="112"/>
      <c r="D13" s="113"/>
      <c r="E13" s="180"/>
    </row>
    <row r="14" spans="2:6" ht="31.5" x14ac:dyDescent="0.25">
      <c r="B14" s="111" t="s">
        <v>171</v>
      </c>
      <c r="C14" s="119">
        <f>+D10</f>
        <v>21.415983200728153</v>
      </c>
      <c r="D14" s="120">
        <f>365/C14</f>
        <v>17.043345457405376</v>
      </c>
      <c r="E14" s="180"/>
    </row>
    <row r="15" spans="2:6" x14ac:dyDescent="0.25">
      <c r="B15" s="75"/>
      <c r="C15" s="78"/>
      <c r="E15" s="73"/>
    </row>
    <row r="16" spans="2:6" ht="126" x14ac:dyDescent="0.25">
      <c r="B16" s="106" t="s">
        <v>158</v>
      </c>
      <c r="C16" s="121"/>
      <c r="D16" s="105"/>
      <c r="E16" s="109" t="s">
        <v>159</v>
      </c>
    </row>
    <row r="17" spans="2:5" ht="77.45" customHeight="1" x14ac:dyDescent="0.25">
      <c r="B17" s="104" t="s">
        <v>160</v>
      </c>
      <c r="C17" s="122">
        <f>-'Financial Statements'!B18</f>
        <v>15365206.18</v>
      </c>
      <c r="D17" s="108">
        <f>+C17/D19</f>
        <v>23.060178115386197</v>
      </c>
      <c r="E17" s="182" t="s">
        <v>161</v>
      </c>
    </row>
    <row r="18" spans="2:5" x14ac:dyDescent="0.25">
      <c r="B18" s="123"/>
      <c r="C18" s="121"/>
      <c r="D18" s="105"/>
      <c r="E18" s="182"/>
    </row>
    <row r="19" spans="2:5" x14ac:dyDescent="0.25">
      <c r="B19" s="124" t="s">
        <v>162</v>
      </c>
      <c r="C19" s="107">
        <f>+'Financial Statements'!B50+'Financial Statements'!D50</f>
        <v>1332618.17</v>
      </c>
      <c r="D19" s="110">
        <f>+C19/2</f>
        <v>666309.08499999996</v>
      </c>
      <c r="E19" s="182"/>
    </row>
    <row r="21" spans="2:5" ht="110.25" x14ac:dyDescent="0.25">
      <c r="B21" s="127" t="s">
        <v>163</v>
      </c>
      <c r="C21" s="128"/>
      <c r="D21" s="129"/>
      <c r="E21" s="135" t="s">
        <v>164</v>
      </c>
    </row>
    <row r="22" spans="2:5" ht="78.75" x14ac:dyDescent="0.25">
      <c r="B22" s="131"/>
      <c r="C22" s="132">
        <v>2021</v>
      </c>
      <c r="D22" s="132">
        <v>2020</v>
      </c>
      <c r="E22" s="136" t="s">
        <v>172</v>
      </c>
    </row>
    <row r="23" spans="2:5" ht="141.75" x14ac:dyDescent="0.25">
      <c r="B23" s="127" t="s">
        <v>165</v>
      </c>
      <c r="C23" s="134">
        <f>+'Financial Statements'!B17/'Financial Statements'!B37</f>
        <v>2.6548938408174489</v>
      </c>
      <c r="D23" s="134">
        <f>+'Financial Statements'!D17/'Financial Statements'!D37</f>
        <v>2.2338197189073656</v>
      </c>
      <c r="E23" s="136" t="s">
        <v>174</v>
      </c>
    </row>
    <row r="24" spans="2:5" ht="110.25" x14ac:dyDescent="0.25">
      <c r="B24" s="131"/>
      <c r="C24" s="128"/>
      <c r="D24" s="129"/>
      <c r="E24" s="136" t="s">
        <v>173</v>
      </c>
    </row>
    <row r="25" spans="2:5" ht="94.5" x14ac:dyDescent="0.25">
      <c r="B25" s="131"/>
      <c r="C25" s="128"/>
      <c r="D25" s="129"/>
      <c r="E25" s="136" t="s">
        <v>175</v>
      </c>
    </row>
  </sheetData>
  <mergeCells count="3">
    <mergeCell ref="E9:E14"/>
    <mergeCell ref="E6:E7"/>
    <mergeCell ref="E17:E19"/>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E24"/>
  <sheetViews>
    <sheetView topLeftCell="A15" zoomScale="90" zoomScaleNormal="90" workbookViewId="0">
      <selection activeCell="C15" sqref="C15"/>
    </sheetView>
  </sheetViews>
  <sheetFormatPr baseColWidth="10" defaultColWidth="10.85546875" defaultRowHeight="15.75" x14ac:dyDescent="0.25"/>
  <cols>
    <col min="1" max="1" width="10.85546875" style="1"/>
    <col min="2" max="2" width="23.7109375" style="1" customWidth="1"/>
    <col min="3" max="3" width="11.28515625" style="1" bestFit="1" customWidth="1"/>
    <col min="4" max="4" width="10.85546875" style="1"/>
    <col min="5" max="5" width="39.140625" style="1" customWidth="1"/>
    <col min="6" max="16384" width="10.85546875" style="1"/>
  </cols>
  <sheetData>
    <row r="1" spans="2:5" ht="24" customHeight="1" x14ac:dyDescent="0.25">
      <c r="B1" s="74" t="s">
        <v>176</v>
      </c>
    </row>
    <row r="2" spans="2:5" ht="94.5" x14ac:dyDescent="0.25">
      <c r="E2" s="75" t="s">
        <v>180</v>
      </c>
    </row>
    <row r="4" spans="2:5" x14ac:dyDescent="0.25">
      <c r="B4" s="138" t="s">
        <v>177</v>
      </c>
      <c r="C4" s="100"/>
      <c r="D4" s="100"/>
      <c r="E4" s="100"/>
    </row>
    <row r="5" spans="2:5" ht="94.5" x14ac:dyDescent="0.25">
      <c r="B5" s="125" t="s">
        <v>179</v>
      </c>
      <c r="C5" s="139">
        <f>+'Financial Statements'!B69/'Financial Statements'!B37</f>
        <v>0.59364624963831236</v>
      </c>
      <c r="D5" s="100"/>
      <c r="E5" s="140" t="s">
        <v>178</v>
      </c>
    </row>
    <row r="6" spans="2:5" ht="94.5" x14ac:dyDescent="0.25">
      <c r="B6" s="100"/>
      <c r="C6" s="100"/>
      <c r="D6" s="100"/>
      <c r="E6" s="140" t="s">
        <v>188</v>
      </c>
    </row>
    <row r="7" spans="2:5" x14ac:dyDescent="0.25">
      <c r="E7" s="75"/>
    </row>
    <row r="8" spans="2:5" ht="31.5" x14ac:dyDescent="0.25">
      <c r="B8" s="143" t="s">
        <v>189</v>
      </c>
      <c r="C8" s="144"/>
      <c r="D8" s="144"/>
      <c r="E8" s="144"/>
    </row>
    <row r="9" spans="2:5" ht="94.5" x14ac:dyDescent="0.25">
      <c r="B9" s="145" t="s">
        <v>190</v>
      </c>
      <c r="C9" s="146">
        <f>+'Financial Statements'!B61/'Financial Statements'!B37</f>
        <v>0.40635375036168753</v>
      </c>
      <c r="D9" s="144"/>
      <c r="E9" s="145" t="s">
        <v>191</v>
      </c>
    </row>
    <row r="10" spans="2:5" x14ac:dyDescent="0.25">
      <c r="E10" s="75"/>
    </row>
    <row r="11" spans="2:5" x14ac:dyDescent="0.25">
      <c r="B11" s="141" t="s">
        <v>181</v>
      </c>
      <c r="C11" s="129"/>
      <c r="D11" s="129"/>
      <c r="E11" s="129"/>
    </row>
    <row r="12" spans="2:5" ht="47.25" x14ac:dyDescent="0.25">
      <c r="D12" s="129"/>
      <c r="E12" s="133" t="s">
        <v>182</v>
      </c>
    </row>
    <row r="13" spans="2:5" ht="110.25" x14ac:dyDescent="0.25">
      <c r="B13" s="129"/>
      <c r="C13" s="129"/>
      <c r="D13" s="129"/>
      <c r="E13" s="130" t="s">
        <v>183</v>
      </c>
    </row>
    <row r="14" spans="2:5" ht="189" x14ac:dyDescent="0.25">
      <c r="D14" s="129"/>
      <c r="E14" s="130" t="s">
        <v>184</v>
      </c>
    </row>
    <row r="15" spans="2:5" ht="204.75" x14ac:dyDescent="0.25">
      <c r="B15" s="127" t="s">
        <v>186</v>
      </c>
      <c r="C15" s="142">
        <f>+'Financial Statements'!B69/'Financial Statements'!B61</f>
        <v>1.4609099807985517</v>
      </c>
      <c r="D15" s="129"/>
      <c r="E15" s="130" t="s">
        <v>185</v>
      </c>
    </row>
    <row r="16" spans="2:5" ht="78.75" x14ac:dyDescent="0.25">
      <c r="B16" s="129"/>
      <c r="C16" s="129"/>
      <c r="D16" s="129"/>
      <c r="E16" s="130" t="s">
        <v>187</v>
      </c>
    </row>
    <row r="18" spans="2:5" ht="31.5" x14ac:dyDescent="0.25">
      <c r="B18" s="148" t="s">
        <v>192</v>
      </c>
      <c r="C18" s="149"/>
      <c r="D18" s="149"/>
      <c r="E18" s="149"/>
    </row>
    <row r="19" spans="2:5" x14ac:dyDescent="0.25">
      <c r="B19" s="149"/>
      <c r="C19" s="149"/>
      <c r="D19" s="149"/>
      <c r="E19" s="149"/>
    </row>
    <row r="20" spans="2:5" ht="31.5" x14ac:dyDescent="0.25">
      <c r="B20" s="150" t="s">
        <v>193</v>
      </c>
      <c r="C20" s="151">
        <f>+'Financial Statements'!B75/'Financial Statements'!B69</f>
        <v>0.29286743554537137</v>
      </c>
      <c r="D20" s="149"/>
      <c r="E20" s="149"/>
    </row>
    <row r="22" spans="2:5" x14ac:dyDescent="0.25">
      <c r="B22" s="147"/>
    </row>
    <row r="24" spans="2:5" x14ac:dyDescent="0.25">
      <c r="B24" s="75"/>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2:E18"/>
  <sheetViews>
    <sheetView topLeftCell="A16" zoomScale="110" zoomScaleNormal="110" workbookViewId="0">
      <selection activeCell="E4" sqref="E4"/>
    </sheetView>
  </sheetViews>
  <sheetFormatPr baseColWidth="10" defaultColWidth="10.85546875" defaultRowHeight="15.75" x14ac:dyDescent="0.25"/>
  <cols>
    <col min="1" max="1" width="10.85546875" style="1"/>
    <col min="2" max="2" width="26.28515625" style="1" bestFit="1" customWidth="1"/>
    <col min="3" max="3" width="10.5703125" style="1" bestFit="1" customWidth="1"/>
    <col min="4" max="4" width="10.85546875" style="55"/>
    <col min="5" max="5" width="61.85546875" style="1" customWidth="1"/>
    <col min="6" max="16384" width="10.85546875" style="1"/>
  </cols>
  <sheetData>
    <row r="2" spans="2:5" x14ac:dyDescent="0.25">
      <c r="B2" s="152" t="s">
        <v>194</v>
      </c>
      <c r="C2" s="153"/>
      <c r="D2" s="55">
        <v>2021</v>
      </c>
    </row>
    <row r="3" spans="2:5" x14ac:dyDescent="0.25">
      <c r="B3" s="154"/>
      <c r="C3" s="153"/>
    </row>
    <row r="4" spans="2:5" ht="94.5" x14ac:dyDescent="0.25">
      <c r="B4" s="159" t="s">
        <v>195</v>
      </c>
      <c r="C4" s="160" t="s">
        <v>196</v>
      </c>
      <c r="D4" s="161">
        <f>'Financial Statements'!B19/'Financial Statements'!B17</f>
        <v>8.6681942802385295E-2</v>
      </c>
      <c r="E4" s="101" t="s">
        <v>205</v>
      </c>
    </row>
    <row r="5" spans="2:5" x14ac:dyDescent="0.25">
      <c r="B5" s="154"/>
      <c r="C5" s="153"/>
    </row>
    <row r="6" spans="2:5" ht="78.75" x14ac:dyDescent="0.25">
      <c r="B6" s="157" t="s">
        <v>197</v>
      </c>
      <c r="C6" s="158" t="s">
        <v>198</v>
      </c>
      <c r="D6" s="162">
        <f>+'Financial Statements'!B25/'Financial Statements'!B17</f>
        <v>3.4933885097557613E-2</v>
      </c>
      <c r="E6" s="97" t="s">
        <v>206</v>
      </c>
    </row>
    <row r="7" spans="2:5" ht="126" x14ac:dyDescent="0.25">
      <c r="B7" s="163"/>
      <c r="C7" s="164"/>
      <c r="D7" s="165"/>
      <c r="E7" s="97" t="s">
        <v>207</v>
      </c>
    </row>
    <row r="8" spans="2:5" ht="78.75" x14ac:dyDescent="0.25">
      <c r="B8" s="163"/>
      <c r="C8" s="166"/>
      <c r="D8" s="165"/>
      <c r="E8" s="97" t="s">
        <v>208</v>
      </c>
    </row>
    <row r="9" spans="2:5" x14ac:dyDescent="0.25">
      <c r="B9" s="154"/>
      <c r="C9" s="153"/>
      <c r="E9" s="167"/>
    </row>
    <row r="10" spans="2:5" ht="63" x14ac:dyDescent="0.25">
      <c r="B10" s="169" t="s">
        <v>199</v>
      </c>
      <c r="C10" s="170" t="s">
        <v>200</v>
      </c>
      <c r="D10" s="173">
        <f>'Financial Statements'!B33/'Financial Statements'!B17</f>
        <v>2.2333147311595983E-2</v>
      </c>
      <c r="E10" s="171" t="s">
        <v>209</v>
      </c>
    </row>
    <row r="11" spans="2:5" x14ac:dyDescent="0.25">
      <c r="B11" s="154"/>
      <c r="C11" s="153"/>
    </row>
    <row r="12" spans="2:5" x14ac:dyDescent="0.25">
      <c r="B12" s="154"/>
      <c r="C12" s="153"/>
    </row>
    <row r="13" spans="2:5" ht="110.25" x14ac:dyDescent="0.25">
      <c r="B13" s="159" t="s">
        <v>201</v>
      </c>
      <c r="C13" s="160" t="s">
        <v>202</v>
      </c>
      <c r="D13" s="161">
        <f>'Financial Statements'!B33/'Financial Statements'!B37</f>
        <v>5.9292135243624949E-2</v>
      </c>
      <c r="E13" s="172" t="s">
        <v>213</v>
      </c>
    </row>
    <row r="14" spans="2:5" x14ac:dyDescent="0.25">
      <c r="B14" s="154"/>
      <c r="C14" s="153"/>
    </row>
    <row r="15" spans="2:5" x14ac:dyDescent="0.25">
      <c r="B15" s="154"/>
      <c r="C15" s="153"/>
    </row>
    <row r="16" spans="2:5" ht="126" x14ac:dyDescent="0.25">
      <c r="B16" s="155" t="s">
        <v>203</v>
      </c>
      <c r="C16" s="156" t="s">
        <v>204</v>
      </c>
      <c r="D16" s="137">
        <f>'Financial Statements'!B33/'Financial Statements'!B61</f>
        <v>0.14591260740389422</v>
      </c>
      <c r="E16" s="168" t="s">
        <v>210</v>
      </c>
    </row>
    <row r="17" spans="5:5" ht="31.5" x14ac:dyDescent="0.25">
      <c r="E17" s="168" t="s">
        <v>211</v>
      </c>
    </row>
    <row r="18" spans="5:5" ht="157.5" x14ac:dyDescent="0.25">
      <c r="E18" s="168" t="s">
        <v>212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Financial Statements</vt:lpstr>
      <vt:lpstr>AV</vt:lpstr>
      <vt:lpstr>AH</vt:lpstr>
      <vt:lpstr>RAZON LIQUIDEZ</vt:lpstr>
      <vt:lpstr>DE GESTION</vt:lpstr>
      <vt:lpstr>DE ENDEUDAMIENTO</vt:lpstr>
      <vt:lpstr>DE RENTABILIDAD</vt:lpstr>
    </vt:vector>
  </TitlesOfParts>
  <Manager/>
  <Company>Microsoft Corporation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Untitled Spreadsheet</dc:title>
  <dc:subject/>
  <dc:creator>Unknown Creator</dc:creator>
  <cp:keywords/>
  <dc:description/>
  <cp:lastModifiedBy>Diego Sanchez</cp:lastModifiedBy>
  <dcterms:created xsi:type="dcterms:W3CDTF">2023-09-19T16:08:38Z</dcterms:created>
  <dcterms:modified xsi:type="dcterms:W3CDTF">2023-10-25T12:50:19Z</dcterms:modified>
  <cp:category/>
</cp:coreProperties>
</file>