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8_{8AD63921-291F-4E1C-9C21-0FA69AD38A43}" xr6:coauthVersionLast="47" xr6:coauthVersionMax="47" xr10:uidLastSave="{00000000-0000-0000-0000-000000000000}"/>
  <bookViews>
    <workbookView xWindow="390" yWindow="390" windowWidth="15120" windowHeight="1485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" l="1"/>
  <c r="C34" i="1" s="1"/>
  <c r="H15" i="1"/>
  <c r="H16" i="1"/>
  <c r="H17" i="1"/>
  <c r="H18" i="1"/>
  <c r="H19" i="1"/>
  <c r="H20" i="1"/>
  <c r="H21" i="1"/>
  <c r="H22" i="1"/>
  <c r="H23" i="1"/>
  <c r="H24" i="1"/>
  <c r="H25" i="1"/>
  <c r="H26" i="1"/>
  <c r="F4" i="1"/>
  <c r="H14" i="1"/>
  <c r="E14" i="1"/>
  <c r="I14" i="1" s="1"/>
  <c r="B14" i="1"/>
  <c r="D15" i="1" l="1"/>
  <c r="C15" i="1" l="1"/>
  <c r="E15" i="1" s="1"/>
  <c r="D16" i="1"/>
  <c r="C16" i="1" s="1"/>
  <c r="E16" i="1" s="1"/>
  <c r="I15" i="1"/>
  <c r="D17" i="1" l="1"/>
  <c r="I16" i="1"/>
  <c r="C17" i="1" l="1"/>
  <c r="E17" i="1" s="1"/>
  <c r="I17" i="1" s="1"/>
  <c r="D18" i="1"/>
  <c r="C18" i="1" s="1"/>
  <c r="E18" i="1" s="1"/>
  <c r="D19" i="1" s="1"/>
  <c r="I18" i="1" l="1"/>
  <c r="C19" i="1"/>
  <c r="E19" i="1" s="1"/>
  <c r="D20" i="1" l="1"/>
  <c r="I19" i="1"/>
  <c r="C20" i="1" l="1"/>
  <c r="E20" i="1" s="1"/>
  <c r="D21" i="1" l="1"/>
  <c r="I20" i="1"/>
  <c r="C21" i="1" l="1"/>
  <c r="E21" i="1" s="1"/>
  <c r="D22" i="1" l="1"/>
  <c r="I21" i="1"/>
  <c r="C22" i="1" l="1"/>
  <c r="E22" i="1" s="1"/>
  <c r="I22" i="1" l="1"/>
  <c r="D23" i="1"/>
  <c r="C23" i="1" l="1"/>
  <c r="E23" i="1" s="1"/>
  <c r="I23" i="1" l="1"/>
  <c r="D24" i="1"/>
  <c r="C24" i="1" l="1"/>
  <c r="E24" i="1" s="1"/>
  <c r="D25" i="1" l="1"/>
  <c r="I24" i="1"/>
  <c r="C25" i="1" l="1"/>
  <c r="E25" i="1" s="1"/>
  <c r="I25" i="1" l="1"/>
  <c r="D26" i="1"/>
  <c r="D27" i="1" s="1"/>
  <c r="C26" i="1" l="1"/>
  <c r="E26" i="1" s="1"/>
  <c r="I26" i="1" s="1"/>
  <c r="I27" i="1" s="1"/>
  <c r="I29" i="1" s="1"/>
  <c r="C35" i="1" s="1"/>
  <c r="C36" i="1" s="1"/>
  <c r="C37" i="1" s="1"/>
</calcChain>
</file>

<file path=xl/sharedStrings.xml><?xml version="1.0" encoding="utf-8"?>
<sst xmlns="http://schemas.openxmlformats.org/spreadsheetml/2006/main" count="32" uniqueCount="32">
  <si>
    <t>Empresa</t>
  </si>
  <si>
    <t>Accounter Rentas 2022</t>
  </si>
  <si>
    <t>Préstamo</t>
  </si>
  <si>
    <t xml:space="preserve">Vinculado Economico </t>
  </si>
  <si>
    <t>Delgado Mena Contadora</t>
  </si>
  <si>
    <t>Patrimonio liquido dic 2021</t>
  </si>
  <si>
    <t>¿Cómo hallar el limite de intereses?</t>
  </si>
  <si>
    <t>Validar los artículos 1.2.1.18.62 y 1.2.1.18.63 del DUT 1625 de 2016, los cuales fueron sustituidos por el Decreto 761 de 2020.</t>
  </si>
  <si>
    <t>Paso 1: Calcular el promedio de las deudas</t>
  </si>
  <si>
    <t>Vinculado económico</t>
  </si>
  <si>
    <t>Día anterior al pago del capital o último día del cierre fiscal</t>
  </si>
  <si>
    <t>Número de días de permanencia</t>
  </si>
  <si>
    <t>Deuda ponderada</t>
  </si>
  <si>
    <t xml:space="preserve">Interés </t>
  </si>
  <si>
    <t>N</t>
  </si>
  <si>
    <t xml:space="preserve">K inicial </t>
  </si>
  <si>
    <t>Abono a K</t>
  </si>
  <si>
    <t>Costo financiero</t>
  </si>
  <si>
    <t>Periodo</t>
  </si>
  <si>
    <t>Pago</t>
  </si>
  <si>
    <t>Día del hecho económico o saldo anterior</t>
  </si>
  <si>
    <t>Total deuda ponderada</t>
  </si>
  <si>
    <t>Dias AG 2022</t>
  </si>
  <si>
    <t>Monto del promedio de deuda al año</t>
  </si>
  <si>
    <t xml:space="preserve">2) Hallar el limite </t>
  </si>
  <si>
    <t>Patrimonio liquido a dic 31 2021</t>
  </si>
  <si>
    <t xml:space="preserve">Monto máximo </t>
  </si>
  <si>
    <t>Antes se multiplicaba por 3 veces</t>
  </si>
  <si>
    <t>Comparo el anterior valor vs el monto promedio</t>
  </si>
  <si>
    <t>Exceso de endeudamiento</t>
  </si>
  <si>
    <t>Proporción de intereses no deducibles</t>
  </si>
  <si>
    <t>Valor de intereses no deducibles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</si>
</sst>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_-&quot;$&quot;\ * #,##0_-;\-&quot;$&quot;\ * #,##0_-;_-&quot;$&quot;\ * &quot;-&quot;??_-;_-@_-"/>
    <numFmt numFmtId="166" formatCode="_-[$$-240A]\ * #,##0.00_-;\-[$$-240A]\ * #,##0.00_-;_-[$$-240A]\ * &quot;-&quot;??_-;_-@_-"/>
    <numFmt numFmtId="167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9" fontId="2" fillId="0" borderId="0" xfId="0" applyNumberFormat="1" applyFont="1"/>
    <xf numFmtId="164" fontId="2" fillId="0" borderId="0" xfId="0" applyNumberFormat="1" applyFont="1"/>
    <xf numFmtId="8" fontId="2" fillId="0" borderId="0" xfId="0" applyNumberFormat="1" applyFont="1"/>
    <xf numFmtId="0" fontId="3" fillId="0" borderId="0" xfId="0" applyFont="1"/>
    <xf numFmtId="14" fontId="2" fillId="2" borderId="1" xfId="0" applyNumberFormat="1" applyFont="1" applyFill="1" applyBorder="1" applyAlignment="1">
      <alignment horizontal="center" vertical="center"/>
    </xf>
    <xf numFmtId="2" fontId="2" fillId="0" borderId="0" xfId="0" applyNumberFormat="1" applyFont="1"/>
    <xf numFmtId="14" fontId="2" fillId="2" borderId="2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44" fontId="4" fillId="3" borderId="3" xfId="1" applyFont="1" applyFill="1" applyBorder="1" applyAlignment="1">
      <alignment horizontal="center" vertical="center" wrapText="1"/>
    </xf>
    <xf numFmtId="44" fontId="4" fillId="3" borderId="4" xfId="1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65" fontId="2" fillId="3" borderId="0" xfId="1" applyNumberFormat="1" applyFont="1" applyFill="1"/>
    <xf numFmtId="164" fontId="2" fillId="4" borderId="6" xfId="0" applyNumberFormat="1" applyFont="1" applyFill="1" applyBorder="1"/>
    <xf numFmtId="166" fontId="2" fillId="0" borderId="0" xfId="0" applyNumberFormat="1" applyFont="1"/>
    <xf numFmtId="167" fontId="2" fillId="0" borderId="0" xfId="2" applyNumberFormat="1" applyFont="1"/>
  </cellXfs>
  <cellStyles count="3">
    <cellStyle name="Moneda" xfId="1" builtinId="4"/>
    <cellStyle name="Normal" xfId="0" builtinId="0"/>
    <cellStyle name="Porcentaje" xfId="2" builtinId="5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64" formatCode="_-[$$-240A]\ * #,##0_-;\-[$$-240A]\ * #,##0_-;_-[$$-240A]\ 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64" formatCode="_-[$$-240A]\ * #,##0_-;\-[$$-240A]\ * #,##0_-;_-[$$-240A]\ 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64" formatCode="_-[$$-240A]\ * #,##0_-;\-[$$-240A]\ * #,##0_-;_-[$$-240A]\ 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2" formatCode="&quot;$&quot;\ #,##0.00;[Red]\-&quot;$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Narrow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3:I26" totalsRowShown="0" headerRowDxfId="12" dataDxfId="10" headerRowBorderDxfId="11" tableBorderDxfId="9" headerRowCellStyle="Moneda">
  <autoFilter ref="A13:I26" xr:uid="{00000000-0009-0000-0100-000001000000}"/>
  <tableColumns count="9">
    <tableColumn id="1" xr3:uid="{00000000-0010-0000-0000-000001000000}" name="Periodo" dataDxfId="8"/>
    <tableColumn id="2" xr3:uid="{00000000-0010-0000-0000-000002000000}" name="Vinculado económico" dataDxfId="7"/>
    <tableColumn id="3" xr3:uid="{00000000-0010-0000-0000-000003000000}" name="Abono a K" dataDxfId="6">
      <calculatedColumnFormula>+$F$4-D14</calculatedColumnFormula>
    </tableColumn>
    <tableColumn id="4" xr3:uid="{00000000-0010-0000-0000-000004000000}" name="Costo financiero" dataDxfId="5">
      <calculatedColumnFormula>+E13*$F$2</calculatedColumnFormula>
    </tableColumn>
    <tableColumn id="5" xr3:uid="{00000000-0010-0000-0000-000005000000}" name="K inicial " dataDxfId="4">
      <calculatedColumnFormula>+E13-C14</calculatedColumnFormula>
    </tableColumn>
    <tableColumn id="6" xr3:uid="{00000000-0010-0000-0000-000006000000}" name="Día del hecho económico o saldo anterior" dataDxfId="3"/>
    <tableColumn id="7" xr3:uid="{00000000-0010-0000-0000-000007000000}" name="Día anterior al pago del capital o último día del cierre fiscal" dataDxfId="2"/>
    <tableColumn id="8" xr3:uid="{00000000-0010-0000-0000-000008000000}" name="Número de días de permanencia" dataDxfId="1">
      <calculatedColumnFormula>_xlfn.DAYS(G14,F14)+1</calculatedColumnFormula>
    </tableColumn>
    <tableColumn id="9" xr3:uid="{00000000-0010-0000-0000-000009000000}" name="Deuda ponderada" dataDxfId="0">
      <calculatedColumnFormula>+E14*H14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7"/>
  <sheetViews>
    <sheetView tabSelected="1" topLeftCell="A21" workbookViewId="0">
      <selection activeCell="C36" sqref="C36"/>
    </sheetView>
  </sheetViews>
  <sheetFormatPr baseColWidth="10" defaultColWidth="9.140625" defaultRowHeight="15.75" x14ac:dyDescent="0.25"/>
  <cols>
    <col min="1" max="1" width="13.28515625" style="1" customWidth="1"/>
    <col min="2" max="2" width="36.85546875" style="1" customWidth="1"/>
    <col min="3" max="3" width="17.5703125" style="1" customWidth="1"/>
    <col min="4" max="4" width="22.28515625" style="1" customWidth="1"/>
    <col min="5" max="5" width="19.140625" style="1" bestFit="1" customWidth="1"/>
    <col min="6" max="6" width="22.5703125" style="1" customWidth="1"/>
    <col min="7" max="7" width="33.28515625" style="1" customWidth="1"/>
    <col min="8" max="8" width="19.5703125" style="1" customWidth="1"/>
    <col min="9" max="9" width="21.85546875" style="1" bestFit="1" customWidth="1"/>
    <col min="10" max="16384" width="9.140625" style="1"/>
  </cols>
  <sheetData>
    <row r="2" spans="1:9" x14ac:dyDescent="0.25">
      <c r="B2" s="1" t="s">
        <v>0</v>
      </c>
      <c r="C2" s="1" t="s">
        <v>1</v>
      </c>
      <c r="E2" s="1" t="s">
        <v>13</v>
      </c>
      <c r="F2" s="2">
        <v>3.1399999999999997E-2</v>
      </c>
    </row>
    <row r="3" spans="1:9" x14ac:dyDescent="0.25">
      <c r="B3" s="1" t="s">
        <v>2</v>
      </c>
      <c r="C3" s="3">
        <v>530000000</v>
      </c>
      <c r="E3" s="1" t="s">
        <v>14</v>
      </c>
      <c r="F3" s="1">
        <v>12</v>
      </c>
    </row>
    <row r="4" spans="1:9" x14ac:dyDescent="0.25">
      <c r="B4" s="1" t="s">
        <v>3</v>
      </c>
      <c r="C4" s="1" t="s">
        <v>4</v>
      </c>
      <c r="E4" s="1" t="s">
        <v>19</v>
      </c>
      <c r="F4" s="4">
        <f>PMT(F2,F3,-C3)</f>
        <v>53690856.238694735</v>
      </c>
    </row>
    <row r="5" spans="1:9" x14ac:dyDescent="0.25">
      <c r="B5" s="1" t="s">
        <v>5</v>
      </c>
      <c r="C5" s="3">
        <v>150000000</v>
      </c>
    </row>
    <row r="7" spans="1:9" x14ac:dyDescent="0.25">
      <c r="B7" s="1" t="s">
        <v>6</v>
      </c>
    </row>
    <row r="8" spans="1:9" x14ac:dyDescent="0.25">
      <c r="B8" s="1" t="s">
        <v>7</v>
      </c>
    </row>
    <row r="11" spans="1:9" x14ac:dyDescent="0.25">
      <c r="B11" s="5" t="s">
        <v>8</v>
      </c>
    </row>
    <row r="13" spans="1:9" ht="55.5" customHeight="1" thickBot="1" x14ac:dyDescent="0.3">
      <c r="A13" s="10" t="s">
        <v>18</v>
      </c>
      <c r="B13" s="10" t="s">
        <v>9</v>
      </c>
      <c r="C13" s="11" t="s">
        <v>16</v>
      </c>
      <c r="D13" s="11" t="s">
        <v>17</v>
      </c>
      <c r="E13" s="11" t="s">
        <v>15</v>
      </c>
      <c r="F13" s="11" t="s">
        <v>20</v>
      </c>
      <c r="G13" s="11" t="s">
        <v>10</v>
      </c>
      <c r="H13" s="11" t="s">
        <v>11</v>
      </c>
      <c r="I13" s="12" t="s">
        <v>12</v>
      </c>
    </row>
    <row r="14" spans="1:9" x14ac:dyDescent="0.25">
      <c r="A14" s="1">
        <v>0</v>
      </c>
      <c r="B14" s="1" t="str">
        <f>+C4</f>
        <v>Delgado Mena Contadora</v>
      </c>
      <c r="E14" s="3">
        <f>+C3</f>
        <v>530000000</v>
      </c>
      <c r="F14" s="6">
        <v>44562</v>
      </c>
      <c r="G14" s="6">
        <v>44592</v>
      </c>
      <c r="H14" s="7">
        <f>_xlfn.DAYS(G14,F14)+1</f>
        <v>31</v>
      </c>
      <c r="I14" s="3">
        <f>+E14*H14</f>
        <v>16430000000</v>
      </c>
    </row>
    <row r="15" spans="1:9" x14ac:dyDescent="0.25">
      <c r="A15" s="1">
        <v>1</v>
      </c>
      <c r="C15" s="4">
        <f>+$F$4-D15</f>
        <v>37048856.238694735</v>
      </c>
      <c r="D15" s="3">
        <f>+E14*$F$2</f>
        <v>16641999.999999998</v>
      </c>
      <c r="E15" s="3">
        <f>+E14-C15</f>
        <v>492951143.76130527</v>
      </c>
      <c r="F15" s="8">
        <v>44593</v>
      </c>
      <c r="G15" s="6">
        <v>44620</v>
      </c>
      <c r="H15" s="7">
        <f t="shared" ref="H15:H26" si="0">_xlfn.DAYS(G15,F15)+1</f>
        <v>28</v>
      </c>
      <c r="I15" s="3">
        <f t="shared" ref="I15:I26" si="1">+E15*H15</f>
        <v>13802632025.316547</v>
      </c>
    </row>
    <row r="16" spans="1:9" x14ac:dyDescent="0.25">
      <c r="A16" s="1">
        <v>2</v>
      </c>
      <c r="C16" s="4">
        <f t="shared" ref="C16:C26" si="2">+$F$4-D16</f>
        <v>38212190.324589752</v>
      </c>
      <c r="D16" s="3">
        <f t="shared" ref="D16:D26" si="3">+E15*$F$2</f>
        <v>15478665.914104985</v>
      </c>
      <c r="E16" s="3">
        <f t="shared" ref="E16:E26" si="4">+E15-C16</f>
        <v>454738953.43671554</v>
      </c>
      <c r="F16" s="8">
        <v>44621</v>
      </c>
      <c r="G16" s="6">
        <v>44651</v>
      </c>
      <c r="H16" s="7">
        <f t="shared" si="0"/>
        <v>31</v>
      </c>
      <c r="I16" s="3">
        <f t="shared" si="1"/>
        <v>14096907556.538181</v>
      </c>
    </row>
    <row r="17" spans="1:9" x14ac:dyDescent="0.25">
      <c r="A17" s="1">
        <v>3</v>
      </c>
      <c r="C17" s="4">
        <f t="shared" si="2"/>
        <v>39412053.100781865</v>
      </c>
      <c r="D17" s="3">
        <f t="shared" si="3"/>
        <v>14278803.137912868</v>
      </c>
      <c r="E17" s="3">
        <f t="shared" si="4"/>
        <v>415326900.33593369</v>
      </c>
      <c r="F17" s="8">
        <v>44652</v>
      </c>
      <c r="G17" s="6">
        <v>44681</v>
      </c>
      <c r="H17" s="7">
        <f t="shared" si="0"/>
        <v>30</v>
      </c>
      <c r="I17" s="3">
        <f t="shared" si="1"/>
        <v>12459807010.078011</v>
      </c>
    </row>
    <row r="18" spans="1:9" x14ac:dyDescent="0.25">
      <c r="A18" s="1">
        <v>4</v>
      </c>
      <c r="C18" s="4">
        <f t="shared" si="2"/>
        <v>40649591.568146423</v>
      </c>
      <c r="D18" s="3">
        <f t="shared" si="3"/>
        <v>13041264.670548316</v>
      </c>
      <c r="E18" s="3">
        <f t="shared" si="4"/>
        <v>374677308.76778728</v>
      </c>
      <c r="F18" s="8">
        <v>44682</v>
      </c>
      <c r="G18" s="6">
        <v>44712</v>
      </c>
      <c r="H18" s="7">
        <f t="shared" si="0"/>
        <v>31</v>
      </c>
      <c r="I18" s="3">
        <f t="shared" si="1"/>
        <v>11614996571.801405</v>
      </c>
    </row>
    <row r="19" spans="1:9" x14ac:dyDescent="0.25">
      <c r="A19" s="1">
        <v>5</v>
      </c>
      <c r="C19" s="4">
        <f t="shared" si="2"/>
        <v>41925988.743386216</v>
      </c>
      <c r="D19" s="3">
        <f t="shared" si="3"/>
        <v>11764867.49530852</v>
      </c>
      <c r="E19" s="3">
        <f t="shared" si="4"/>
        <v>332751320.02440107</v>
      </c>
      <c r="F19" s="8">
        <v>44713</v>
      </c>
      <c r="G19" s="6">
        <v>44742</v>
      </c>
      <c r="H19" s="7">
        <f t="shared" si="0"/>
        <v>30</v>
      </c>
      <c r="I19" s="3">
        <f t="shared" si="1"/>
        <v>9982539600.7320328</v>
      </c>
    </row>
    <row r="20" spans="1:9" x14ac:dyDescent="0.25">
      <c r="A20" s="1">
        <v>6</v>
      </c>
      <c r="C20" s="4">
        <f t="shared" si="2"/>
        <v>43242464.789928541</v>
      </c>
      <c r="D20" s="3">
        <f t="shared" si="3"/>
        <v>10448391.448766192</v>
      </c>
      <c r="E20" s="3">
        <f t="shared" si="4"/>
        <v>289508855.23447251</v>
      </c>
      <c r="F20" s="8">
        <v>44743</v>
      </c>
      <c r="G20" s="6">
        <v>44773</v>
      </c>
      <c r="H20" s="7">
        <f t="shared" si="0"/>
        <v>31</v>
      </c>
      <c r="I20" s="3">
        <f t="shared" si="1"/>
        <v>8974774512.2686481</v>
      </c>
    </row>
    <row r="21" spans="1:9" x14ac:dyDescent="0.25">
      <c r="A21" s="1">
        <v>7</v>
      </c>
      <c r="C21" s="4">
        <f t="shared" si="2"/>
        <v>44600278.184332296</v>
      </c>
      <c r="D21" s="3">
        <f t="shared" si="3"/>
        <v>9090578.0543624368</v>
      </c>
      <c r="E21" s="3">
        <f t="shared" si="4"/>
        <v>244908577.0501402</v>
      </c>
      <c r="F21" s="8">
        <v>44774</v>
      </c>
      <c r="G21" s="6">
        <v>44804</v>
      </c>
      <c r="H21" s="7">
        <f t="shared" si="0"/>
        <v>31</v>
      </c>
      <c r="I21" s="3">
        <f t="shared" si="1"/>
        <v>7592165888.5543461</v>
      </c>
    </row>
    <row r="22" spans="1:9" x14ac:dyDescent="0.25">
      <c r="A22" s="1">
        <v>8</v>
      </c>
      <c r="C22" s="4">
        <f t="shared" si="2"/>
        <v>46000726.91932033</v>
      </c>
      <c r="D22" s="3">
        <f t="shared" si="3"/>
        <v>7690129.3193744021</v>
      </c>
      <c r="E22" s="3">
        <f t="shared" si="4"/>
        <v>198907850.13081986</v>
      </c>
      <c r="F22" s="8">
        <v>44805</v>
      </c>
      <c r="G22" s="6">
        <v>44834</v>
      </c>
      <c r="H22" s="7">
        <f t="shared" si="0"/>
        <v>30</v>
      </c>
      <c r="I22" s="3">
        <f t="shared" si="1"/>
        <v>5967235503.9245958</v>
      </c>
    </row>
    <row r="23" spans="1:9" x14ac:dyDescent="0.25">
      <c r="A23" s="1">
        <v>9</v>
      </c>
      <c r="C23" s="4">
        <f t="shared" si="2"/>
        <v>47445149.744586989</v>
      </c>
      <c r="D23" s="3">
        <f t="shared" si="3"/>
        <v>6245706.4941077428</v>
      </c>
      <c r="E23" s="3">
        <f t="shared" si="4"/>
        <v>151462700.38623285</v>
      </c>
      <c r="F23" s="8">
        <v>44835</v>
      </c>
      <c r="G23" s="6">
        <v>44865</v>
      </c>
      <c r="H23" s="7">
        <f t="shared" si="0"/>
        <v>31</v>
      </c>
      <c r="I23" s="3">
        <f t="shared" si="1"/>
        <v>4695343711.9732189</v>
      </c>
    </row>
    <row r="24" spans="1:9" x14ac:dyDescent="0.25">
      <c r="A24" s="1">
        <v>10</v>
      </c>
      <c r="C24" s="4">
        <f t="shared" si="2"/>
        <v>48934927.446567021</v>
      </c>
      <c r="D24" s="3">
        <f t="shared" si="3"/>
        <v>4755928.7921277108</v>
      </c>
      <c r="E24" s="3">
        <f t="shared" si="4"/>
        <v>102527772.93966582</v>
      </c>
      <c r="F24" s="8">
        <v>44866</v>
      </c>
      <c r="G24" s="6">
        <v>44895</v>
      </c>
      <c r="H24" s="7">
        <f t="shared" si="0"/>
        <v>30</v>
      </c>
      <c r="I24" s="3">
        <f t="shared" si="1"/>
        <v>3075833188.1899748</v>
      </c>
    </row>
    <row r="25" spans="1:9" x14ac:dyDescent="0.25">
      <c r="A25" s="1">
        <v>11</v>
      </c>
      <c r="C25" s="4">
        <f t="shared" si="2"/>
        <v>50471484.168389231</v>
      </c>
      <c r="D25" s="3">
        <f t="shared" si="3"/>
        <v>3219372.0703055067</v>
      </c>
      <c r="E25" s="3">
        <f t="shared" si="4"/>
        <v>52056288.771276593</v>
      </c>
      <c r="F25" s="8">
        <v>44896</v>
      </c>
      <c r="G25" s="6">
        <v>44926</v>
      </c>
      <c r="H25" s="7">
        <f t="shared" si="0"/>
        <v>31</v>
      </c>
      <c r="I25" s="3">
        <f t="shared" si="1"/>
        <v>1613744951.9095745</v>
      </c>
    </row>
    <row r="26" spans="1:9" x14ac:dyDescent="0.25">
      <c r="A26" s="1">
        <v>12</v>
      </c>
      <c r="C26" s="4">
        <f t="shared" si="2"/>
        <v>52056288.771276653</v>
      </c>
      <c r="D26" s="3">
        <f t="shared" si="3"/>
        <v>1634567.4674180849</v>
      </c>
      <c r="E26" s="3">
        <f t="shared" si="4"/>
        <v>-5.9604644775390625E-8</v>
      </c>
      <c r="H26" s="7">
        <f t="shared" si="0"/>
        <v>1</v>
      </c>
      <c r="I26" s="3">
        <f t="shared" si="1"/>
        <v>-5.9604644775390625E-8</v>
      </c>
    </row>
    <row r="27" spans="1:9" x14ac:dyDescent="0.25">
      <c r="D27" s="14">
        <f>SUBTOTAL(109,Tabla1[Costo financiero])</f>
        <v>114290274.86433676</v>
      </c>
      <c r="G27" s="1" t="s">
        <v>21</v>
      </c>
      <c r="I27" s="9">
        <f>SUBTOTAL(109,Tabla1[Deuda ponderada])</f>
        <v>110305980521.28654</v>
      </c>
    </row>
    <row r="28" spans="1:9" x14ac:dyDescent="0.25">
      <c r="G28" s="1" t="s">
        <v>22</v>
      </c>
      <c r="I28" s="9">
        <v>365</v>
      </c>
    </row>
    <row r="29" spans="1:9" x14ac:dyDescent="0.25">
      <c r="G29" s="1" t="s">
        <v>23</v>
      </c>
      <c r="I29" s="9">
        <f>+I27/I28</f>
        <v>302208165.81174397</v>
      </c>
    </row>
    <row r="31" spans="1:9" x14ac:dyDescent="0.25">
      <c r="A31" s="5" t="s">
        <v>24</v>
      </c>
    </row>
    <row r="33" spans="2:4" x14ac:dyDescent="0.25">
      <c r="B33" s="1" t="s">
        <v>25</v>
      </c>
      <c r="C33" s="3">
        <f>+C5</f>
        <v>150000000</v>
      </c>
    </row>
    <row r="34" spans="2:4" x14ac:dyDescent="0.25">
      <c r="B34" s="1" t="s">
        <v>26</v>
      </c>
      <c r="C34" s="3">
        <f>+C33*2</f>
        <v>300000000</v>
      </c>
      <c r="D34" s="1" t="s">
        <v>27</v>
      </c>
    </row>
    <row r="35" spans="2:4" x14ac:dyDescent="0.25">
      <c r="B35" s="1" t="s">
        <v>29</v>
      </c>
      <c r="C35" s="13">
        <f>+C34-I29</f>
        <v>-2208165.8117439747</v>
      </c>
      <c r="D35" s="1" t="s">
        <v>28</v>
      </c>
    </row>
    <row r="36" spans="2:4" x14ac:dyDescent="0.25">
      <c r="B36" s="1" t="s">
        <v>30</v>
      </c>
      <c r="C36" s="16">
        <f>-C35/I29</f>
        <v>7.3067708339804366E-3</v>
      </c>
    </row>
    <row r="37" spans="2:4" x14ac:dyDescent="0.25">
      <c r="B37" s="1" t="s">
        <v>31</v>
      </c>
      <c r="C37" s="15">
        <f>+D27*C36</f>
        <v>835092.84698634327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2023-03-13T14:23:48Z</dcterms:modified>
</cp:coreProperties>
</file>