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OUNTER03\Desktop\EVENTOS\"/>
    </mc:Choice>
  </mc:AlternateContent>
  <xr:revisionPtr revIDLastSave="0" documentId="8_{DC64D54B-434D-4F53-851B-4F4961CEA9D0}" xr6:coauthVersionLast="47" xr6:coauthVersionMax="47" xr10:uidLastSave="{00000000-0000-0000-0000-000000000000}"/>
  <bookViews>
    <workbookView xWindow="3120" yWindow="1350" windowWidth="13560" windowHeight="14850" xr2:uid="{36574794-00D5-F64C-8F83-51FFBB6F6555}"/>
  </bookViews>
  <sheets>
    <sheet name="Ejercicio 2" sheetId="3" r:id="rId1"/>
    <sheet name="PPyEq" sheetId="1" r:id="rId2"/>
    <sheet name="PdeInv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44" i="3" l="1"/>
  <c r="N16" i="3" l="1"/>
  <c r="L16" i="3" s="1"/>
  <c r="L18" i="3" s="1"/>
  <c r="L23" i="3" s="1"/>
  <c r="E16" i="3"/>
  <c r="E18" i="3" s="1"/>
  <c r="E23" i="3" s="1"/>
  <c r="E24" i="3" s="1"/>
  <c r="E12" i="3"/>
  <c r="E22" i="3" s="1"/>
  <c r="E51" i="2"/>
  <c r="F56" i="1"/>
  <c r="M20" i="2"/>
  <c r="K23" i="2" s="1"/>
  <c r="M23" i="2"/>
  <c r="L12" i="3" l="1"/>
  <c r="L22" i="3" s="1"/>
  <c r="E13" i="3"/>
  <c r="L13" i="3" s="1"/>
  <c r="P33" i="3"/>
  <c r="P32" i="3"/>
  <c r="P34" i="3"/>
  <c r="L24" i="3"/>
  <c r="P30" i="3" s="1"/>
  <c r="P31" i="3"/>
  <c r="O30" i="3"/>
  <c r="N24" i="3"/>
  <c r="R24" i="3" s="1"/>
  <c r="E28" i="3" s="1"/>
  <c r="O34" i="3"/>
  <c r="O31" i="3"/>
  <c r="O32" i="3"/>
  <c r="O33" i="3"/>
  <c r="Q31" i="3" l="1"/>
  <c r="T31" i="3" s="1"/>
  <c r="Q34" i="3"/>
  <c r="T34" i="3" s="1"/>
  <c r="Q32" i="3"/>
  <c r="T32" i="3" s="1"/>
  <c r="S32" i="3" s="1"/>
  <c r="Q46" i="3" s="1"/>
  <c r="Q30" i="3"/>
  <c r="T30" i="3" s="1"/>
  <c r="S30" i="3" s="1"/>
  <c r="Q38" i="3" s="1"/>
  <c r="E29" i="3"/>
  <c r="F28" i="3"/>
  <c r="Q33" i="3"/>
  <c r="T33" i="3" s="1"/>
  <c r="S34" i="3" s="1"/>
  <c r="Q55" i="3" s="1"/>
  <c r="V38" i="3" l="1"/>
  <c r="Q39" i="3"/>
  <c r="S31" i="3"/>
  <c r="Q47" i="3"/>
  <c r="S33" i="3"/>
  <c r="Q50" i="3"/>
  <c r="Q54" i="3"/>
  <c r="V32" i="3" l="1"/>
  <c r="AA42" i="3" s="1"/>
  <c r="Q42" i="3"/>
  <c r="E32" i="3"/>
  <c r="E33" i="3" s="1"/>
  <c r="F33" i="3" s="1"/>
  <c r="F34" i="3" s="1"/>
  <c r="Q51" i="3"/>
  <c r="Q43" i="3" l="1"/>
  <c r="V42" i="3"/>
  <c r="V46" i="3" s="1"/>
  <c r="V50" i="3" s="1"/>
  <c r="V54" i="3" s="1"/>
  <c r="V33" i="3"/>
  <c r="AA43" i="3" s="1"/>
  <c r="L65" i="2"/>
  <c r="M59" i="2"/>
  <c r="M56" i="2"/>
  <c r="L29" i="2"/>
  <c r="E11" i="2"/>
  <c r="E12" i="2" s="1"/>
  <c r="K12" i="2" s="1"/>
  <c r="F33" i="1"/>
  <c r="E11" i="1"/>
  <c r="K11" i="2" l="1"/>
  <c r="E29" i="2"/>
  <c r="E65" i="2"/>
  <c r="L35" i="2"/>
  <c r="E20" i="1"/>
  <c r="E22" i="1" s="1"/>
  <c r="L11" i="1"/>
  <c r="L26" i="1" s="1"/>
  <c r="K25" i="2"/>
  <c r="L31" i="2" s="1"/>
  <c r="N31" i="2" s="1"/>
  <c r="R31" i="2" s="1"/>
  <c r="E42" i="2" s="1"/>
  <c r="K59" i="2"/>
  <c r="K61" i="2" s="1"/>
  <c r="E12" i="1"/>
  <c r="L12" i="1" s="1"/>
  <c r="E19" i="2"/>
  <c r="K111" i="2" l="1"/>
  <c r="E111" i="2"/>
  <c r="L27" i="1"/>
  <c r="L49" i="1"/>
  <c r="L50" i="1" s="1"/>
  <c r="L67" i="2"/>
  <c r="E78" i="2"/>
  <c r="E79" i="2" s="1"/>
  <c r="E43" i="2"/>
  <c r="E26" i="1"/>
  <c r="E33" i="2"/>
  <c r="E20" i="2"/>
  <c r="E104" i="2" s="1"/>
  <c r="E105" i="2" s="1"/>
  <c r="E27" i="1" l="1"/>
  <c r="C33" i="1" s="1"/>
  <c r="G33" i="1" s="1"/>
  <c r="E40" i="1" s="1"/>
  <c r="E49" i="1"/>
  <c r="N67" i="2"/>
  <c r="R67" i="2" s="1"/>
  <c r="E86" i="2" s="1"/>
  <c r="L71" i="2"/>
  <c r="N33" i="2"/>
  <c r="R33" i="2" s="1"/>
  <c r="E46" i="2" s="1"/>
  <c r="E107" i="2" s="1"/>
  <c r="E108" i="2" s="1"/>
  <c r="E35" i="2"/>
  <c r="E55" i="2" s="1"/>
  <c r="B108" i="2" l="1"/>
  <c r="E112" i="2"/>
  <c r="E113" i="2" s="1"/>
  <c r="E115" i="2" s="1"/>
  <c r="E80" i="1"/>
  <c r="E83" i="1" s="1"/>
  <c r="N107" i="2"/>
  <c r="E41" i="1"/>
  <c r="E50" i="1" s="1"/>
  <c r="C56" i="1" s="1"/>
  <c r="G56" i="1" s="1"/>
  <c r="E47" i="2"/>
  <c r="E82" i="2"/>
  <c r="E83" i="2" s="1"/>
  <c r="E56" i="2"/>
  <c r="K104" i="2" s="1"/>
  <c r="K105" i="2" s="1"/>
  <c r="E69" i="2"/>
  <c r="E87" i="2"/>
  <c r="E63" i="1" l="1"/>
  <c r="K80" i="1" s="1"/>
  <c r="N69" i="2"/>
  <c r="E71" i="2"/>
  <c r="R69" i="2" l="1"/>
  <c r="K83" i="1"/>
  <c r="K112" i="2"/>
  <c r="K113" i="2" s="1"/>
  <c r="E64" i="1"/>
  <c r="E90" i="2" l="1"/>
  <c r="P78" i="2"/>
  <c r="N108" i="2"/>
  <c r="N109" i="2" s="1"/>
  <c r="K107" i="2"/>
  <c r="K108" i="2" s="1"/>
  <c r="E91" i="2"/>
  <c r="P82" i="2" l="1"/>
  <c r="P79" i="2"/>
  <c r="P83" i="2" s="1"/>
  <c r="H108" i="2"/>
  <c r="K115" i="2"/>
</calcChain>
</file>

<file path=xl/sharedStrings.xml><?xml version="1.0" encoding="utf-8"?>
<sst xmlns="http://schemas.openxmlformats.org/spreadsheetml/2006/main" count="362" uniqueCount="143">
  <si>
    <t>PROPIEDADES, PLANTA Y EQUIPO</t>
  </si>
  <si>
    <t>Fecha de adquisición</t>
  </si>
  <si>
    <t>Adquisición de terreno</t>
  </si>
  <si>
    <t>Modelo de medición posterior</t>
  </si>
  <si>
    <t>Modelo de revaluación</t>
  </si>
  <si>
    <t>NIIF</t>
  </si>
  <si>
    <t>FISCAL</t>
  </si>
  <si>
    <t>Registros contables:</t>
  </si>
  <si>
    <t>Registro de la adquisición:</t>
  </si>
  <si>
    <t>DB - ESF - Propiedades, planta y equipo</t>
  </si>
  <si>
    <t>=&gt; Terrenos</t>
  </si>
  <si>
    <t>CR - ESF - Efectivo / Cuentas por pagar</t>
  </si>
  <si>
    <t>La entidad hizo un avalúo técnico y el VR fue:</t>
  </si>
  <si>
    <t>Registro de la revaluación:</t>
  </si>
  <si>
    <t>No aplica</t>
  </si>
  <si>
    <t>=&gt; Terrenos, revaluación</t>
  </si>
  <si>
    <t>CR - ESF - Patrimonio (ORI)</t>
  </si>
  <si>
    <t>=&gt; Superávit de revaluación</t>
  </si>
  <si>
    <r>
      <rPr>
        <sz val="12"/>
        <color rgb="FFFF0000"/>
        <rFont val="Calibri (Cuerpo)_x0000_"/>
      </rPr>
      <t>*</t>
    </r>
    <r>
      <rPr>
        <sz val="12"/>
        <color theme="1"/>
        <rFont val="Calibri"/>
        <family val="2"/>
        <scheme val="minor"/>
      </rPr>
      <t xml:space="preserve"> Párrafo 29.30 de la NIIF para las Pymes</t>
    </r>
  </si>
  <si>
    <t>Propiedades, planta y equipo</t>
  </si>
  <si>
    <t>Diferencia</t>
  </si>
  <si>
    <t>Tipo Diferencia</t>
  </si>
  <si>
    <t>Naturaleza</t>
  </si>
  <si>
    <t>Tarifa</t>
  </si>
  <si>
    <t>Imp Dif</t>
  </si>
  <si>
    <t>Costo del terreno</t>
  </si>
  <si>
    <r>
      <t xml:space="preserve">Temporaria </t>
    </r>
    <r>
      <rPr>
        <sz val="12"/>
        <color rgb="FFFF0000"/>
        <rFont val="Calibri (Cuerpo)_x0000_"/>
      </rPr>
      <t>*</t>
    </r>
  </si>
  <si>
    <t>Imponible</t>
  </si>
  <si>
    <t>Es un PPyEq y se tiene la intención de conservarlo por más de 2 años</t>
  </si>
  <si>
    <t>Ganancia ocasional</t>
  </si>
  <si>
    <t>Impuesto de renta diferido:</t>
  </si>
  <si>
    <t>DB - ESF - Patrimonio (ORI)</t>
  </si>
  <si>
    <t>=&gt; Superávit de revaluación, imp diferido</t>
  </si>
  <si>
    <t>CR - ESF - Pasivos por impuestos diferidos</t>
  </si>
  <si>
    <t>Determinación del valor razonable al 31.12.2021</t>
  </si>
  <si>
    <t>Saldos al 31 de diciembre de 2021:</t>
  </si>
  <si>
    <t>DB - ESF - Pasivos por impuestos diferidos</t>
  </si>
  <si>
    <t>PROPIEDADES DE INVERSIÓN</t>
  </si>
  <si>
    <t>Adquisición de bodega</t>
  </si>
  <si>
    <t>Modelo del valor razonable</t>
  </si>
  <si>
    <t>Vida útil "técnicamente" establecida:</t>
  </si>
  <si>
    <t>Años</t>
  </si>
  <si>
    <t>DB - ESF - Propiedades de inversión</t>
  </si>
  <si>
    <t>=&gt; Bodega</t>
  </si>
  <si>
    <t>Registro de valor razonable:</t>
  </si>
  <si>
    <t>Valor técnico residual:</t>
  </si>
  <si>
    <t>CR - ER - (Ganancias) pérdidas por VR de PI</t>
  </si>
  <si>
    <t>% Anual de depreciación</t>
  </si>
  <si>
    <t>DB - ER - Gasto por depreciación</t>
  </si>
  <si>
    <t>CR - ESF - Propiedades de inversión</t>
  </si>
  <si>
    <t>=&gt; Depreciación Acum Bodega</t>
  </si>
  <si>
    <t>Propiedades de inversión</t>
  </si>
  <si>
    <t>Costo de la bodega</t>
  </si>
  <si>
    <t>Depreciación acumulada</t>
  </si>
  <si>
    <t>* No aplica</t>
  </si>
  <si>
    <t>Temporaria</t>
  </si>
  <si>
    <t>Renta ordinaria</t>
  </si>
  <si>
    <t>Ajuste valor razonable</t>
  </si>
  <si>
    <t>Es un PdI sobre la que se tiene la intención de conservarla a largo plazo (80 años)</t>
  </si>
  <si>
    <t>y en el momento de su venta, se tendrá que considerar el pago de más impuestos</t>
  </si>
  <si>
    <t>Impuesto de renta diferido: (depreciación)</t>
  </si>
  <si>
    <t>DB - ER - (Ing) Gastos por impuestos</t>
  </si>
  <si>
    <t>Impuesto de renta diferido: (valor razonable)</t>
  </si>
  <si>
    <t>Registro de la depreciación: (Año 2021)</t>
  </si>
  <si>
    <t>(En el momento de la venta, recuperación de deducciones - depreciación 35%)</t>
  </si>
  <si>
    <t>CR - ER - (Ing) Gastos por impuestos</t>
  </si>
  <si>
    <t>Determinación del valor razonable al 31.12.2022</t>
  </si>
  <si>
    <t>Registro de la depreciación: (Año 2022)</t>
  </si>
  <si>
    <t>Saldos al 31 de diciembre de 2022:</t>
  </si>
  <si>
    <t>Impuesto de renta diferido: (depreciación) reversión año 2021</t>
  </si>
  <si>
    <t>Impuesto de renta diferido: (valor razonable) reversión año 2021</t>
  </si>
  <si>
    <t>Impuesto de renta diferido: (depreciación) reconocimiento año 2022</t>
  </si>
  <si>
    <t>Impuesto de renta diferido: (valor razonable) reconocimiento año 2022</t>
  </si>
  <si>
    <t>2 de enero de 2021</t>
  </si>
  <si>
    <r>
      <rPr>
        <sz val="12"/>
        <color rgb="FFFF0000"/>
        <rFont val="Calibri (Cuerpo)_x0000_"/>
      </rPr>
      <t>*</t>
    </r>
    <r>
      <rPr>
        <sz val="12"/>
        <color theme="1"/>
        <rFont val="Calibri"/>
        <family val="2"/>
        <scheme val="minor"/>
      </rPr>
      <t xml:space="preserve"> Párrafo 51B - NIC 12 de las NIIF Plenas</t>
    </r>
  </si>
  <si>
    <t>Estado de Situación Financiera</t>
  </si>
  <si>
    <t>Al 31 de diciembre de 2021</t>
  </si>
  <si>
    <t>Al 31 de diciembre de 2022</t>
  </si>
  <si>
    <t>Activos</t>
  </si>
  <si>
    <t>Pasivos</t>
  </si>
  <si>
    <t>Patrimonio</t>
  </si>
  <si>
    <t>Capital emitido</t>
  </si>
  <si>
    <t>Primas en colocación de acciones Reservas</t>
  </si>
  <si>
    <t>Ganancias del periodo</t>
  </si>
  <si>
    <t>Otro resultado integral</t>
  </si>
  <si>
    <t>Ganancias acumuladas</t>
  </si>
  <si>
    <t>Ganancias acumuladas balance apertura</t>
  </si>
  <si>
    <t>(Cifras en miles de pesos colombianos)</t>
  </si>
  <si>
    <t>Estado de Resultados Integrales</t>
  </si>
  <si>
    <t>Ingresos de actividades ordinarias</t>
  </si>
  <si>
    <t>- Costos de ventas</t>
  </si>
  <si>
    <t>Ganancia bruta</t>
  </si>
  <si>
    <t>Gastos de administración</t>
  </si>
  <si>
    <t>Ganancia antes de impuestos</t>
  </si>
  <si>
    <t>Impuesto a las ganancias corriente</t>
  </si>
  <si>
    <t>Impuesto a las ganancias diferido</t>
  </si>
  <si>
    <t>Ganancia neta del periodo</t>
  </si>
  <si>
    <t>Pérdida neta del periodo</t>
  </si>
  <si>
    <t>Otros ingresos / gastos</t>
  </si>
  <si>
    <t>Otras ganancias / pérdidas</t>
  </si>
  <si>
    <t>Partidas del otro resultado integral</t>
  </si>
  <si>
    <t>Superávit de revaluación PPyEq</t>
  </si>
  <si>
    <t>Superávit de revaluación, impuestos</t>
  </si>
  <si>
    <t>Total otro resultado integral del año</t>
  </si>
  <si>
    <t>Total resultado integral del periodo</t>
  </si>
  <si>
    <t>Es un PdI sobre la que se tiene la intención de conservarla a largo plazo (60 años)</t>
  </si>
  <si>
    <t>=&gt;</t>
  </si>
  <si>
    <t>Depreciación</t>
  </si>
  <si>
    <t>Revaluación</t>
  </si>
  <si>
    <t>¿DR 2617 de 2022?</t>
  </si>
  <si>
    <t>Efecto neto del registro contable:</t>
  </si>
  <si>
    <t>Alternativa DR 2617 de 2022:</t>
  </si>
  <si>
    <t>DB - Patrimonio - Ganancias acumuladas</t>
  </si>
  <si>
    <t>Ejercicio 2</t>
  </si>
  <si>
    <t>2 de enero de 2020</t>
  </si>
  <si>
    <t>Adquisición de equipo de cómputo</t>
  </si>
  <si>
    <t>(el IVA está dentro del costo y es un mayor valor del activo)</t>
  </si>
  <si>
    <t>Valor residual</t>
  </si>
  <si>
    <t>(se debe establecer técnicamente)</t>
  </si>
  <si>
    <t>Vida útil (años)</t>
  </si>
  <si>
    <t>=&gt; Equipo de cómputo</t>
  </si>
  <si>
    <t>Registro de la depreciación: (Año 2020)</t>
  </si>
  <si>
    <t>CR - ESF - Propiedades, planta y equipo</t>
  </si>
  <si>
    <t>=&gt; Depreciación Acum Eq Cómputo</t>
  </si>
  <si>
    <t>Saldos al 31 de diciembre de 2020:</t>
  </si>
  <si>
    <t>Costo del equipo de cómputo</t>
  </si>
  <si>
    <t>Deducible</t>
  </si>
  <si>
    <t>Año 1, 2 y 3</t>
  </si>
  <si>
    <t>Cuadro de seguimiento para el impuesto diferido "activo":</t>
  </si>
  <si>
    <t>DB - ESF - Activos por impuestos diferidos</t>
  </si>
  <si>
    <t>Movimiento</t>
  </si>
  <si>
    <t>Saldo</t>
  </si>
  <si>
    <t>Año</t>
  </si>
  <si>
    <t>Valor NIIF</t>
  </si>
  <si>
    <t>Valor Fiscal</t>
  </si>
  <si>
    <t>Año 4 y 5</t>
  </si>
  <si>
    <t>CR - ESF - Activos por impuestos diferidos</t>
  </si>
  <si>
    <t>Año 1</t>
  </si>
  <si>
    <t>Activos por impuestos diferidos</t>
  </si>
  <si>
    <t>Año 2</t>
  </si>
  <si>
    <t>Año 3</t>
  </si>
  <si>
    <t>Año 4</t>
  </si>
  <si>
    <t>Año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</si>
</sst>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[Red]\(#,##0\)"/>
    <numFmt numFmtId="165" formatCode="#,##0;\(#,##0\)"/>
  </numFmts>
  <fonts count="1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2"/>
      <color rgb="FFFF0000"/>
      <name val="Calibri (Cuerpo)_x0000_"/>
    </font>
    <font>
      <sz val="12"/>
      <name val="Calibri"/>
      <family val="2"/>
      <scheme val="minor"/>
    </font>
    <font>
      <i/>
      <sz val="12"/>
      <name val="Calibri"/>
      <family val="2"/>
      <scheme val="minor"/>
    </font>
    <font>
      <b/>
      <sz val="12"/>
      <name val="Calibri"/>
      <family val="2"/>
      <scheme val="minor"/>
    </font>
    <font>
      <i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0">
    <xf numFmtId="0" fontId="0" fillId="0" borderId="0" xfId="0"/>
    <xf numFmtId="164" fontId="0" fillId="2" borderId="0" xfId="0" applyNumberFormat="1" applyFill="1"/>
    <xf numFmtId="164" fontId="2" fillId="2" borderId="0" xfId="0" applyNumberFormat="1" applyFont="1" applyFill="1"/>
    <xf numFmtId="164" fontId="4" fillId="2" borderId="0" xfId="0" applyNumberFormat="1" applyFont="1" applyFill="1"/>
    <xf numFmtId="164" fontId="0" fillId="2" borderId="1" xfId="0" applyNumberFormat="1" applyFill="1" applyBorder="1"/>
    <xf numFmtId="164" fontId="0" fillId="2" borderId="2" xfId="0" applyNumberFormat="1" applyFill="1" applyBorder="1"/>
    <xf numFmtId="164" fontId="0" fillId="2" borderId="3" xfId="0" applyNumberFormat="1" applyFill="1" applyBorder="1"/>
    <xf numFmtId="164" fontId="0" fillId="2" borderId="4" xfId="0" quotePrefix="1" applyNumberFormat="1" applyFill="1" applyBorder="1"/>
    <xf numFmtId="164" fontId="0" fillId="2" borderId="5" xfId="0" applyNumberFormat="1" applyFill="1" applyBorder="1"/>
    <xf numFmtId="164" fontId="0" fillId="2" borderId="6" xfId="0" applyNumberFormat="1" applyFill="1" applyBorder="1"/>
    <xf numFmtId="164" fontId="0" fillId="2" borderId="7" xfId="0" applyNumberFormat="1" applyFill="1" applyBorder="1"/>
    <xf numFmtId="165" fontId="0" fillId="2" borderId="8" xfId="0" applyNumberFormat="1" applyFill="1" applyBorder="1"/>
    <xf numFmtId="164" fontId="0" fillId="2" borderId="0" xfId="0" quotePrefix="1" applyNumberFormat="1" applyFill="1"/>
    <xf numFmtId="164" fontId="0" fillId="2" borderId="4" xfId="0" applyNumberFormat="1" applyFill="1" applyBorder="1"/>
    <xf numFmtId="164" fontId="0" fillId="2" borderId="6" xfId="0" quotePrefix="1" applyNumberFormat="1" applyFill="1" applyBorder="1"/>
    <xf numFmtId="164" fontId="0" fillId="2" borderId="8" xfId="0" applyNumberFormat="1" applyFill="1" applyBorder="1"/>
    <xf numFmtId="164" fontId="2" fillId="2" borderId="0" xfId="0" applyNumberFormat="1" applyFont="1" applyFill="1" applyAlignment="1">
      <alignment horizontal="center"/>
    </xf>
    <xf numFmtId="164" fontId="0" fillId="2" borderId="9" xfId="0" applyNumberFormat="1" applyFill="1" applyBorder="1"/>
    <xf numFmtId="164" fontId="0" fillId="2" borderId="10" xfId="0" applyNumberFormat="1" applyFill="1" applyBorder="1"/>
    <xf numFmtId="164" fontId="6" fillId="2" borderId="10" xfId="0" applyNumberFormat="1" applyFont="1" applyFill="1" applyBorder="1"/>
    <xf numFmtId="9" fontId="6" fillId="2" borderId="10" xfId="1" applyFont="1" applyFill="1" applyBorder="1" applyAlignment="1">
      <alignment horizontal="center"/>
    </xf>
    <xf numFmtId="164" fontId="6" fillId="2" borderId="11" xfId="0" applyNumberFormat="1" applyFont="1" applyFill="1" applyBorder="1"/>
    <xf numFmtId="164" fontId="7" fillId="2" borderId="9" xfId="0" applyNumberFormat="1" applyFont="1" applyFill="1" applyBorder="1"/>
    <xf numFmtId="164" fontId="7" fillId="2" borderId="10" xfId="0" applyNumberFormat="1" applyFont="1" applyFill="1" applyBorder="1"/>
    <xf numFmtId="9" fontId="7" fillId="2" borderId="11" xfId="1" applyFont="1" applyFill="1" applyBorder="1" applyAlignment="1">
      <alignment horizontal="center"/>
    </xf>
    <xf numFmtId="164" fontId="6" fillId="2" borderId="1" xfId="0" quotePrefix="1" applyNumberFormat="1" applyFont="1" applyFill="1" applyBorder="1"/>
    <xf numFmtId="164" fontId="6" fillId="2" borderId="2" xfId="0" applyNumberFormat="1" applyFont="1" applyFill="1" applyBorder="1"/>
    <xf numFmtId="164" fontId="6" fillId="2" borderId="3" xfId="0" applyNumberFormat="1" applyFont="1" applyFill="1" applyBorder="1"/>
    <xf numFmtId="164" fontId="6" fillId="2" borderId="1" xfId="0" applyNumberFormat="1" applyFont="1" applyFill="1" applyBorder="1"/>
    <xf numFmtId="164" fontId="6" fillId="2" borderId="4" xfId="0" quotePrefix="1" applyNumberFormat="1" applyFont="1" applyFill="1" applyBorder="1"/>
    <xf numFmtId="164" fontId="6" fillId="2" borderId="0" xfId="0" applyNumberFormat="1" applyFont="1" applyFill="1"/>
    <xf numFmtId="164" fontId="6" fillId="2" borderId="5" xfId="0" applyNumberFormat="1" applyFont="1" applyFill="1" applyBorder="1"/>
    <xf numFmtId="164" fontId="6" fillId="2" borderId="4" xfId="0" applyNumberFormat="1" applyFont="1" applyFill="1" applyBorder="1"/>
    <xf numFmtId="164" fontId="6" fillId="2" borderId="6" xfId="0" applyNumberFormat="1" applyFont="1" applyFill="1" applyBorder="1"/>
    <xf numFmtId="164" fontId="6" fillId="2" borderId="7" xfId="0" applyNumberFormat="1" applyFont="1" applyFill="1" applyBorder="1"/>
    <xf numFmtId="165" fontId="6" fillId="2" borderId="8" xfId="0" applyNumberFormat="1" applyFont="1" applyFill="1" applyBorder="1"/>
    <xf numFmtId="164" fontId="6" fillId="2" borderId="8" xfId="0" applyNumberFormat="1" applyFont="1" applyFill="1" applyBorder="1"/>
    <xf numFmtId="164" fontId="6" fillId="2" borderId="6" xfId="0" quotePrefix="1" applyNumberFormat="1" applyFont="1" applyFill="1" applyBorder="1"/>
    <xf numFmtId="164" fontId="8" fillId="2" borderId="0" xfId="0" applyNumberFormat="1" applyFont="1" applyFill="1"/>
    <xf numFmtId="164" fontId="9" fillId="2" borderId="0" xfId="0" applyNumberFormat="1" applyFont="1" applyFill="1"/>
    <xf numFmtId="164" fontId="9" fillId="2" borderId="0" xfId="0" applyNumberFormat="1" applyFont="1" applyFill="1" applyAlignment="1">
      <alignment horizontal="center"/>
    </xf>
    <xf numFmtId="164" fontId="4" fillId="2" borderId="0" xfId="0" applyNumberFormat="1" applyFont="1" applyFill="1" applyAlignment="1">
      <alignment horizontal="center"/>
    </xf>
    <xf numFmtId="10" fontId="0" fillId="2" borderId="0" xfId="1" applyNumberFormat="1" applyFont="1" applyFill="1" applyAlignment="1">
      <alignment horizontal="center"/>
    </xf>
    <xf numFmtId="165" fontId="6" fillId="2" borderId="0" xfId="0" applyNumberFormat="1" applyFont="1" applyFill="1"/>
    <xf numFmtId="9" fontId="6" fillId="2" borderId="2" xfId="1" applyFont="1" applyFill="1" applyBorder="1" applyAlignment="1">
      <alignment horizontal="center"/>
    </xf>
    <xf numFmtId="164" fontId="3" fillId="2" borderId="0" xfId="0" applyNumberFormat="1" applyFont="1" applyFill="1"/>
    <xf numFmtId="164" fontId="3" fillId="2" borderId="5" xfId="0" applyNumberFormat="1" applyFont="1" applyFill="1" applyBorder="1"/>
    <xf numFmtId="9" fontId="6" fillId="2" borderId="0" xfId="1" applyFont="1" applyFill="1" applyBorder="1" applyAlignment="1">
      <alignment horizontal="center"/>
    </xf>
    <xf numFmtId="164" fontId="3" fillId="2" borderId="7" xfId="0" applyNumberFormat="1" applyFont="1" applyFill="1" applyBorder="1"/>
    <xf numFmtId="164" fontId="3" fillId="2" borderId="8" xfId="0" applyNumberFormat="1" applyFont="1" applyFill="1" applyBorder="1"/>
    <xf numFmtId="9" fontId="4" fillId="2" borderId="0" xfId="1" applyFont="1" applyFill="1" applyAlignment="1">
      <alignment horizontal="center"/>
    </xf>
    <xf numFmtId="164" fontId="7" fillId="2" borderId="0" xfId="0" applyNumberFormat="1" applyFont="1" applyFill="1"/>
    <xf numFmtId="9" fontId="7" fillId="2" borderId="0" xfId="1" applyFont="1" applyFill="1" applyBorder="1" applyAlignment="1">
      <alignment horizontal="center"/>
    </xf>
    <xf numFmtId="164" fontId="0" fillId="3" borderId="0" xfId="0" applyNumberFormat="1" applyFill="1"/>
    <xf numFmtId="164" fontId="0" fillId="4" borderId="10" xfId="0" applyNumberFormat="1" applyFill="1" applyBorder="1"/>
    <xf numFmtId="164" fontId="4" fillId="3" borderId="0" xfId="0" applyNumberFormat="1" applyFont="1" applyFill="1"/>
    <xf numFmtId="164" fontId="2" fillId="4" borderId="10" xfId="0" applyNumberFormat="1" applyFont="1" applyFill="1" applyBorder="1"/>
    <xf numFmtId="164" fontId="0" fillId="3" borderId="12" xfId="0" applyNumberFormat="1" applyFill="1" applyBorder="1"/>
    <xf numFmtId="164" fontId="0" fillId="2" borderId="0" xfId="0" quotePrefix="1" applyNumberFormat="1" applyFill="1" applyAlignment="1">
      <alignment horizontal="center"/>
    </xf>
    <xf numFmtId="9" fontId="0" fillId="2" borderId="0" xfId="1" applyFont="1" applyFill="1" applyAlignment="1">
      <alignment horizontal="center"/>
    </xf>
    <xf numFmtId="164" fontId="10" fillId="2" borderId="0" xfId="0" applyNumberFormat="1" applyFont="1" applyFill="1"/>
    <xf numFmtId="164" fontId="2" fillId="2" borderId="5" xfId="0" applyNumberFormat="1" applyFont="1" applyFill="1" applyBorder="1" applyAlignment="1">
      <alignment horizontal="center"/>
    </xf>
    <xf numFmtId="164" fontId="2" fillId="2" borderId="4" xfId="0" applyNumberFormat="1" applyFont="1" applyFill="1" applyBorder="1" applyAlignment="1">
      <alignment horizontal="center"/>
    </xf>
    <xf numFmtId="164" fontId="0" fillId="2" borderId="4" xfId="0" applyNumberFormat="1" applyFill="1" applyBorder="1" applyAlignment="1">
      <alignment horizontal="center"/>
    </xf>
    <xf numFmtId="9" fontId="0" fillId="2" borderId="0" xfId="1" applyFont="1" applyFill="1" applyBorder="1"/>
    <xf numFmtId="9" fontId="0" fillId="5" borderId="12" xfId="1" applyFont="1" applyFill="1" applyBorder="1"/>
    <xf numFmtId="9" fontId="0" fillId="2" borderId="0" xfId="1" applyFont="1" applyFill="1"/>
    <xf numFmtId="164" fontId="10" fillId="2" borderId="5" xfId="0" applyNumberFormat="1" applyFont="1" applyFill="1" applyBorder="1"/>
    <xf numFmtId="164" fontId="0" fillId="2" borderId="6" xfId="0" applyNumberFormat="1" applyFill="1" applyBorder="1" applyAlignment="1">
      <alignment horizontal="center"/>
    </xf>
    <xf numFmtId="9" fontId="0" fillId="2" borderId="7" xfId="1" applyFont="1" applyFill="1" applyBorder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6BB8E-ACF4-7647-B581-12BC6B724F87}">
  <dimension ref="A1:AA55"/>
  <sheetViews>
    <sheetView tabSelected="1" zoomScale="130" zoomScaleNormal="130" workbookViewId="0"/>
  </sheetViews>
  <sheetFormatPr baseColWidth="10" defaultColWidth="10.875" defaultRowHeight="15.75"/>
  <cols>
    <col min="1" max="3" width="10.875" style="1"/>
    <col min="4" max="4" width="16.5" style="1" customWidth="1"/>
    <col min="5" max="5" width="11.5" style="1" bestFit="1" customWidth="1"/>
    <col min="6" max="10" width="10.875" style="1"/>
    <col min="11" max="11" width="14.875" style="1" customWidth="1"/>
    <col min="12" max="12" width="11.5" style="1" bestFit="1" customWidth="1"/>
    <col min="13" max="14" width="10.875" style="1"/>
    <col min="15" max="16" width="14.5" style="1" customWidth="1"/>
    <col min="17" max="18" width="10.875" style="1"/>
    <col min="19" max="20" width="11.625" style="1" bestFit="1" customWidth="1"/>
    <col min="21" max="24" width="10.875" style="1"/>
    <col min="25" max="25" width="13.875" style="1" customWidth="1"/>
    <col min="26" max="16384" width="10.875" style="1"/>
  </cols>
  <sheetData>
    <row r="1" spans="1:14">
      <c r="B1" s="2" t="s">
        <v>0</v>
      </c>
    </row>
    <row r="3" spans="1:14">
      <c r="A3" s="2" t="s">
        <v>113</v>
      </c>
      <c r="B3" s="1" t="s">
        <v>1</v>
      </c>
      <c r="E3" s="1" t="s">
        <v>114</v>
      </c>
    </row>
    <row r="4" spans="1:14">
      <c r="B4" s="1" t="s">
        <v>115</v>
      </c>
      <c r="E4" s="1">
        <v>3000000</v>
      </c>
      <c r="F4" s="3" t="s">
        <v>116</v>
      </c>
    </row>
    <row r="5" spans="1:14">
      <c r="B5" s="1" t="s">
        <v>117</v>
      </c>
      <c r="E5" s="1">
        <v>0</v>
      </c>
      <c r="F5" s="3" t="s">
        <v>118</v>
      </c>
    </row>
    <row r="6" spans="1:14">
      <c r="B6" s="1" t="s">
        <v>119</v>
      </c>
      <c r="E6" s="1">
        <v>3</v>
      </c>
    </row>
    <row r="8" spans="1:14">
      <c r="B8" s="2" t="s">
        <v>5</v>
      </c>
      <c r="H8" s="2" t="s">
        <v>6</v>
      </c>
    </row>
    <row r="9" spans="1:14" s="3" customFormat="1">
      <c r="A9" s="3" t="s">
        <v>7</v>
      </c>
      <c r="H9" s="3" t="s">
        <v>7</v>
      </c>
    </row>
    <row r="10" spans="1:14" s="3" customFormat="1">
      <c r="B10" s="2" t="s">
        <v>8</v>
      </c>
      <c r="I10" s="2" t="s">
        <v>8</v>
      </c>
    </row>
    <row r="11" spans="1:14">
      <c r="B11" s="4" t="s">
        <v>9</v>
      </c>
      <c r="C11" s="5"/>
      <c r="D11" s="5"/>
      <c r="E11" s="6"/>
      <c r="I11" s="4" t="s">
        <v>9</v>
      </c>
      <c r="J11" s="5"/>
      <c r="K11" s="5"/>
      <c r="L11" s="6"/>
    </row>
    <row r="12" spans="1:14">
      <c r="B12" s="7" t="s">
        <v>120</v>
      </c>
      <c r="E12" s="8">
        <f>E4</f>
        <v>3000000</v>
      </c>
      <c r="I12" s="7" t="s">
        <v>120</v>
      </c>
      <c r="L12" s="8">
        <f>E12</f>
        <v>3000000</v>
      </c>
    </row>
    <row r="13" spans="1:14">
      <c r="B13" s="9" t="s">
        <v>11</v>
      </c>
      <c r="C13" s="10"/>
      <c r="D13" s="10"/>
      <c r="E13" s="15">
        <f>-E12</f>
        <v>-3000000</v>
      </c>
      <c r="I13" s="9" t="s">
        <v>11</v>
      </c>
      <c r="J13" s="10"/>
      <c r="K13" s="10"/>
      <c r="L13" s="15">
        <f t="shared" ref="L13" si="0">E13</f>
        <v>-3000000</v>
      </c>
    </row>
    <row r="15" spans="1:14" s="3" customFormat="1">
      <c r="B15" s="2" t="s">
        <v>121</v>
      </c>
      <c r="I15" s="2" t="s">
        <v>121</v>
      </c>
      <c r="N15" s="41" t="s">
        <v>47</v>
      </c>
    </row>
    <row r="16" spans="1:14">
      <c r="B16" s="4" t="s">
        <v>48</v>
      </c>
      <c r="C16" s="5"/>
      <c r="D16" s="5"/>
      <c r="E16" s="6">
        <f>(E4-E5)/E6</f>
        <v>1000000</v>
      </c>
      <c r="I16" s="4" t="s">
        <v>48</v>
      </c>
      <c r="J16" s="5"/>
      <c r="K16" s="5"/>
      <c r="L16" s="6">
        <f>(E4-E5)*N16</f>
        <v>600000</v>
      </c>
      <c r="N16" s="42">
        <f>(100/5)/100</f>
        <v>0.2</v>
      </c>
    </row>
    <row r="17" spans="1:23">
      <c r="B17" s="13" t="s">
        <v>122</v>
      </c>
      <c r="E17" s="8"/>
      <c r="I17" s="13" t="s">
        <v>122</v>
      </c>
      <c r="L17" s="8"/>
    </row>
    <row r="18" spans="1:23">
      <c r="B18" s="14" t="s">
        <v>123</v>
      </c>
      <c r="C18" s="10"/>
      <c r="D18" s="10"/>
      <c r="E18" s="15">
        <f>-E16</f>
        <v>-1000000</v>
      </c>
      <c r="I18" s="14" t="s">
        <v>123</v>
      </c>
      <c r="J18" s="10"/>
      <c r="K18" s="10"/>
      <c r="L18" s="15">
        <f>-L16</f>
        <v>-600000</v>
      </c>
    </row>
    <row r="20" spans="1:23">
      <c r="A20" s="2" t="s">
        <v>124</v>
      </c>
    </row>
    <row r="21" spans="1:23">
      <c r="B21" s="1" t="s">
        <v>19</v>
      </c>
      <c r="I21" s="1" t="s">
        <v>19</v>
      </c>
      <c r="N21" s="16" t="s">
        <v>20</v>
      </c>
      <c r="O21" s="16" t="s">
        <v>21</v>
      </c>
      <c r="P21" s="16" t="s">
        <v>22</v>
      </c>
      <c r="Q21" s="16" t="s">
        <v>23</v>
      </c>
      <c r="R21" s="16" t="s">
        <v>24</v>
      </c>
    </row>
    <row r="22" spans="1:23">
      <c r="C22" s="1" t="s">
        <v>125</v>
      </c>
      <c r="E22" s="1">
        <f>E12</f>
        <v>3000000</v>
      </c>
      <c r="J22" s="1" t="s">
        <v>125</v>
      </c>
      <c r="L22" s="1">
        <f>L12</f>
        <v>3000000</v>
      </c>
    </row>
    <row r="23" spans="1:23">
      <c r="C23" s="1" t="s">
        <v>53</v>
      </c>
      <c r="E23" s="10">
        <f>E18</f>
        <v>-1000000</v>
      </c>
      <c r="J23" s="1" t="s">
        <v>53</v>
      </c>
      <c r="L23" s="10">
        <f>L18</f>
        <v>-600000</v>
      </c>
    </row>
    <row r="24" spans="1:23">
      <c r="E24" s="2">
        <f>SUM(E22:E23)</f>
        <v>2000000</v>
      </c>
      <c r="L24" s="2">
        <f>SUM(L22:L23)</f>
        <v>2400000</v>
      </c>
      <c r="N24" s="1">
        <f>E24-L24</f>
        <v>-400000</v>
      </c>
      <c r="O24" s="1" t="s">
        <v>55</v>
      </c>
      <c r="P24" s="1" t="s">
        <v>126</v>
      </c>
      <c r="Q24" s="59">
        <v>0.3</v>
      </c>
      <c r="R24" s="1">
        <f>N24*Q24</f>
        <v>-120000</v>
      </c>
    </row>
    <row r="25" spans="1:23">
      <c r="Q25" s="1" t="s">
        <v>56</v>
      </c>
    </row>
    <row r="26" spans="1:23">
      <c r="A26" s="3" t="s">
        <v>7</v>
      </c>
    </row>
    <row r="27" spans="1:23">
      <c r="B27" s="2" t="s">
        <v>30</v>
      </c>
      <c r="E27" s="16" t="s">
        <v>127</v>
      </c>
      <c r="N27" s="4" t="s">
        <v>128</v>
      </c>
      <c r="O27" s="5"/>
      <c r="P27" s="5"/>
      <c r="Q27" s="5"/>
      <c r="R27" s="5"/>
      <c r="S27" s="5"/>
      <c r="T27" s="6"/>
    </row>
    <row r="28" spans="1:23">
      <c r="B28" s="4" t="s">
        <v>129</v>
      </c>
      <c r="C28" s="5"/>
      <c r="D28" s="5"/>
      <c r="E28" s="6">
        <f>-R24</f>
        <v>120000</v>
      </c>
      <c r="F28" s="60">
        <f>E28*3</f>
        <v>360000</v>
      </c>
      <c r="I28" s="4" t="s">
        <v>14</v>
      </c>
      <c r="J28" s="5"/>
      <c r="K28" s="5"/>
      <c r="L28" s="6"/>
      <c r="N28" s="13"/>
      <c r="S28" s="16" t="s">
        <v>130</v>
      </c>
      <c r="T28" s="61" t="s">
        <v>131</v>
      </c>
    </row>
    <row r="29" spans="1:23">
      <c r="B29" s="9" t="s">
        <v>65</v>
      </c>
      <c r="C29" s="10"/>
      <c r="D29" s="10"/>
      <c r="E29" s="15">
        <f>-E28</f>
        <v>-120000</v>
      </c>
      <c r="I29" s="9"/>
      <c r="J29" s="10"/>
      <c r="K29" s="10"/>
      <c r="L29" s="15"/>
      <c r="N29" s="62" t="s">
        <v>132</v>
      </c>
      <c r="O29" s="16" t="s">
        <v>133</v>
      </c>
      <c r="P29" s="16" t="s">
        <v>134</v>
      </c>
      <c r="Q29" s="16" t="s">
        <v>20</v>
      </c>
      <c r="R29" s="16" t="s">
        <v>23</v>
      </c>
      <c r="S29" s="16" t="s">
        <v>24</v>
      </c>
      <c r="T29" s="61" t="s">
        <v>24</v>
      </c>
    </row>
    <row r="30" spans="1:23">
      <c r="N30" s="63">
        <v>2020</v>
      </c>
      <c r="O30" s="1">
        <f>E24</f>
        <v>2000000</v>
      </c>
      <c r="P30" s="1">
        <f>L24</f>
        <v>2400000</v>
      </c>
      <c r="Q30" s="1">
        <f>P30-O30</f>
        <v>400000</v>
      </c>
      <c r="R30" s="64">
        <v>0.3</v>
      </c>
      <c r="S30" s="1">
        <f>T30</f>
        <v>120000</v>
      </c>
      <c r="T30" s="8">
        <f>Q30*R30</f>
        <v>120000</v>
      </c>
    </row>
    <row r="31" spans="1:23">
      <c r="B31" s="2" t="s">
        <v>30</v>
      </c>
      <c r="E31" s="16" t="s">
        <v>135</v>
      </c>
      <c r="N31" s="63">
        <v>2021</v>
      </c>
      <c r="O31" s="1">
        <f>$E$22+$E$23*2</f>
        <v>1000000</v>
      </c>
      <c r="P31" s="1">
        <f>$L$22+($L$23*2)</f>
        <v>1800000</v>
      </c>
      <c r="Q31" s="1">
        <f>P31-O31</f>
        <v>800000</v>
      </c>
      <c r="R31" s="65">
        <v>0.3</v>
      </c>
      <c r="S31" s="1">
        <f>T31-S30</f>
        <v>120000</v>
      </c>
      <c r="T31" s="8">
        <f>Q31*R31</f>
        <v>240000</v>
      </c>
      <c r="V31" s="1">
        <v>116000</v>
      </c>
      <c r="W31" s="66">
        <v>0.3</v>
      </c>
    </row>
    <row r="32" spans="1:23">
      <c r="B32" s="4" t="s">
        <v>61</v>
      </c>
      <c r="C32" s="5"/>
      <c r="D32" s="5"/>
      <c r="E32" s="6">
        <f>-S33</f>
        <v>180000</v>
      </c>
      <c r="N32" s="63">
        <v>2022</v>
      </c>
      <c r="O32" s="1">
        <f>$E$22+$E$23*3</f>
        <v>0</v>
      </c>
      <c r="P32" s="1">
        <f>$L$22+($L$23*3)</f>
        <v>1200000</v>
      </c>
      <c r="Q32" s="1">
        <f>P32-O32</f>
        <v>1200000</v>
      </c>
      <c r="R32" s="64">
        <v>0.3</v>
      </c>
      <c r="S32" s="1">
        <f>T32-T31</f>
        <v>120000</v>
      </c>
      <c r="T32" s="67">
        <f>Q32*R32</f>
        <v>360000</v>
      </c>
      <c r="U32" s="12"/>
      <c r="V32" s="10">
        <f>S31</f>
        <v>120000</v>
      </c>
      <c r="W32" s="64">
        <v>0.35</v>
      </c>
    </row>
    <row r="33" spans="2:27">
      <c r="B33" s="9" t="s">
        <v>136</v>
      </c>
      <c r="C33" s="10"/>
      <c r="D33" s="10"/>
      <c r="E33" s="15">
        <f>-E32</f>
        <v>-180000</v>
      </c>
      <c r="F33" s="1">
        <f>E33*2</f>
        <v>-360000</v>
      </c>
      <c r="N33" s="63">
        <v>2023</v>
      </c>
      <c r="O33" s="1">
        <f>$E$22+$E$23*3</f>
        <v>0</v>
      </c>
      <c r="P33" s="1">
        <f>$L$22+($L$23*4)</f>
        <v>600000</v>
      </c>
      <c r="Q33" s="1">
        <f>P33-O33</f>
        <v>600000</v>
      </c>
      <c r="R33" s="64">
        <v>0.3</v>
      </c>
      <c r="S33" s="1">
        <f t="shared" ref="S33:S34" si="1">T33-T32</f>
        <v>-180000</v>
      </c>
      <c r="T33" s="8">
        <f>Q33*R33</f>
        <v>180000</v>
      </c>
      <c r="U33" s="12"/>
      <c r="V33" s="1">
        <f>V32-V31</f>
        <v>4000</v>
      </c>
    </row>
    <row r="34" spans="2:27">
      <c r="F34" s="1">
        <f>SUM(F28:F33)</f>
        <v>0</v>
      </c>
      <c r="N34" s="68">
        <v>2024</v>
      </c>
      <c r="O34" s="10">
        <f>$E$22+$E$23*3</f>
        <v>0</v>
      </c>
      <c r="P34" s="10">
        <f>$L$22+($L$23*5)</f>
        <v>0</v>
      </c>
      <c r="Q34" s="10">
        <f>P34-O34</f>
        <v>0</v>
      </c>
      <c r="R34" s="69">
        <v>0.3</v>
      </c>
      <c r="S34" s="10">
        <f t="shared" si="1"/>
        <v>-180000</v>
      </c>
      <c r="T34" s="15">
        <f>Q34*R34</f>
        <v>0</v>
      </c>
    </row>
    <row r="37" spans="2:27">
      <c r="N37" s="2" t="s">
        <v>30</v>
      </c>
      <c r="Q37" s="16" t="s">
        <v>137</v>
      </c>
      <c r="V37" s="1" t="s">
        <v>131</v>
      </c>
    </row>
    <row r="38" spans="2:27">
      <c r="N38" s="4" t="s">
        <v>129</v>
      </c>
      <c r="O38" s="5"/>
      <c r="P38" s="5"/>
      <c r="Q38" s="6">
        <f>S30</f>
        <v>120000</v>
      </c>
      <c r="S38" s="1" t="s">
        <v>138</v>
      </c>
      <c r="V38" s="1">
        <f>Q38</f>
        <v>120000</v>
      </c>
    </row>
    <row r="39" spans="2:27">
      <c r="N39" s="9" t="s">
        <v>65</v>
      </c>
      <c r="O39" s="10"/>
      <c r="P39" s="10"/>
      <c r="Q39" s="15">
        <f>-Q38</f>
        <v>-120000</v>
      </c>
    </row>
    <row r="41" spans="2:27">
      <c r="N41" s="2" t="s">
        <v>30</v>
      </c>
      <c r="Q41" s="16" t="s">
        <v>139</v>
      </c>
      <c r="X41" s="2" t="s">
        <v>30</v>
      </c>
      <c r="AA41" s="16" t="s">
        <v>139</v>
      </c>
    </row>
    <row r="42" spans="2:27">
      <c r="N42" s="4" t="s">
        <v>129</v>
      </c>
      <c r="O42" s="5"/>
      <c r="P42" s="5"/>
      <c r="Q42" s="6">
        <f>S31</f>
        <v>120000</v>
      </c>
      <c r="S42" s="1" t="s">
        <v>138</v>
      </c>
      <c r="V42" s="1">
        <f>Q42+V38</f>
        <v>240000</v>
      </c>
      <c r="X42" s="4" t="s">
        <v>129</v>
      </c>
      <c r="Y42" s="5"/>
      <c r="Z42" s="5"/>
      <c r="AA42" s="6">
        <f>V32</f>
        <v>120000</v>
      </c>
    </row>
    <row r="43" spans="2:27">
      <c r="N43" s="9" t="s">
        <v>65</v>
      </c>
      <c r="O43" s="10"/>
      <c r="P43" s="10"/>
      <c r="Q43" s="15">
        <f>-Q42</f>
        <v>-120000</v>
      </c>
      <c r="X43" s="13" t="s">
        <v>112</v>
      </c>
      <c r="AA43" s="8">
        <f>-V33</f>
        <v>-4000</v>
      </c>
    </row>
    <row r="44" spans="2:27">
      <c r="X44" s="9" t="s">
        <v>65</v>
      </c>
      <c r="Y44" s="10"/>
      <c r="Z44" s="10"/>
      <c r="AA44" s="15">
        <f>-V31</f>
        <v>-116000</v>
      </c>
    </row>
    <row r="45" spans="2:27">
      <c r="N45" s="2" t="s">
        <v>30</v>
      </c>
      <c r="Q45" s="16" t="s">
        <v>140</v>
      </c>
    </row>
    <row r="46" spans="2:27">
      <c r="N46" s="4" t="s">
        <v>129</v>
      </c>
      <c r="O46" s="5"/>
      <c r="P46" s="5"/>
      <c r="Q46" s="6">
        <f>S32</f>
        <v>120000</v>
      </c>
      <c r="S46" s="1" t="s">
        <v>138</v>
      </c>
      <c r="V46" s="1">
        <f>Q46+V42</f>
        <v>360000</v>
      </c>
    </row>
    <row r="47" spans="2:27">
      <c r="N47" s="9" t="s">
        <v>65</v>
      </c>
      <c r="O47" s="10"/>
      <c r="P47" s="10"/>
      <c r="Q47" s="15">
        <f>-Q46</f>
        <v>-120000</v>
      </c>
    </row>
    <row r="49" spans="14:22">
      <c r="N49" s="2" t="s">
        <v>30</v>
      </c>
      <c r="Q49" s="16" t="s">
        <v>141</v>
      </c>
    </row>
    <row r="50" spans="14:22">
      <c r="N50" s="4" t="s">
        <v>61</v>
      </c>
      <c r="O50" s="5"/>
      <c r="P50" s="5"/>
      <c r="Q50" s="6">
        <f>-(T33-T32)</f>
        <v>180000</v>
      </c>
      <c r="S50" s="1" t="s">
        <v>138</v>
      </c>
      <c r="V50" s="1">
        <f>Q51+V46</f>
        <v>180000</v>
      </c>
    </row>
    <row r="51" spans="14:22">
      <c r="N51" s="9" t="s">
        <v>136</v>
      </c>
      <c r="O51" s="10"/>
      <c r="P51" s="10"/>
      <c r="Q51" s="15">
        <f>S33</f>
        <v>-180000</v>
      </c>
    </row>
    <row r="53" spans="14:22">
      <c r="N53" s="2" t="s">
        <v>30</v>
      </c>
      <c r="Q53" s="16" t="s">
        <v>142</v>
      </c>
    </row>
    <row r="54" spans="14:22">
      <c r="N54" s="4" t="s">
        <v>61</v>
      </c>
      <c r="O54" s="5"/>
      <c r="P54" s="5"/>
      <c r="Q54" s="6">
        <f>-(T34-T33)</f>
        <v>180000</v>
      </c>
      <c r="S54" s="1" t="s">
        <v>138</v>
      </c>
      <c r="V54" s="1">
        <f>Q55+V50</f>
        <v>0</v>
      </c>
    </row>
    <row r="55" spans="14:22">
      <c r="N55" s="9" t="s">
        <v>136</v>
      </c>
      <c r="O55" s="10"/>
      <c r="P55" s="10"/>
      <c r="Q55" s="15">
        <f>S34</f>
        <v>-180000</v>
      </c>
    </row>
  </sheetData>
  <sheetProtection algorithmName="SHA-512" hashValue="mqAE0SzZff5onK/XpZTXqWJzTbQhCmuFYZUm8o/4f0tRc0Q6sgOB5ohF/1U9OpwZmYdMN8RzU3sXhevdWtez6A==" saltValue="MpPf/EwoVGew3LUemxYLcw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376D7-3D35-B748-BDD7-DB21987EDCA1}">
  <dimension ref="A1:U83"/>
  <sheetViews>
    <sheetView zoomScale="130" zoomScaleNormal="130" workbookViewId="0"/>
  </sheetViews>
  <sheetFormatPr baseColWidth="10" defaultColWidth="10.875" defaultRowHeight="15.75"/>
  <cols>
    <col min="1" max="1" width="5.875" style="1" customWidth="1"/>
    <col min="2" max="3" width="10.875" style="1"/>
    <col min="4" max="4" width="16.5" style="1" customWidth="1"/>
    <col min="5" max="5" width="12.5" style="1" bestFit="1" customWidth="1"/>
    <col min="6" max="6" width="11.125" style="1" bestFit="1" customWidth="1"/>
    <col min="7" max="10" width="10.875" style="1"/>
    <col min="11" max="11" width="12.875" style="1" customWidth="1"/>
    <col min="12" max="12" width="12.5" style="1" bestFit="1" customWidth="1"/>
    <col min="13" max="13" width="10.875" style="1"/>
    <col min="14" max="14" width="11.875" style="1" customWidth="1"/>
    <col min="15" max="16" width="14.5" style="1" customWidth="1"/>
    <col min="17" max="18" width="10.875" style="1"/>
    <col min="19" max="20" width="11.625" style="1" bestFit="1" customWidth="1"/>
    <col min="21" max="16384" width="10.875" style="1"/>
  </cols>
  <sheetData>
    <row r="1" spans="1:12">
      <c r="B1" s="2" t="s">
        <v>0</v>
      </c>
    </row>
    <row r="3" spans="1:12">
      <c r="B3" s="1" t="s">
        <v>1</v>
      </c>
      <c r="E3" s="1" t="s">
        <v>73</v>
      </c>
    </row>
    <row r="4" spans="1:12">
      <c r="B4" s="1" t="s">
        <v>2</v>
      </c>
      <c r="E4" s="1">
        <v>500000000</v>
      </c>
    </row>
    <row r="5" spans="1:12">
      <c r="B5" s="1" t="s">
        <v>3</v>
      </c>
      <c r="E5" s="1" t="s">
        <v>4</v>
      </c>
    </row>
    <row r="7" spans="1:12">
      <c r="B7" s="2" t="s">
        <v>5</v>
      </c>
      <c r="H7" s="2" t="s">
        <v>6</v>
      </c>
    </row>
    <row r="8" spans="1:12" s="3" customFormat="1">
      <c r="A8" s="3" t="s">
        <v>7</v>
      </c>
      <c r="H8" s="3" t="s">
        <v>7</v>
      </c>
    </row>
    <row r="9" spans="1:12" s="3" customFormat="1">
      <c r="B9" s="2" t="s">
        <v>8</v>
      </c>
      <c r="I9" s="2" t="s">
        <v>8</v>
      </c>
    </row>
    <row r="10" spans="1:12">
      <c r="B10" s="4" t="s">
        <v>9</v>
      </c>
      <c r="C10" s="5"/>
      <c r="D10" s="5"/>
      <c r="E10" s="6"/>
      <c r="I10" s="4" t="s">
        <v>9</v>
      </c>
      <c r="J10" s="5"/>
      <c r="K10" s="5"/>
      <c r="L10" s="6"/>
    </row>
    <row r="11" spans="1:12">
      <c r="B11" s="7" t="s">
        <v>10</v>
      </c>
      <c r="E11" s="8">
        <f>E4</f>
        <v>500000000</v>
      </c>
      <c r="I11" s="7" t="s">
        <v>10</v>
      </c>
      <c r="L11" s="8">
        <f>E11</f>
        <v>500000000</v>
      </c>
    </row>
    <row r="12" spans="1:12">
      <c r="B12" s="9" t="s">
        <v>11</v>
      </c>
      <c r="C12" s="10"/>
      <c r="D12" s="10"/>
      <c r="E12" s="11">
        <f>-E11</f>
        <v>-500000000</v>
      </c>
      <c r="I12" s="9" t="s">
        <v>11</v>
      </c>
      <c r="J12" s="10"/>
      <c r="K12" s="10"/>
      <c r="L12" s="11">
        <f>E12</f>
        <v>-500000000</v>
      </c>
    </row>
    <row r="14" spans="1:12">
      <c r="B14" s="2" t="s">
        <v>34</v>
      </c>
    </row>
    <row r="15" spans="1:12">
      <c r="B15" s="1" t="s">
        <v>12</v>
      </c>
      <c r="E15" s="1">
        <v>580000000</v>
      </c>
    </row>
    <row r="18" spans="1:21">
      <c r="B18" s="2" t="s">
        <v>13</v>
      </c>
      <c r="G18" s="12"/>
      <c r="J18" s="12"/>
    </row>
    <row r="19" spans="1:21">
      <c r="B19" s="4" t="s">
        <v>9</v>
      </c>
      <c r="C19" s="5"/>
      <c r="D19" s="5"/>
      <c r="E19" s="6"/>
      <c r="I19" s="4" t="s">
        <v>14</v>
      </c>
      <c r="J19" s="5"/>
      <c r="K19" s="5"/>
      <c r="L19" s="6"/>
      <c r="M19" s="3"/>
    </row>
    <row r="20" spans="1:21">
      <c r="B20" s="7" t="s">
        <v>15</v>
      </c>
      <c r="E20" s="8">
        <f>E15-E11</f>
        <v>80000000</v>
      </c>
      <c r="I20" s="13"/>
      <c r="L20" s="8"/>
      <c r="M20" s="3"/>
    </row>
    <row r="21" spans="1:21">
      <c r="B21" s="7" t="s">
        <v>16</v>
      </c>
      <c r="E21" s="8"/>
      <c r="I21" s="13"/>
      <c r="L21" s="8"/>
    </row>
    <row r="22" spans="1:21">
      <c r="B22" s="14" t="s">
        <v>17</v>
      </c>
      <c r="C22" s="10"/>
      <c r="D22" s="10"/>
      <c r="E22" s="11">
        <f>-E20</f>
        <v>-80000000</v>
      </c>
      <c r="I22" s="9"/>
      <c r="J22" s="10"/>
      <c r="K22" s="10"/>
      <c r="L22" s="15"/>
    </row>
    <row r="24" spans="1:21">
      <c r="A24" s="2" t="s">
        <v>35</v>
      </c>
    </row>
    <row r="25" spans="1:21">
      <c r="B25" s="1" t="s">
        <v>19</v>
      </c>
      <c r="I25" s="1" t="s">
        <v>19</v>
      </c>
    </row>
    <row r="26" spans="1:21">
      <c r="C26" s="1" t="s">
        <v>25</v>
      </c>
      <c r="E26" s="10">
        <f>E11+E20</f>
        <v>580000000</v>
      </c>
      <c r="J26" s="1" t="s">
        <v>25</v>
      </c>
      <c r="L26" s="10">
        <f>L11</f>
        <v>500000000</v>
      </c>
    </row>
    <row r="27" spans="1:21">
      <c r="E27" s="2">
        <f>SUM(E26:E26)</f>
        <v>580000000</v>
      </c>
      <c r="L27" s="2">
        <f>SUM(L26:L26)</f>
        <v>500000000</v>
      </c>
    </row>
    <row r="29" spans="1:21">
      <c r="D29" s="1" t="s">
        <v>18</v>
      </c>
    </row>
    <row r="30" spans="1:21">
      <c r="D30" s="1" t="s">
        <v>74</v>
      </c>
    </row>
    <row r="31" spans="1:21">
      <c r="C31" s="16" t="s">
        <v>20</v>
      </c>
      <c r="D31" s="16" t="s">
        <v>21</v>
      </c>
      <c r="E31" s="16" t="s">
        <v>22</v>
      </c>
      <c r="F31" s="16" t="s">
        <v>23</v>
      </c>
      <c r="G31" s="16" t="s">
        <v>24</v>
      </c>
      <c r="N31" s="3"/>
      <c r="S31" s="51"/>
      <c r="T31" s="51"/>
      <c r="U31" s="52"/>
    </row>
    <row r="32" spans="1:21">
      <c r="N32" s="3"/>
      <c r="S32" s="51"/>
      <c r="T32" s="51"/>
      <c r="U32" s="52"/>
    </row>
    <row r="33" spans="1:21">
      <c r="C33" s="17">
        <f>E27-L27</f>
        <v>80000000</v>
      </c>
      <c r="D33" s="18" t="s">
        <v>26</v>
      </c>
      <c r="E33" s="19" t="s">
        <v>27</v>
      </c>
      <c r="F33" s="20">
        <f>J35</f>
        <v>0.1</v>
      </c>
      <c r="G33" s="21">
        <f>C33*F33</f>
        <v>8000000</v>
      </c>
      <c r="N33" s="3"/>
      <c r="S33" s="51"/>
      <c r="T33" s="51"/>
      <c r="U33" s="52"/>
    </row>
    <row r="34" spans="1:21">
      <c r="N34" s="3"/>
      <c r="S34" s="51"/>
      <c r="T34" s="51"/>
      <c r="U34" s="52"/>
    </row>
    <row r="35" spans="1:21">
      <c r="C35" s="3" t="s">
        <v>28</v>
      </c>
      <c r="H35" s="22" t="s">
        <v>29</v>
      </c>
      <c r="I35" s="23"/>
      <c r="J35" s="24">
        <v>0.1</v>
      </c>
      <c r="N35" s="3"/>
      <c r="S35" s="51"/>
      <c r="T35" s="51"/>
      <c r="U35" s="52"/>
    </row>
    <row r="36" spans="1:21">
      <c r="N36" s="3"/>
      <c r="S36" s="51"/>
      <c r="T36" s="51"/>
      <c r="U36" s="52"/>
    </row>
    <row r="37" spans="1:21">
      <c r="A37" s="3" t="s">
        <v>7</v>
      </c>
      <c r="O37" s="3"/>
      <c r="P37" s="3"/>
      <c r="Q37" s="3"/>
      <c r="R37" s="3"/>
    </row>
    <row r="38" spans="1:21">
      <c r="B38" s="2" t="s">
        <v>30</v>
      </c>
      <c r="E38" s="16"/>
    </row>
    <row r="39" spans="1:21">
      <c r="B39" s="25" t="s">
        <v>31</v>
      </c>
      <c r="C39" s="26"/>
      <c r="D39" s="26"/>
      <c r="E39" s="27"/>
      <c r="I39" s="28" t="s">
        <v>14</v>
      </c>
      <c r="J39" s="26"/>
      <c r="K39" s="26"/>
      <c r="L39" s="27"/>
    </row>
    <row r="40" spans="1:21">
      <c r="B40" s="29" t="s">
        <v>32</v>
      </c>
      <c r="C40" s="30"/>
      <c r="D40" s="30"/>
      <c r="E40" s="31">
        <f>G33</f>
        <v>8000000</v>
      </c>
      <c r="I40" s="32"/>
      <c r="J40" s="30"/>
      <c r="K40" s="30"/>
      <c r="L40" s="31"/>
    </row>
    <row r="41" spans="1:21">
      <c r="B41" s="33" t="s">
        <v>33</v>
      </c>
      <c r="C41" s="34"/>
      <c r="D41" s="34"/>
      <c r="E41" s="35">
        <f>-E40</f>
        <v>-8000000</v>
      </c>
      <c r="I41" s="33"/>
      <c r="J41" s="34"/>
      <c r="K41" s="34"/>
      <c r="L41" s="36"/>
    </row>
    <row r="43" spans="1:21" s="53" customFormat="1" ht="5.0999999999999996" customHeight="1"/>
    <row r="44" spans="1:21">
      <c r="B44" s="2" t="s">
        <v>66</v>
      </c>
    </row>
    <row r="45" spans="1:21">
      <c r="B45" s="1" t="s">
        <v>12</v>
      </c>
      <c r="E45" s="1">
        <v>580000000</v>
      </c>
    </row>
    <row r="47" spans="1:21">
      <c r="A47" s="2" t="s">
        <v>68</v>
      </c>
    </row>
    <row r="48" spans="1:21">
      <c r="B48" s="1" t="s">
        <v>19</v>
      </c>
      <c r="I48" s="1" t="s">
        <v>19</v>
      </c>
    </row>
    <row r="49" spans="1:21">
      <c r="C49" s="1" t="s">
        <v>25</v>
      </c>
      <c r="E49" s="10">
        <f>E26</f>
        <v>580000000</v>
      </c>
      <c r="J49" s="1" t="s">
        <v>25</v>
      </c>
      <c r="L49" s="10">
        <f>L26</f>
        <v>500000000</v>
      </c>
    </row>
    <row r="50" spans="1:21">
      <c r="E50" s="2">
        <f>SUM(E49:E49)</f>
        <v>580000000</v>
      </c>
      <c r="L50" s="2">
        <f>SUM(L49:L49)</f>
        <v>500000000</v>
      </c>
    </row>
    <row r="52" spans="1:21">
      <c r="D52" s="1" t="s">
        <v>18</v>
      </c>
    </row>
    <row r="53" spans="1:21">
      <c r="D53" s="1" t="s">
        <v>74</v>
      </c>
    </row>
    <row r="54" spans="1:21">
      <c r="C54" s="16" t="s">
        <v>20</v>
      </c>
      <c r="D54" s="16" t="s">
        <v>21</v>
      </c>
      <c r="E54" s="16" t="s">
        <v>22</v>
      </c>
      <c r="F54" s="16" t="s">
        <v>23</v>
      </c>
      <c r="G54" s="16" t="s">
        <v>24</v>
      </c>
      <c r="N54" s="3"/>
      <c r="S54" s="51"/>
      <c r="T54" s="51"/>
      <c r="U54" s="52"/>
    </row>
    <row r="55" spans="1:21">
      <c r="N55" s="3"/>
      <c r="S55" s="51"/>
      <c r="T55" s="51"/>
      <c r="U55" s="52"/>
    </row>
    <row r="56" spans="1:21">
      <c r="C56" s="17">
        <f>E50-L50</f>
        <v>80000000</v>
      </c>
      <c r="D56" s="18" t="s">
        <v>26</v>
      </c>
      <c r="E56" s="19" t="s">
        <v>27</v>
      </c>
      <c r="F56" s="20">
        <f>J58</f>
        <v>0.15</v>
      </c>
      <c r="G56" s="21">
        <f>C56*F56</f>
        <v>12000000</v>
      </c>
      <c r="N56" s="3"/>
      <c r="S56" s="51"/>
      <c r="T56" s="51"/>
      <c r="U56" s="52"/>
    </row>
    <row r="57" spans="1:21">
      <c r="N57" s="3"/>
      <c r="S57" s="51"/>
      <c r="T57" s="51"/>
      <c r="U57" s="52"/>
    </row>
    <row r="58" spans="1:21">
      <c r="C58" s="3" t="s">
        <v>28</v>
      </c>
      <c r="H58" s="22" t="s">
        <v>29</v>
      </c>
      <c r="I58" s="23"/>
      <c r="J58" s="24">
        <v>0.15</v>
      </c>
      <c r="N58" s="3"/>
      <c r="S58" s="51"/>
      <c r="T58" s="51"/>
      <c r="U58" s="52"/>
    </row>
    <row r="59" spans="1:21">
      <c r="N59" s="3"/>
      <c r="S59" s="51"/>
      <c r="T59" s="51"/>
      <c r="U59" s="52"/>
    </row>
    <row r="60" spans="1:21">
      <c r="A60" s="3" t="s">
        <v>7</v>
      </c>
      <c r="O60" s="3"/>
      <c r="P60" s="3"/>
      <c r="Q60" s="3"/>
      <c r="R60" s="3"/>
    </row>
    <row r="61" spans="1:21">
      <c r="B61" s="2" t="s">
        <v>30</v>
      </c>
      <c r="E61" s="16"/>
    </row>
    <row r="62" spans="1:21">
      <c r="B62" s="25" t="s">
        <v>31</v>
      </c>
      <c r="C62" s="26"/>
      <c r="D62" s="26"/>
      <c r="E62" s="27"/>
      <c r="I62" s="28" t="s">
        <v>14</v>
      </c>
      <c r="J62" s="26"/>
      <c r="K62" s="26"/>
      <c r="L62" s="27"/>
    </row>
    <row r="63" spans="1:21">
      <c r="B63" s="29" t="s">
        <v>32</v>
      </c>
      <c r="C63" s="30"/>
      <c r="D63" s="30"/>
      <c r="E63" s="31">
        <f>G56-E40</f>
        <v>4000000</v>
      </c>
      <c r="I63" s="32"/>
      <c r="J63" s="30"/>
      <c r="K63" s="30"/>
      <c r="L63" s="31"/>
    </row>
    <row r="64" spans="1:21">
      <c r="B64" s="33" t="s">
        <v>33</v>
      </c>
      <c r="C64" s="34"/>
      <c r="D64" s="34"/>
      <c r="E64" s="35">
        <f>-E63</f>
        <v>-4000000</v>
      </c>
      <c r="I64" s="33"/>
      <c r="J64" s="34"/>
      <c r="K64" s="34"/>
      <c r="L64" s="36"/>
    </row>
    <row r="66" spans="2:11" s="53" customFormat="1" ht="5.0999999999999996" customHeight="1"/>
    <row r="68" spans="2:11">
      <c r="B68" s="1" t="s">
        <v>75</v>
      </c>
      <c r="H68" s="1" t="s">
        <v>75</v>
      </c>
    </row>
    <row r="69" spans="2:11">
      <c r="B69" s="1" t="s">
        <v>76</v>
      </c>
      <c r="H69" s="1" t="s">
        <v>77</v>
      </c>
    </row>
    <row r="70" spans="2:11">
      <c r="B70" s="1" t="s">
        <v>87</v>
      </c>
      <c r="H70" s="1" t="s">
        <v>87</v>
      </c>
    </row>
    <row r="72" spans="2:11">
      <c r="B72" s="54" t="s">
        <v>78</v>
      </c>
      <c r="C72" s="54"/>
      <c r="D72" s="54"/>
      <c r="E72" s="54"/>
      <c r="H72" s="54" t="s">
        <v>78</v>
      </c>
      <c r="I72" s="54"/>
      <c r="J72" s="54"/>
      <c r="K72" s="54"/>
    </row>
    <row r="74" spans="2:11">
      <c r="B74" s="54" t="s">
        <v>79</v>
      </c>
      <c r="C74" s="54"/>
      <c r="D74" s="54"/>
      <c r="E74" s="54"/>
      <c r="H74" s="54" t="s">
        <v>79</v>
      </c>
      <c r="I74" s="54"/>
      <c r="J74" s="54"/>
      <c r="K74" s="54"/>
    </row>
    <row r="76" spans="2:11">
      <c r="B76" s="54" t="s">
        <v>80</v>
      </c>
      <c r="C76" s="54"/>
      <c r="D76" s="54"/>
      <c r="E76" s="54"/>
      <c r="H76" s="54" t="s">
        <v>80</v>
      </c>
      <c r="I76" s="54"/>
      <c r="J76" s="54"/>
      <c r="K76" s="54"/>
    </row>
    <row r="77" spans="2:11">
      <c r="B77" s="1" t="s">
        <v>81</v>
      </c>
      <c r="E77" s="1">
        <v>3000</v>
      </c>
      <c r="H77" s="1" t="s">
        <v>81</v>
      </c>
      <c r="K77" s="1">
        <v>3000</v>
      </c>
    </row>
    <row r="78" spans="2:11">
      <c r="B78" s="1" t="s">
        <v>82</v>
      </c>
      <c r="E78" s="1">
        <v>6423</v>
      </c>
      <c r="H78" s="1" t="s">
        <v>82</v>
      </c>
      <c r="K78" s="1">
        <v>6423</v>
      </c>
    </row>
    <row r="79" spans="2:11">
      <c r="B79" s="1" t="s">
        <v>83</v>
      </c>
      <c r="E79" s="1">
        <v>6596</v>
      </c>
      <c r="H79" s="1" t="s">
        <v>83</v>
      </c>
      <c r="K79" s="1">
        <v>6596</v>
      </c>
    </row>
    <row r="80" spans="2:11">
      <c r="B80" s="55" t="s">
        <v>84</v>
      </c>
      <c r="C80" s="55"/>
      <c r="D80" s="55"/>
      <c r="E80" s="55">
        <f>(-E22-E40)/1000</f>
        <v>72000</v>
      </c>
      <c r="H80" s="55" t="s">
        <v>84</v>
      </c>
      <c r="I80" s="55"/>
      <c r="J80" s="55"/>
      <c r="K80" s="55">
        <f>(-E22-E40-E63)/1000</f>
        <v>68000</v>
      </c>
    </row>
    <row r="81" spans="2:11">
      <c r="B81" s="1" t="s">
        <v>85</v>
      </c>
      <c r="E81" s="1">
        <v>1354</v>
      </c>
      <c r="H81" s="1" t="s">
        <v>85</v>
      </c>
      <c r="K81" s="1">
        <v>1354</v>
      </c>
    </row>
    <row r="82" spans="2:11">
      <c r="B82" s="1" t="s">
        <v>86</v>
      </c>
      <c r="E82" s="1">
        <v>2327</v>
      </c>
      <c r="H82" s="1" t="s">
        <v>86</v>
      </c>
      <c r="K82" s="1">
        <v>2327</v>
      </c>
    </row>
    <row r="83" spans="2:11">
      <c r="E83" s="54">
        <f>SUM(E77:E82)</f>
        <v>91700</v>
      </c>
      <c r="K83" s="54">
        <f>SUM(K77:K82)</f>
        <v>87700</v>
      </c>
    </row>
  </sheetData>
  <sheetProtection algorithmName="SHA-512" hashValue="JdsU8dLayzHZMDl4EWxJDh/19h2mVKxoBAuA3ZZTxJE8+0necWubC5HDyuuvHwvKvJ3jzzODCwSIT17ccqgT2Q==" saltValue="rkwvc9wiJs+p2jNmyqGyow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51101-C202-D740-97BD-5B8A5E348419}">
  <dimension ref="A1:U115"/>
  <sheetViews>
    <sheetView zoomScale="130" zoomScaleNormal="130" workbookViewId="0"/>
  </sheetViews>
  <sheetFormatPr baseColWidth="10" defaultColWidth="10.875" defaultRowHeight="15.75"/>
  <cols>
    <col min="1" max="1" width="5.875" style="1" customWidth="1"/>
    <col min="2" max="3" width="10.875" style="1"/>
    <col min="4" max="4" width="16.5" style="1" customWidth="1"/>
    <col min="5" max="5" width="12.5" style="1" bestFit="1" customWidth="1"/>
    <col min="6" max="10" width="10.875" style="1"/>
    <col min="11" max="11" width="12.875" style="1" customWidth="1"/>
    <col min="12" max="12" width="12.5" style="1" bestFit="1" customWidth="1"/>
    <col min="13" max="13" width="12.375" style="1" customWidth="1"/>
    <col min="14" max="14" width="11.875" style="1" customWidth="1"/>
    <col min="15" max="16" width="14.5" style="1" customWidth="1"/>
    <col min="17" max="18" width="10.875" style="1"/>
    <col min="19" max="20" width="11.625" style="1" bestFit="1" customWidth="1"/>
    <col min="21" max="16384" width="10.875" style="1"/>
  </cols>
  <sheetData>
    <row r="1" spans="1:12">
      <c r="B1" s="2" t="s">
        <v>37</v>
      </c>
    </row>
    <row r="3" spans="1:12">
      <c r="A3" s="2"/>
      <c r="B3" s="1" t="s">
        <v>1</v>
      </c>
      <c r="E3" s="1" t="s">
        <v>73</v>
      </c>
    </row>
    <row r="4" spans="1:12">
      <c r="B4" s="1" t="s">
        <v>38</v>
      </c>
      <c r="E4" s="1">
        <v>300000000</v>
      </c>
    </row>
    <row r="5" spans="1:12">
      <c r="B5" s="1" t="s">
        <v>3</v>
      </c>
      <c r="E5" s="1" t="s">
        <v>39</v>
      </c>
      <c r="H5" s="39" t="s">
        <v>40</v>
      </c>
      <c r="I5" s="39"/>
      <c r="J5" s="39"/>
      <c r="K5" s="40">
        <v>60</v>
      </c>
      <c r="L5" s="39" t="s">
        <v>41</v>
      </c>
    </row>
    <row r="7" spans="1:12">
      <c r="B7" s="2" t="s">
        <v>5</v>
      </c>
      <c r="H7" s="2" t="s">
        <v>6</v>
      </c>
    </row>
    <row r="8" spans="1:12" s="3" customFormat="1">
      <c r="A8" s="3" t="s">
        <v>7</v>
      </c>
      <c r="H8" s="3" t="s">
        <v>7</v>
      </c>
    </row>
    <row r="9" spans="1:12" s="3" customFormat="1">
      <c r="B9" s="2" t="s">
        <v>8</v>
      </c>
      <c r="H9" s="2" t="s">
        <v>8</v>
      </c>
    </row>
    <row r="10" spans="1:12">
      <c r="B10" s="28" t="s">
        <v>42</v>
      </c>
      <c r="C10" s="26"/>
      <c r="D10" s="26"/>
      <c r="E10" s="27"/>
      <c r="H10" s="28" t="s">
        <v>42</v>
      </c>
      <c r="I10" s="26"/>
      <c r="J10" s="26"/>
      <c r="K10" s="27"/>
    </row>
    <row r="11" spans="1:12">
      <c r="B11" s="29" t="s">
        <v>43</v>
      </c>
      <c r="C11" s="30"/>
      <c r="D11" s="30"/>
      <c r="E11" s="31">
        <f>E4</f>
        <v>300000000</v>
      </c>
      <c r="H11" s="29" t="s">
        <v>43</v>
      </c>
      <c r="I11" s="30"/>
      <c r="J11" s="30"/>
      <c r="K11" s="31">
        <f>E11</f>
        <v>300000000</v>
      </c>
    </row>
    <row r="12" spans="1:12">
      <c r="B12" s="33" t="s">
        <v>11</v>
      </c>
      <c r="C12" s="34"/>
      <c r="D12" s="34"/>
      <c r="E12" s="35">
        <f>-E11</f>
        <v>-300000000</v>
      </c>
      <c r="H12" s="33" t="s">
        <v>11</v>
      </c>
      <c r="I12" s="34"/>
      <c r="J12" s="34"/>
      <c r="K12" s="35">
        <f>E12</f>
        <v>-300000000</v>
      </c>
    </row>
    <row r="14" spans="1:12">
      <c r="B14" s="2" t="s">
        <v>34</v>
      </c>
    </row>
    <row r="15" spans="1:12">
      <c r="B15" s="1" t="s">
        <v>12</v>
      </c>
      <c r="E15" s="1">
        <v>380000000</v>
      </c>
    </row>
    <row r="17" spans="1:18">
      <c r="B17" s="2" t="s">
        <v>44</v>
      </c>
    </row>
    <row r="18" spans="1:18">
      <c r="B18" s="28" t="s">
        <v>42</v>
      </c>
      <c r="C18" s="26"/>
      <c r="D18" s="26"/>
      <c r="E18" s="27"/>
      <c r="H18" s="28" t="s">
        <v>14</v>
      </c>
      <c r="I18" s="26"/>
      <c r="J18" s="26"/>
      <c r="K18" s="27"/>
    </row>
    <row r="19" spans="1:18">
      <c r="B19" s="29" t="s">
        <v>43</v>
      </c>
      <c r="C19" s="30"/>
      <c r="D19" s="30"/>
      <c r="E19" s="31">
        <f>E15-E11</f>
        <v>80000000</v>
      </c>
      <c r="H19" s="32"/>
      <c r="I19" s="30"/>
      <c r="J19" s="30"/>
      <c r="K19" s="31"/>
      <c r="M19" s="41" t="s">
        <v>45</v>
      </c>
    </row>
    <row r="20" spans="1:18">
      <c r="B20" s="37" t="s">
        <v>46</v>
      </c>
      <c r="C20" s="34"/>
      <c r="D20" s="34"/>
      <c r="E20" s="35">
        <f>-E19</f>
        <v>-80000000</v>
      </c>
      <c r="H20" s="33"/>
      <c r="I20" s="34"/>
      <c r="J20" s="34"/>
      <c r="K20" s="36"/>
      <c r="M20" s="1">
        <f>$E$4*20%</f>
        <v>60000000</v>
      </c>
    </row>
    <row r="21" spans="1:18">
      <c r="B21" s="12"/>
    </row>
    <row r="22" spans="1:18">
      <c r="B22" s="12"/>
      <c r="H22" s="2" t="s">
        <v>63</v>
      </c>
      <c r="M22" s="41" t="s">
        <v>47</v>
      </c>
    </row>
    <row r="23" spans="1:18">
      <c r="B23" s="28" t="s">
        <v>14</v>
      </c>
      <c r="C23" s="26"/>
      <c r="D23" s="26"/>
      <c r="E23" s="27"/>
      <c r="H23" s="28" t="s">
        <v>48</v>
      </c>
      <c r="I23" s="26"/>
      <c r="J23" s="26"/>
      <c r="K23" s="27">
        <f>(E4-M20)*M23</f>
        <v>4000000</v>
      </c>
      <c r="M23" s="42">
        <f>(100/K5)/100</f>
        <v>1.6666666666666666E-2</v>
      </c>
    </row>
    <row r="24" spans="1:18">
      <c r="B24" s="29"/>
      <c r="C24" s="30"/>
      <c r="D24" s="30"/>
      <c r="E24" s="31"/>
      <c r="H24" s="32" t="s">
        <v>49</v>
      </c>
      <c r="I24" s="30"/>
      <c r="J24" s="30"/>
      <c r="K24" s="31"/>
    </row>
    <row r="25" spans="1:18">
      <c r="B25" s="37"/>
      <c r="C25" s="34"/>
      <c r="D25" s="34"/>
      <c r="E25" s="36"/>
      <c r="H25" s="37" t="s">
        <v>50</v>
      </c>
      <c r="I25" s="34"/>
      <c r="J25" s="34"/>
      <c r="K25" s="35">
        <f>-K23</f>
        <v>-4000000</v>
      </c>
    </row>
    <row r="26" spans="1:18">
      <c r="B26" s="12"/>
    </row>
    <row r="27" spans="1:18">
      <c r="A27" s="2" t="s">
        <v>35</v>
      </c>
    </row>
    <row r="28" spans="1:18">
      <c r="B28" s="1" t="s">
        <v>51</v>
      </c>
      <c r="I28" s="1" t="s">
        <v>51</v>
      </c>
      <c r="N28" s="16" t="s">
        <v>20</v>
      </c>
      <c r="O28" s="16" t="s">
        <v>21</v>
      </c>
      <c r="P28" s="16" t="s">
        <v>22</v>
      </c>
      <c r="Q28" s="16" t="s">
        <v>23</v>
      </c>
      <c r="R28" s="16" t="s">
        <v>24</v>
      </c>
    </row>
    <row r="29" spans="1:18">
      <c r="C29" s="1" t="s">
        <v>52</v>
      </c>
      <c r="E29" s="30">
        <f>E11</f>
        <v>300000000</v>
      </c>
      <c r="J29" s="1" t="s">
        <v>52</v>
      </c>
      <c r="L29" s="30">
        <f>E4</f>
        <v>300000000</v>
      </c>
    </row>
    <row r="30" spans="1:18">
      <c r="E30" s="30"/>
      <c r="L30" s="30"/>
    </row>
    <row r="31" spans="1:18">
      <c r="C31" s="1" t="s">
        <v>53</v>
      </c>
      <c r="E31" s="30">
        <v>0</v>
      </c>
      <c r="F31" s="39" t="s">
        <v>54</v>
      </c>
      <c r="J31" s="1" t="s">
        <v>53</v>
      </c>
      <c r="L31" s="43">
        <f>K25</f>
        <v>-4000000</v>
      </c>
      <c r="N31" s="28">
        <f>E31-L31</f>
        <v>4000000</v>
      </c>
      <c r="O31" s="26" t="s">
        <v>55</v>
      </c>
      <c r="P31" s="26" t="s">
        <v>27</v>
      </c>
      <c r="Q31" s="44">
        <v>0.35</v>
      </c>
      <c r="R31" s="27">
        <f>N31*Q31</f>
        <v>1400000</v>
      </c>
    </row>
    <row r="32" spans="1:18">
      <c r="E32" s="30"/>
      <c r="L32" s="30"/>
      <c r="N32" s="32"/>
      <c r="O32" s="45"/>
      <c r="P32" s="45"/>
      <c r="Q32" s="30" t="s">
        <v>56</v>
      </c>
      <c r="R32" s="46"/>
    </row>
    <row r="33" spans="1:19">
      <c r="C33" s="1" t="s">
        <v>57</v>
      </c>
      <c r="E33" s="30">
        <f>+E19</f>
        <v>80000000</v>
      </c>
      <c r="J33" s="1" t="s">
        <v>57</v>
      </c>
      <c r="L33" s="30">
        <v>0</v>
      </c>
      <c r="M33" s="39" t="s">
        <v>54</v>
      </c>
      <c r="N33" s="32">
        <f>E33-L33</f>
        <v>80000000</v>
      </c>
      <c r="O33" s="30" t="s">
        <v>55</v>
      </c>
      <c r="P33" s="30" t="s">
        <v>27</v>
      </c>
      <c r="Q33" s="47">
        <v>0.1</v>
      </c>
      <c r="R33" s="31">
        <f>N33*Q33</f>
        <v>8000000</v>
      </c>
    </row>
    <row r="34" spans="1:19">
      <c r="E34" s="34"/>
      <c r="L34" s="34"/>
      <c r="M34" s="39"/>
      <c r="N34" s="33"/>
      <c r="O34" s="48"/>
      <c r="P34" s="48"/>
      <c r="Q34" s="34" t="s">
        <v>29</v>
      </c>
      <c r="R34" s="49"/>
    </row>
    <row r="35" spans="1:19">
      <c r="E35" s="38">
        <f>SUM(E29:E34)</f>
        <v>380000000</v>
      </c>
      <c r="L35" s="38">
        <f>SUM(L29:L34)</f>
        <v>296000000</v>
      </c>
      <c r="R35" s="3"/>
      <c r="S35" s="3"/>
    </row>
    <row r="36" spans="1:19">
      <c r="L36" s="2"/>
    </row>
    <row r="37" spans="1:19">
      <c r="L37" s="2"/>
      <c r="N37" s="3" t="s">
        <v>105</v>
      </c>
    </row>
    <row r="38" spans="1:19">
      <c r="L38" s="2"/>
      <c r="N38" s="3" t="s">
        <v>59</v>
      </c>
    </row>
    <row r="39" spans="1:19">
      <c r="L39" s="2"/>
      <c r="N39" s="3" t="s">
        <v>64</v>
      </c>
    </row>
    <row r="40" spans="1:19">
      <c r="A40" s="3" t="s">
        <v>7</v>
      </c>
    </row>
    <row r="41" spans="1:19">
      <c r="B41" s="2" t="s">
        <v>60</v>
      </c>
      <c r="E41" s="16"/>
    </row>
    <row r="42" spans="1:19">
      <c r="B42" s="28" t="s">
        <v>61</v>
      </c>
      <c r="C42" s="26"/>
      <c r="D42" s="26"/>
      <c r="E42" s="27">
        <f>R31</f>
        <v>1400000</v>
      </c>
      <c r="H42" s="28" t="s">
        <v>14</v>
      </c>
      <c r="I42" s="26"/>
      <c r="J42" s="26"/>
      <c r="K42" s="27"/>
    </row>
    <row r="43" spans="1:19">
      <c r="B43" s="33" t="s">
        <v>33</v>
      </c>
      <c r="C43" s="34"/>
      <c r="D43" s="34"/>
      <c r="E43" s="35">
        <f>-E42</f>
        <v>-1400000</v>
      </c>
      <c r="H43" s="33"/>
      <c r="I43" s="34"/>
      <c r="J43" s="34"/>
      <c r="K43" s="36"/>
    </row>
    <row r="45" spans="1:19">
      <c r="B45" s="2" t="s">
        <v>62</v>
      </c>
    </row>
    <row r="46" spans="1:19">
      <c r="B46" s="28" t="s">
        <v>61</v>
      </c>
      <c r="C46" s="26"/>
      <c r="D46" s="26"/>
      <c r="E46" s="27">
        <f>R33</f>
        <v>8000000</v>
      </c>
      <c r="H46" s="28" t="s">
        <v>14</v>
      </c>
      <c r="I46" s="26"/>
      <c r="J46" s="26"/>
      <c r="K46" s="27"/>
    </row>
    <row r="47" spans="1:19">
      <c r="B47" s="33" t="s">
        <v>33</v>
      </c>
      <c r="C47" s="34"/>
      <c r="D47" s="34"/>
      <c r="E47" s="35">
        <f>-E46</f>
        <v>-8000000</v>
      </c>
      <c r="H47" s="33"/>
      <c r="I47" s="34"/>
      <c r="J47" s="34"/>
      <c r="K47" s="36"/>
    </row>
    <row r="49" spans="1:18" s="53" customFormat="1" ht="5.0999999999999996" customHeight="1"/>
    <row r="50" spans="1:18">
      <c r="B50" s="2" t="s">
        <v>66</v>
      </c>
    </row>
    <row r="51" spans="1:18">
      <c r="B51" s="1" t="s">
        <v>12</v>
      </c>
      <c r="E51" s="57">
        <f>E15</f>
        <v>380000000</v>
      </c>
    </row>
    <row r="53" spans="1:18">
      <c r="B53" s="2" t="s">
        <v>44</v>
      </c>
    </row>
    <row r="54" spans="1:18">
      <c r="B54" s="28" t="s">
        <v>42</v>
      </c>
      <c r="C54" s="26"/>
      <c r="D54" s="26"/>
      <c r="E54" s="27"/>
      <c r="H54" s="28" t="s">
        <v>14</v>
      </c>
      <c r="I54" s="26"/>
      <c r="J54" s="26"/>
      <c r="K54" s="27"/>
    </row>
    <row r="55" spans="1:18">
      <c r="B55" s="29" t="s">
        <v>43</v>
      </c>
      <c r="C55" s="30"/>
      <c r="D55" s="30"/>
      <c r="E55" s="31">
        <f>E51-E35</f>
        <v>0</v>
      </c>
      <c r="H55" s="32"/>
      <c r="I55" s="30"/>
      <c r="J55" s="30"/>
      <c r="K55" s="31"/>
      <c r="M55" s="41" t="s">
        <v>45</v>
      </c>
    </row>
    <row r="56" spans="1:18">
      <c r="B56" s="37" t="s">
        <v>46</v>
      </c>
      <c r="C56" s="34"/>
      <c r="D56" s="34"/>
      <c r="E56" s="35">
        <f>-E55</f>
        <v>0</v>
      </c>
      <c r="H56" s="33"/>
      <c r="I56" s="34"/>
      <c r="J56" s="34"/>
      <c r="K56" s="36"/>
      <c r="M56" s="1">
        <f>$E$4*20%</f>
        <v>60000000</v>
      </c>
    </row>
    <row r="57" spans="1:18">
      <c r="B57" s="12"/>
    </row>
    <row r="58" spans="1:18">
      <c r="B58" s="12"/>
      <c r="H58" s="2" t="s">
        <v>67</v>
      </c>
      <c r="M58" s="41" t="s">
        <v>47</v>
      </c>
    </row>
    <row r="59" spans="1:18">
      <c r="B59" s="28" t="s">
        <v>14</v>
      </c>
      <c r="C59" s="26"/>
      <c r="D59" s="26"/>
      <c r="E59" s="27"/>
      <c r="H59" s="28" t="s">
        <v>48</v>
      </c>
      <c r="I59" s="26"/>
      <c r="J59" s="26"/>
      <c r="K59" s="27">
        <f>(E4-M20)*M23</f>
        <v>4000000</v>
      </c>
      <c r="M59" s="42">
        <f>(100/80)/100</f>
        <v>1.2500000000000001E-2</v>
      </c>
    </row>
    <row r="60" spans="1:18">
      <c r="B60" s="29"/>
      <c r="C60" s="30"/>
      <c r="D60" s="30"/>
      <c r="E60" s="31"/>
      <c r="H60" s="32" t="s">
        <v>49</v>
      </c>
      <c r="I60" s="30"/>
      <c r="J60" s="30"/>
      <c r="K60" s="31"/>
    </row>
    <row r="61" spans="1:18">
      <c r="B61" s="37"/>
      <c r="C61" s="34"/>
      <c r="D61" s="34"/>
      <c r="E61" s="36"/>
      <c r="H61" s="37" t="s">
        <v>50</v>
      </c>
      <c r="I61" s="34"/>
      <c r="J61" s="34"/>
      <c r="K61" s="35">
        <f>-K59</f>
        <v>-4000000</v>
      </c>
    </row>
    <row r="62" spans="1:18">
      <c r="B62" s="12"/>
    </row>
    <row r="63" spans="1:18">
      <c r="A63" s="2" t="s">
        <v>68</v>
      </c>
    </row>
    <row r="64" spans="1:18">
      <c r="B64" s="1" t="s">
        <v>51</v>
      </c>
      <c r="I64" s="1" t="s">
        <v>51</v>
      </c>
      <c r="N64" s="16" t="s">
        <v>20</v>
      </c>
      <c r="O64" s="16" t="s">
        <v>21</v>
      </c>
      <c r="P64" s="16" t="s">
        <v>22</v>
      </c>
      <c r="Q64" s="16" t="s">
        <v>23</v>
      </c>
      <c r="R64" s="16" t="s">
        <v>24</v>
      </c>
    </row>
    <row r="65" spans="1:19">
      <c r="C65" s="1" t="s">
        <v>52</v>
      </c>
      <c r="E65" s="30">
        <f>E11</f>
        <v>300000000</v>
      </c>
      <c r="J65" s="1" t="s">
        <v>52</v>
      </c>
      <c r="L65" s="30">
        <f>E4</f>
        <v>300000000</v>
      </c>
    </row>
    <row r="66" spans="1:19">
      <c r="E66" s="30"/>
      <c r="L66" s="30"/>
    </row>
    <row r="67" spans="1:19">
      <c r="C67" s="1" t="s">
        <v>53</v>
      </c>
      <c r="E67" s="30">
        <v>0</v>
      </c>
      <c r="F67" s="39" t="s">
        <v>54</v>
      </c>
      <c r="J67" s="1" t="s">
        <v>53</v>
      </c>
      <c r="L67" s="43">
        <f>K61+L31</f>
        <v>-8000000</v>
      </c>
      <c r="N67" s="28">
        <f>E67-L67</f>
        <v>8000000</v>
      </c>
      <c r="O67" s="26" t="s">
        <v>55</v>
      </c>
      <c r="P67" s="26" t="s">
        <v>27</v>
      </c>
      <c r="Q67" s="44">
        <v>0.35</v>
      </c>
      <c r="R67" s="27">
        <f>N67*Q67</f>
        <v>2800000</v>
      </c>
    </row>
    <row r="68" spans="1:19">
      <c r="E68" s="30"/>
      <c r="L68" s="30"/>
      <c r="N68" s="32"/>
      <c r="O68" s="30"/>
      <c r="P68" s="30"/>
      <c r="Q68" s="45" t="s">
        <v>56</v>
      </c>
      <c r="R68" s="46"/>
    </row>
    <row r="69" spans="1:19">
      <c r="C69" s="1" t="s">
        <v>57</v>
      </c>
      <c r="E69" s="30">
        <f>+E19+E55</f>
        <v>80000000</v>
      </c>
      <c r="J69" s="1" t="s">
        <v>57</v>
      </c>
      <c r="L69" s="30">
        <v>0</v>
      </c>
      <c r="M69" s="39" t="s">
        <v>54</v>
      </c>
      <c r="N69" s="32">
        <f>E69-L69</f>
        <v>80000000</v>
      </c>
      <c r="O69" s="30" t="s">
        <v>55</v>
      </c>
      <c r="P69" s="30" t="s">
        <v>27</v>
      </c>
      <c r="Q69" s="47">
        <v>0.15</v>
      </c>
      <c r="R69" s="31">
        <f>N69*Q69</f>
        <v>12000000</v>
      </c>
    </row>
    <row r="70" spans="1:19">
      <c r="E70" s="34"/>
      <c r="L70" s="34"/>
      <c r="M70" s="39"/>
      <c r="N70" s="33"/>
      <c r="O70" s="48"/>
      <c r="P70" s="48"/>
      <c r="Q70" s="48" t="s">
        <v>29</v>
      </c>
      <c r="R70" s="49"/>
    </row>
    <row r="71" spans="1:19">
      <c r="E71" s="38">
        <f>SUM(E65:E70)</f>
        <v>380000000</v>
      </c>
      <c r="L71" s="38">
        <f>SUM(L65:L70)</f>
        <v>292000000</v>
      </c>
      <c r="R71" s="3"/>
      <c r="S71" s="3"/>
    </row>
    <row r="72" spans="1:19">
      <c r="L72" s="2"/>
    </row>
    <row r="73" spans="1:19">
      <c r="L73" s="2"/>
      <c r="N73" s="3" t="s">
        <v>58</v>
      </c>
    </row>
    <row r="74" spans="1:19">
      <c r="L74" s="2"/>
      <c r="N74" s="3" t="s">
        <v>59</v>
      </c>
    </row>
    <row r="75" spans="1:19">
      <c r="L75" s="2"/>
      <c r="N75" s="3" t="s">
        <v>64</v>
      </c>
    </row>
    <row r="76" spans="1:19">
      <c r="A76" s="3" t="s">
        <v>7</v>
      </c>
    </row>
    <row r="77" spans="1:19">
      <c r="B77" s="2" t="s">
        <v>69</v>
      </c>
      <c r="E77" s="16"/>
      <c r="M77" s="2" t="s">
        <v>110</v>
      </c>
    </row>
    <row r="78" spans="1:19">
      <c r="B78" s="28" t="s">
        <v>36</v>
      </c>
      <c r="C78" s="26"/>
      <c r="D78" s="26"/>
      <c r="E78" s="27">
        <f>E42</f>
        <v>1400000</v>
      </c>
      <c r="H78" s="28" t="s">
        <v>14</v>
      </c>
      <c r="I78" s="26"/>
      <c r="J78" s="26"/>
      <c r="K78" s="27"/>
      <c r="M78" s="1" t="s">
        <v>61</v>
      </c>
      <c r="P78" s="1">
        <f>R69+R67-R33-R31</f>
        <v>5400000</v>
      </c>
    </row>
    <row r="79" spans="1:19">
      <c r="B79" s="33" t="s">
        <v>65</v>
      </c>
      <c r="C79" s="34"/>
      <c r="D79" s="34"/>
      <c r="E79" s="35">
        <f>-E78</f>
        <v>-1400000</v>
      </c>
      <c r="H79" s="33"/>
      <c r="I79" s="34"/>
      <c r="J79" s="34"/>
      <c r="K79" s="36"/>
      <c r="M79" s="1" t="s">
        <v>33</v>
      </c>
      <c r="P79" s="1">
        <f>-P78</f>
        <v>-5400000</v>
      </c>
    </row>
    <row r="80" spans="1:19">
      <c r="H80" s="30"/>
      <c r="I80" s="30"/>
      <c r="J80" s="30"/>
      <c r="K80" s="30"/>
    </row>
    <row r="81" spans="1:21">
      <c r="B81" s="2" t="s">
        <v>70</v>
      </c>
      <c r="H81" s="30"/>
      <c r="I81" s="30"/>
      <c r="J81" s="30"/>
      <c r="K81" s="30"/>
      <c r="M81" s="2" t="s">
        <v>111</v>
      </c>
    </row>
    <row r="82" spans="1:21">
      <c r="B82" s="28" t="s">
        <v>36</v>
      </c>
      <c r="C82" s="26"/>
      <c r="D82" s="26"/>
      <c r="E82" s="27">
        <f>E46</f>
        <v>8000000</v>
      </c>
      <c r="H82" s="28" t="s">
        <v>14</v>
      </c>
      <c r="I82" s="26"/>
      <c r="J82" s="26"/>
      <c r="K82" s="27"/>
      <c r="M82" s="1" t="s">
        <v>112</v>
      </c>
      <c r="P82" s="1">
        <f>P78</f>
        <v>5400000</v>
      </c>
    </row>
    <row r="83" spans="1:21">
      <c r="B83" s="33" t="s">
        <v>65</v>
      </c>
      <c r="C83" s="34"/>
      <c r="D83" s="34"/>
      <c r="E83" s="35">
        <f>-E82</f>
        <v>-8000000</v>
      </c>
      <c r="H83" s="33"/>
      <c r="I83" s="34"/>
      <c r="J83" s="34"/>
      <c r="K83" s="36"/>
      <c r="M83" s="1" t="s">
        <v>33</v>
      </c>
      <c r="P83" s="1">
        <f>P79</f>
        <v>-5400000</v>
      </c>
    </row>
    <row r="84" spans="1:21">
      <c r="A84" s="3"/>
      <c r="H84" s="30"/>
      <c r="I84" s="30"/>
      <c r="J84" s="30"/>
      <c r="K84" s="30"/>
      <c r="O84" s="3"/>
      <c r="P84" s="3"/>
      <c r="T84" s="3"/>
      <c r="U84" s="50"/>
    </row>
    <row r="85" spans="1:21">
      <c r="B85" s="2" t="s">
        <v>71</v>
      </c>
      <c r="E85" s="16"/>
      <c r="H85" s="30"/>
      <c r="I85" s="30"/>
      <c r="J85" s="30"/>
      <c r="K85" s="30"/>
    </row>
    <row r="86" spans="1:21">
      <c r="B86" s="28" t="s">
        <v>61</v>
      </c>
      <c r="C86" s="26"/>
      <c r="D86" s="26"/>
      <c r="E86" s="27">
        <f>R67</f>
        <v>2800000</v>
      </c>
      <c r="H86" s="28" t="s">
        <v>14</v>
      </c>
      <c r="I86" s="26"/>
      <c r="J86" s="26"/>
      <c r="K86" s="27"/>
    </row>
    <row r="87" spans="1:21">
      <c r="B87" s="33" t="s">
        <v>33</v>
      </c>
      <c r="C87" s="34"/>
      <c r="D87" s="34"/>
      <c r="E87" s="35">
        <f>-E86</f>
        <v>-2800000</v>
      </c>
      <c r="H87" s="33"/>
      <c r="I87" s="34"/>
      <c r="J87" s="34"/>
      <c r="K87" s="36"/>
    </row>
    <row r="88" spans="1:21">
      <c r="H88" s="30"/>
      <c r="I88" s="30"/>
      <c r="J88" s="30"/>
      <c r="K88" s="30"/>
    </row>
    <row r="89" spans="1:21">
      <c r="B89" s="2" t="s">
        <v>72</v>
      </c>
      <c r="H89" s="30"/>
      <c r="I89" s="30"/>
      <c r="J89" s="30"/>
      <c r="K89" s="30"/>
    </row>
    <row r="90" spans="1:21">
      <c r="B90" s="28" t="s">
        <v>61</v>
      </c>
      <c r="C90" s="26"/>
      <c r="D90" s="26"/>
      <c r="E90" s="27">
        <f>R69</f>
        <v>12000000</v>
      </c>
      <c r="H90" s="28" t="s">
        <v>14</v>
      </c>
      <c r="I90" s="26"/>
      <c r="J90" s="26"/>
      <c r="K90" s="27"/>
    </row>
    <row r="91" spans="1:21">
      <c r="B91" s="33" t="s">
        <v>33</v>
      </c>
      <c r="C91" s="34"/>
      <c r="D91" s="34"/>
      <c r="E91" s="35">
        <f>-E90</f>
        <v>-12000000</v>
      </c>
      <c r="H91" s="33"/>
      <c r="I91" s="34"/>
      <c r="J91" s="34"/>
      <c r="K91" s="36"/>
    </row>
    <row r="93" spans="1:21" s="53" customFormat="1" ht="5.0999999999999996" customHeight="1"/>
    <row r="95" spans="1:21">
      <c r="B95" s="1" t="s">
        <v>88</v>
      </c>
      <c r="H95" s="1" t="s">
        <v>88</v>
      </c>
    </row>
    <row r="96" spans="1:21">
      <c r="B96" s="1" t="s">
        <v>76</v>
      </c>
      <c r="H96" s="1" t="s">
        <v>77</v>
      </c>
    </row>
    <row r="97" spans="2:15">
      <c r="B97" s="1" t="s">
        <v>87</v>
      </c>
      <c r="H97" s="1" t="s">
        <v>87</v>
      </c>
    </row>
    <row r="99" spans="2:15">
      <c r="B99" s="1" t="s">
        <v>89</v>
      </c>
      <c r="H99" s="1" t="s">
        <v>89</v>
      </c>
    </row>
    <row r="100" spans="2:15">
      <c r="B100" s="12" t="s">
        <v>90</v>
      </c>
      <c r="H100" s="12" t="s">
        <v>90</v>
      </c>
    </row>
    <row r="101" spans="2:15">
      <c r="B101" s="54" t="s">
        <v>91</v>
      </c>
      <c r="C101" s="54"/>
      <c r="D101" s="54"/>
      <c r="E101" s="54"/>
      <c r="H101" s="54" t="s">
        <v>91</v>
      </c>
      <c r="I101" s="54"/>
      <c r="J101" s="54"/>
      <c r="K101" s="54"/>
    </row>
    <row r="102" spans="2:15">
      <c r="B102" s="1" t="s">
        <v>98</v>
      </c>
      <c r="H102" s="1" t="s">
        <v>98</v>
      </c>
    </row>
    <row r="103" spans="2:15">
      <c r="B103" s="1" t="s">
        <v>92</v>
      </c>
      <c r="H103" s="1" t="s">
        <v>92</v>
      </c>
    </row>
    <row r="104" spans="2:15">
      <c r="B104" s="1" t="s">
        <v>99</v>
      </c>
      <c r="E104" s="1">
        <f>-E20/1000</f>
        <v>80000</v>
      </c>
      <c r="H104" s="1" t="s">
        <v>99</v>
      </c>
      <c r="K104" s="1">
        <f>-E56/1000</f>
        <v>0</v>
      </c>
    </row>
    <row r="105" spans="2:15">
      <c r="B105" s="54" t="s">
        <v>93</v>
      </c>
      <c r="C105" s="54"/>
      <c r="D105" s="54"/>
      <c r="E105" s="54">
        <f>SUM(E104)</f>
        <v>80000</v>
      </c>
      <c r="H105" s="54" t="s">
        <v>93</v>
      </c>
      <c r="I105" s="54"/>
      <c r="J105" s="54"/>
      <c r="K105" s="54">
        <f>SUM(K104)</f>
        <v>0</v>
      </c>
    </row>
    <row r="106" spans="2:15">
      <c r="B106" s="1" t="s">
        <v>94</v>
      </c>
      <c r="H106" s="1" t="s">
        <v>94</v>
      </c>
    </row>
    <row r="107" spans="2:15">
      <c r="B107" s="1" t="s">
        <v>95</v>
      </c>
      <c r="E107" s="1">
        <f>(-E42-E46)/1000</f>
        <v>-9400</v>
      </c>
      <c r="G107" s="45" t="s">
        <v>96</v>
      </c>
      <c r="H107" s="1" t="s">
        <v>95</v>
      </c>
      <c r="K107" s="1">
        <f>(-E79-E83-E86-E90)/1000</f>
        <v>-5400</v>
      </c>
      <c r="L107" s="58" t="s">
        <v>106</v>
      </c>
      <c r="M107" s="1" t="s">
        <v>107</v>
      </c>
      <c r="N107" s="1">
        <f>-(E79+E86)</f>
        <v>-1400000</v>
      </c>
    </row>
    <row r="108" spans="2:15">
      <c r="B108" s="54" t="str">
        <f>IF(E108&gt;0,G107,G108)</f>
        <v>Ganancia neta del periodo</v>
      </c>
      <c r="C108" s="54"/>
      <c r="D108" s="54"/>
      <c r="E108" s="54">
        <f>SUM(E105:E107)</f>
        <v>70600</v>
      </c>
      <c r="G108" s="45" t="s">
        <v>97</v>
      </c>
      <c r="H108" s="54" t="str">
        <f>IF(K108&gt;0,G107,G108)</f>
        <v>Pérdida neta del periodo</v>
      </c>
      <c r="I108" s="54"/>
      <c r="J108" s="54"/>
      <c r="K108" s="54">
        <f>SUM(K105:K107)</f>
        <v>-5400</v>
      </c>
      <c r="M108" s="1" t="s">
        <v>108</v>
      </c>
      <c r="N108" s="10">
        <f>-(E83+E90)</f>
        <v>-4000000</v>
      </c>
      <c r="O108" s="3" t="s">
        <v>109</v>
      </c>
    </row>
    <row r="109" spans="2:15">
      <c r="N109" s="2">
        <f>SUM(N107:N108)</f>
        <v>-5400000</v>
      </c>
    </row>
    <row r="110" spans="2:15">
      <c r="B110" s="3" t="s">
        <v>100</v>
      </c>
      <c r="H110" s="3" t="s">
        <v>100</v>
      </c>
    </row>
    <row r="111" spans="2:15">
      <c r="B111" s="1" t="s">
        <v>101</v>
      </c>
      <c r="E111" s="1">
        <f>-PPyEq!E22/1000</f>
        <v>80000</v>
      </c>
      <c r="H111" s="1" t="s">
        <v>101</v>
      </c>
      <c r="K111" s="1">
        <f>-PPyEq!E22/1000</f>
        <v>80000</v>
      </c>
    </row>
    <row r="112" spans="2:15">
      <c r="B112" s="1" t="s">
        <v>102</v>
      </c>
      <c r="E112" s="1">
        <f>-PPyEq!E40/1000</f>
        <v>-8000</v>
      </c>
      <c r="H112" s="1" t="s">
        <v>102</v>
      </c>
      <c r="K112" s="1">
        <f>-(PPyEq!E40/1000)-(PPyEq!E63/1000)</f>
        <v>-12000</v>
      </c>
    </row>
    <row r="113" spans="2:11">
      <c r="B113" s="54" t="s">
        <v>103</v>
      </c>
      <c r="C113" s="54"/>
      <c r="D113" s="54"/>
      <c r="E113" s="54">
        <f>SUM(E110:E112)</f>
        <v>72000</v>
      </c>
      <c r="H113" s="54" t="s">
        <v>103</v>
      </c>
      <c r="I113" s="54"/>
      <c r="J113" s="54"/>
      <c r="K113" s="54">
        <f>SUM(K110:K112)</f>
        <v>68000</v>
      </c>
    </row>
    <row r="115" spans="2:11">
      <c r="B115" s="56" t="s">
        <v>104</v>
      </c>
      <c r="C115" s="56"/>
      <c r="D115" s="56"/>
      <c r="E115" s="56">
        <f>SUM(E108,E113)</f>
        <v>142600</v>
      </c>
      <c r="H115" s="56" t="s">
        <v>104</v>
      </c>
      <c r="I115" s="56"/>
      <c r="J115" s="56"/>
      <c r="K115" s="56">
        <f>SUM(K108,K113)</f>
        <v>62600</v>
      </c>
    </row>
  </sheetData>
  <sheetProtection algorithmName="SHA-512" hashValue="wx+ndkyNRcbMReYq5XLovKsZarMgucFZjMvZROIxiavE1Pv1ZT3how+WJjQlstJnI2h55PPDBKZDHUWTQXmUPA==" saltValue="wkrTHXSU+8+Jk+IYTBp8Wg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Ejercicio 2</vt:lpstr>
      <vt:lpstr>PPyEq</vt:lpstr>
      <vt:lpstr>PdeInv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ACCOUNTER03</cp:lastModifiedBy>
  <dcterms:created xsi:type="dcterms:W3CDTF">2022-09-20T04:05:19Z</dcterms:created>
  <dcterms:modified xsi:type="dcterms:W3CDTF">2023-03-03T17:57:12Z</dcterms:modified>
</cp:coreProperties>
</file>