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A4EA4EFB-F866-4725-A9E1-9715AF46DD28}" xr6:coauthVersionLast="47" xr6:coauthVersionMax="47" xr10:uidLastSave="{00000000-0000-0000-0000-000000000000}"/>
  <bookViews>
    <workbookView xWindow="1515" yWindow="1515" windowWidth="16050" windowHeight="13560" activeTab="4" xr2:uid="{00000000-000D-0000-FFFF-FFFF00000000}"/>
  </bookViews>
  <sheets>
    <sheet name="." sheetId="8" r:id="rId1"/>
    <sheet name="Enunciado" sheetId="4" r:id="rId2"/>
    <sheet name="Utilidad" sheetId="5" r:id="rId3"/>
    <sheet name="Caja" sheetId="6" r:id="rId4"/>
    <sheet name="Rentabildiad" sheetId="7" r:id="rId5"/>
  </sheets>
  <definedNames>
    <definedName name="_xlnm.Print_Area" localSheetId="3">Caja!$A$1:$C$57</definedName>
    <definedName name="_xlnm.Print_Area" localSheetId="1">Enunciado!$A$1:$G$89</definedName>
    <definedName name="_xlnm.Print_Area" localSheetId="4">Rentabildiad!$A$1:$C$36</definedName>
    <definedName name="_xlnm.Print_Area" localSheetId="2">Utilidad!$A$1:$C$51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4" l="1"/>
  <c r="E21" i="4" l="1"/>
  <c r="B50" i="6" l="1"/>
  <c r="C50" i="6" s="1"/>
  <c r="B47" i="5"/>
  <c r="B49" i="6" s="1"/>
  <c r="B21" i="6"/>
  <c r="C21" i="6" s="1"/>
  <c r="B17" i="6"/>
  <c r="B46" i="6" s="1"/>
  <c r="B12" i="6"/>
  <c r="B41" i="6" s="1"/>
  <c r="B44" i="5"/>
  <c r="B45" i="5" s="1"/>
  <c r="B41" i="5"/>
  <c r="C41" i="5" s="1"/>
  <c r="B33" i="5"/>
  <c r="B11" i="6" s="1"/>
  <c r="B40" i="6" s="1"/>
  <c r="D12" i="5"/>
  <c r="B8" i="5"/>
  <c r="B4" i="6" s="1"/>
  <c r="B32" i="6" s="1"/>
  <c r="B4" i="5"/>
  <c r="C4" i="5" s="1"/>
  <c r="C7" i="5" s="1"/>
  <c r="C55" i="6" s="1"/>
  <c r="C26" i="6" s="1"/>
  <c r="C28" i="5" s="1"/>
  <c r="E35" i="4"/>
  <c r="E14" i="4"/>
  <c r="E28" i="4" s="1"/>
  <c r="E11" i="4"/>
  <c r="B5" i="5" s="1"/>
  <c r="B30" i="5" s="1"/>
  <c r="B19" i="5" s="1"/>
  <c r="B49" i="4"/>
  <c r="B11" i="4" s="1"/>
  <c r="B41" i="4" s="1"/>
  <c r="B52" i="4"/>
  <c r="E13" i="4"/>
  <c r="E16" i="4"/>
  <c r="E37" i="4"/>
  <c r="B16" i="4"/>
  <c r="B17" i="4" s="1"/>
  <c r="B27" i="4"/>
  <c r="E29" i="4" l="1"/>
  <c r="E34" i="4" s="1"/>
  <c r="C5" i="5"/>
  <c r="C30" i="5" s="1"/>
  <c r="C19" i="5" s="1"/>
  <c r="C8" i="5"/>
  <c r="C4" i="6" s="1"/>
  <c r="C32" i="6" s="1"/>
  <c r="B22" i="5"/>
  <c r="C22" i="5" s="1"/>
  <c r="B20" i="6"/>
  <c r="B19" i="6" s="1"/>
  <c r="C17" i="6"/>
  <c r="C46" i="6" s="1"/>
  <c r="C49" i="6"/>
  <c r="C48" i="6" s="1"/>
  <c r="B48" i="6"/>
  <c r="C29" i="5"/>
  <c r="C33" i="5"/>
  <c r="C44" i="5"/>
  <c r="C45" i="5" s="1"/>
  <c r="C47" i="5"/>
  <c r="C20" i="6" s="1"/>
  <c r="C19" i="6" s="1"/>
  <c r="C12" i="6"/>
  <c r="C41" i="6" s="1"/>
  <c r="B7" i="5"/>
  <c r="B55" i="6" s="1"/>
  <c r="B28" i="5" s="1"/>
  <c r="B23" i="5"/>
  <c r="C23" i="5" s="1"/>
  <c r="C11" i="6"/>
  <c r="B16" i="6"/>
  <c r="B15" i="6" s="1"/>
  <c r="B34" i="5"/>
  <c r="C34" i="5" s="1"/>
  <c r="B6" i="5"/>
  <c r="B16" i="5"/>
  <c r="B29" i="5"/>
  <c r="B39" i="6"/>
  <c r="B10" i="6"/>
  <c r="B12" i="4"/>
  <c r="E12" i="4"/>
  <c r="E15" i="4" s="1"/>
  <c r="F30" i="4" s="1"/>
  <c r="C6" i="5" l="1"/>
  <c r="C9" i="5" s="1"/>
  <c r="C31" i="6" s="1"/>
  <c r="B17" i="5"/>
  <c r="C17" i="5" s="1"/>
  <c r="E24" i="4"/>
  <c r="E23" i="4" s="1"/>
  <c r="B35" i="5"/>
  <c r="C16" i="5"/>
  <c r="E17" i="4"/>
  <c r="C8" i="7"/>
  <c r="B26" i="6"/>
  <c r="B9" i="5"/>
  <c r="C21" i="5"/>
  <c r="C10" i="5" s="1"/>
  <c r="C5" i="6" s="1"/>
  <c r="C43" i="6" s="1"/>
  <c r="C40" i="6"/>
  <c r="C39" i="6" s="1"/>
  <c r="C10" i="6"/>
  <c r="B21" i="5"/>
  <c r="B10" i="5" s="1"/>
  <c r="B5" i="6" s="1"/>
  <c r="B14" i="6" s="1"/>
  <c r="C35" i="5"/>
  <c r="B45" i="6"/>
  <c r="B44" i="6" s="1"/>
  <c r="C16" i="6"/>
  <c r="C31" i="5"/>
  <c r="C33" i="6" l="1"/>
  <c r="C34" i="6"/>
  <c r="E8" i="7" s="1"/>
  <c r="B31" i="6"/>
  <c r="B34" i="6" s="1"/>
  <c r="D8" i="7" s="1"/>
  <c r="D6" i="6"/>
  <c r="C18" i="5"/>
  <c r="C40" i="5" s="1"/>
  <c r="B18" i="5"/>
  <c r="B40" i="5" s="1"/>
  <c r="B42" i="5" s="1"/>
  <c r="E18" i="4"/>
  <c r="E19" i="4" s="1"/>
  <c r="C14" i="6"/>
  <c r="C15" i="6"/>
  <c r="C45" i="6"/>
  <c r="C44" i="6" s="1"/>
  <c r="C35" i="6"/>
  <c r="B43" i="6"/>
  <c r="C11" i="5"/>
  <c r="B11" i="5"/>
  <c r="B31" i="5"/>
  <c r="B42" i="4"/>
  <c r="B33" i="6" l="1"/>
  <c r="B8" i="6"/>
  <c r="B37" i="6" s="1"/>
  <c r="C42" i="5"/>
  <c r="C8" i="6"/>
  <c r="C37" i="6" s="1"/>
  <c r="B35" i="6"/>
  <c r="C4" i="7"/>
  <c r="B30" i="4"/>
  <c r="E27" i="4"/>
  <c r="E30" i="4" s="1"/>
  <c r="C12" i="5"/>
  <c r="C13" i="5" s="1"/>
  <c r="B12" i="5"/>
  <c r="B13" i="5" s="1"/>
  <c r="B22" i="4"/>
  <c r="B31" i="4" l="1"/>
  <c r="C5" i="7" s="1"/>
  <c r="C3" i="7" s="1"/>
  <c r="B48" i="5"/>
  <c r="C48" i="5"/>
  <c r="C49" i="5" s="1"/>
  <c r="E4" i="7"/>
  <c r="C3" i="6"/>
  <c r="C6" i="6" s="1"/>
  <c r="D4" i="7"/>
  <c r="B49" i="5"/>
  <c r="D5" i="7" s="1"/>
  <c r="B3" i="6"/>
  <c r="B6" i="6" s="1"/>
  <c r="B43" i="4"/>
  <c r="B44" i="4" s="1"/>
  <c r="E31" i="4" s="1"/>
  <c r="B24" i="4"/>
  <c r="B33" i="4" s="1"/>
  <c r="D3" i="7" l="1"/>
  <c r="E33" i="4"/>
  <c r="E36" i="4" s="1"/>
  <c r="E38" i="4" s="1"/>
  <c r="B10" i="4" s="1"/>
  <c r="B9" i="6"/>
  <c r="E5" i="7"/>
  <c r="E3" i="7" s="1"/>
  <c r="B38" i="6" l="1"/>
  <c r="C9" i="6"/>
  <c r="C7" i="6" s="1"/>
  <c r="C13" i="6" s="1"/>
  <c r="C18" i="6" s="1"/>
  <c r="B7" i="6"/>
  <c r="B13" i="6" s="1"/>
  <c r="B18" i="6" s="1"/>
  <c r="B13" i="4"/>
  <c r="B19" i="4" s="1"/>
  <c r="C9" i="7" s="1"/>
  <c r="C7" i="7" s="1"/>
  <c r="C11" i="7" s="1"/>
  <c r="B24" i="6"/>
  <c r="B23" i="6" l="1"/>
  <c r="B25" i="6"/>
  <c r="C23" i="6"/>
  <c r="B53" i="6"/>
  <c r="C24" i="6"/>
  <c r="C53" i="6" s="1"/>
  <c r="C38" i="6"/>
  <c r="C36" i="6" s="1"/>
  <c r="C42" i="6" s="1"/>
  <c r="C47" i="6" s="1"/>
  <c r="B36" i="6"/>
  <c r="B42" i="6" s="1"/>
  <c r="B47" i="6" s="1"/>
  <c r="C25" i="6" l="1"/>
  <c r="C28" i="6" s="1"/>
  <c r="C32" i="5" s="1"/>
  <c r="C37" i="5" s="1"/>
  <c r="B54" i="6"/>
  <c r="B52" i="6"/>
  <c r="B28" i="6"/>
  <c r="B27" i="6"/>
  <c r="C54" i="6"/>
  <c r="C52" i="6"/>
  <c r="C27" i="6" l="1"/>
  <c r="C43" i="5" s="1"/>
  <c r="C51" i="5" s="1"/>
  <c r="C53" i="5" s="1"/>
  <c r="E9" i="7"/>
  <c r="E7" i="7" s="1"/>
  <c r="E11" i="7" s="1"/>
  <c r="C56" i="6"/>
  <c r="C57" i="6"/>
  <c r="B57" i="6"/>
  <c r="B32" i="5" s="1"/>
  <c r="B37" i="5" s="1"/>
  <c r="D9" i="7" s="1"/>
  <c r="B56" i="6"/>
  <c r="B43" i="5" s="1"/>
  <c r="B51" i="5" s="1"/>
  <c r="D7" i="7" l="1"/>
  <c r="D11" i="7" l="1"/>
</calcChain>
</file>

<file path=xl/sharedStrings.xml><?xml version="1.0" encoding="utf-8"?>
<sst xmlns="http://schemas.openxmlformats.org/spreadsheetml/2006/main" count="242" uniqueCount="147">
  <si>
    <t>ACTIVOS</t>
  </si>
  <si>
    <t>Caja y bancos</t>
  </si>
  <si>
    <t>Cuentas por Cobrar</t>
  </si>
  <si>
    <t>Inventarios</t>
  </si>
  <si>
    <t>Activos Fijos</t>
  </si>
  <si>
    <t>Depreciación acumulada</t>
  </si>
  <si>
    <t>TOTAL ACTIVOS</t>
  </si>
  <si>
    <t>Cuentas por Pagar</t>
  </si>
  <si>
    <t>Obligacionaes bancarias LP</t>
  </si>
  <si>
    <t>Obligaciones bancarias  CP</t>
  </si>
  <si>
    <t>PASIVO Y PATRIMONIO</t>
  </si>
  <si>
    <t xml:space="preserve">   Pasivo Corriente</t>
  </si>
  <si>
    <t xml:space="preserve">   Pasivo Largo Plazo</t>
  </si>
  <si>
    <t>Capital</t>
  </si>
  <si>
    <t>Utilidades retenidas</t>
  </si>
  <si>
    <t>TOTAL PASIVO Y PATRIMONIO</t>
  </si>
  <si>
    <t xml:space="preserve">   Patrimonio</t>
  </si>
  <si>
    <t xml:space="preserve">    Activo Corriente</t>
  </si>
  <si>
    <t xml:space="preserve">   Activo Fijo Neto</t>
  </si>
  <si>
    <t>Ventas</t>
  </si>
  <si>
    <t xml:space="preserve">   -Costo de ventas</t>
  </si>
  <si>
    <t>Utilidad Bruta</t>
  </si>
  <si>
    <t xml:space="preserve">   -Gastos de Administración y ventas</t>
  </si>
  <si>
    <t>Utilidad Operacional</t>
  </si>
  <si>
    <t xml:space="preserve">   -Depreciación</t>
  </si>
  <si>
    <t xml:space="preserve">    - Intereses</t>
  </si>
  <si>
    <t>Utilidad Antes de Impuestos</t>
  </si>
  <si>
    <t xml:space="preserve">   - Impuestos</t>
  </si>
  <si>
    <t>Utilidad Neta Final</t>
  </si>
  <si>
    <t>Costo de Ventas</t>
  </si>
  <si>
    <t xml:space="preserve">    Inventario Inicial</t>
  </si>
  <si>
    <t xml:space="preserve">    Compras</t>
  </si>
  <si>
    <t xml:space="preserve">    Inventario Final</t>
  </si>
  <si>
    <t>Ventas van a incrementarse en un</t>
  </si>
  <si>
    <t>El monto de Gastos de ADM y VENTAS</t>
  </si>
  <si>
    <t>Número de Veces</t>
  </si>
  <si>
    <t>Rotación de Inventario</t>
  </si>
  <si>
    <t>Días</t>
  </si>
  <si>
    <t>Rotación de CxC</t>
  </si>
  <si>
    <t>Rotación de CxP</t>
  </si>
  <si>
    <t>FLUJO DE CAJA LIBRE</t>
  </si>
  <si>
    <t xml:space="preserve">    Cuentas por Pagar</t>
  </si>
  <si>
    <t xml:space="preserve">    Cuentas por Cobrar</t>
  </si>
  <si>
    <t xml:space="preserve">    Inventarios</t>
  </si>
  <si>
    <t>KTNO</t>
  </si>
  <si>
    <t xml:space="preserve">   +Depreciación</t>
  </si>
  <si>
    <t xml:space="preserve">   +Intereses</t>
  </si>
  <si>
    <t>Flujo de Caja Bruto</t>
  </si>
  <si>
    <t xml:space="preserve">   No hay inverisón en activos fijos</t>
  </si>
  <si>
    <t>Flujo de Caja Libre</t>
  </si>
  <si>
    <t xml:space="preserve">   Inversión en Capital de Trabajo</t>
  </si>
  <si>
    <t>Depreciación de La empresa se mantiene</t>
  </si>
  <si>
    <t>Cancela el préstamo de corto plazo</t>
  </si>
  <si>
    <t xml:space="preserve">    Intereses</t>
  </si>
  <si>
    <t xml:space="preserve">    Abono a capital</t>
  </si>
  <si>
    <t>Caja Anterior</t>
  </si>
  <si>
    <t>Caja Final</t>
  </si>
  <si>
    <t>Abona a Capital del préstamo de largo plazo</t>
  </si>
  <si>
    <t>Generación de efectivo</t>
  </si>
  <si>
    <t>***</t>
  </si>
  <si>
    <t>Reducción del Costo de ventas</t>
  </si>
  <si>
    <t>Costo de financiamiento</t>
  </si>
  <si>
    <t>Para Corto Plazo (Interés anual)</t>
  </si>
  <si>
    <t>Millones de Pesos</t>
  </si>
  <si>
    <t>Balance General y Estado de Resultados</t>
  </si>
  <si>
    <t>Para Largo Plazo (Interés anual)</t>
  </si>
  <si>
    <t>Del gasto de A&amp;V</t>
  </si>
  <si>
    <t>Aumento del Costo de Ventas</t>
  </si>
  <si>
    <t>Mínimo de Caja final</t>
  </si>
  <si>
    <t>Eje de Utilidad</t>
  </si>
  <si>
    <t>Gastos Financiero</t>
  </si>
  <si>
    <t xml:space="preserve">    - Gasto Financiero</t>
  </si>
  <si>
    <t>Balance General</t>
  </si>
  <si>
    <t>Esc 1</t>
  </si>
  <si>
    <t xml:space="preserve">    Costo de producción</t>
  </si>
  <si>
    <t xml:space="preserve">    Corto plazo</t>
  </si>
  <si>
    <t xml:space="preserve">    Largo plazo</t>
  </si>
  <si>
    <t>Eje de Caja</t>
  </si>
  <si>
    <t>Esc1</t>
  </si>
  <si>
    <t xml:space="preserve">   +Gasto financiero (1-tx)</t>
  </si>
  <si>
    <t xml:space="preserve">Utilidad Neta </t>
  </si>
  <si>
    <t>EBITDA</t>
  </si>
  <si>
    <t xml:space="preserve">  - Impuestos operacionales</t>
  </si>
  <si>
    <t xml:space="preserve">   Inversión en KTNO</t>
  </si>
  <si>
    <t>KTNO 2</t>
  </si>
  <si>
    <t>KTNO 1</t>
  </si>
  <si>
    <t xml:space="preserve">   Inversión en Activos Fijos</t>
  </si>
  <si>
    <t>AFB 2</t>
  </si>
  <si>
    <t>AFB 1</t>
  </si>
  <si>
    <t>Pasivo Financiero 2</t>
  </si>
  <si>
    <t>Pasivo Financiero 1</t>
  </si>
  <si>
    <t>Flujo de Caja para el Accionista</t>
  </si>
  <si>
    <t>Capital 2</t>
  </si>
  <si>
    <t>Capital 1</t>
  </si>
  <si>
    <t xml:space="preserve">   +Aporte de accionistas</t>
  </si>
  <si>
    <t xml:space="preserve">   - Dividendos</t>
  </si>
  <si>
    <t>Flujo de Caja del Periodo</t>
  </si>
  <si>
    <t>Caja Mínima</t>
  </si>
  <si>
    <t>FEN</t>
  </si>
  <si>
    <t>IEN</t>
  </si>
  <si>
    <t>Eje de Rentabilidad</t>
  </si>
  <si>
    <t>Esc2</t>
  </si>
  <si>
    <t>ROE</t>
  </si>
  <si>
    <t>Utilidad neta</t>
  </si>
  <si>
    <t>Utilidad operacional * (1-tx)</t>
  </si>
  <si>
    <t>Activo</t>
  </si>
  <si>
    <t xml:space="preserve">CONTRIBUCION FINANCIERA </t>
  </si>
  <si>
    <t>esc1</t>
  </si>
  <si>
    <t>esc2</t>
  </si>
  <si>
    <t>Descripción</t>
  </si>
  <si>
    <t>Crecimiento del escenario</t>
  </si>
  <si>
    <t>Supuesto: no inversión en activos fijos</t>
  </si>
  <si>
    <t xml:space="preserve">Usar impuesto efectivo de la empresa. </t>
  </si>
  <si>
    <t>Proyección</t>
  </si>
  <si>
    <t>RES</t>
  </si>
  <si>
    <t>Rotación inventario</t>
  </si>
  <si>
    <t>FC</t>
  </si>
  <si>
    <t>Rotación de cartera</t>
  </si>
  <si>
    <t>Rotación inventarios, ya calculado.</t>
  </si>
  <si>
    <t>SUP: Mantener / Plan de Inversión / Rotación Activo Fijo Bruto</t>
  </si>
  <si>
    <t>Saldo + ER</t>
  </si>
  <si>
    <t>Rotación de proveedores</t>
  </si>
  <si>
    <t>Saldo + Movimiento del periodo</t>
  </si>
  <si>
    <t>Saldo + Utilidades del periodo</t>
  </si>
  <si>
    <t>Dato histórico</t>
  </si>
  <si>
    <t>De acuerdo con montos y costo de la deuda.</t>
  </si>
  <si>
    <t>Porcentaje sobre ventas 16% por mejoras en políticas de inventarios</t>
  </si>
  <si>
    <t>Saldo Deuda Corto Plazo: $0 ;  Saldo Deuda Largo Plazo:$428</t>
  </si>
  <si>
    <t>Mismo crecimiento de ventas. Supuesto todos costos son variables</t>
  </si>
  <si>
    <t>Caso</t>
  </si>
  <si>
    <t>Icolfex</t>
  </si>
  <si>
    <t>Compañía XYZ</t>
  </si>
  <si>
    <t>metodo directo</t>
  </si>
  <si>
    <t xml:space="preserve">En cuanto contribuye la deuda a la rentabilidad del accionistra </t>
  </si>
  <si>
    <t>Realizar analisis de los tres Ejes y recomendar el mejor escenario</t>
  </si>
  <si>
    <t>PatrimonIo</t>
  </si>
  <si>
    <t xml:space="preserve"> % Costo de Ventas igual a  2017</t>
  </si>
  <si>
    <t>% Costo de Ventas igual a  2017</t>
  </si>
  <si>
    <t>ROIC</t>
  </si>
  <si>
    <t>BALANCE GENERAL A Diciembre 31 del 2021</t>
  </si>
  <si>
    <t>ESTADO DE RESULTADOS. A Diciembre 31 del 2021</t>
  </si>
  <si>
    <t>KTNO  del 2021</t>
  </si>
  <si>
    <t xml:space="preserve">    Caja Final del 2021</t>
  </si>
  <si>
    <t>KTNO para el año 2021</t>
  </si>
  <si>
    <t>Frente al 2021</t>
  </si>
  <si>
    <t>Supuestos de Proyección año 2022-   Escenario 1</t>
  </si>
  <si>
    <t>Supuestos de Proyección año 2022  - Escenario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</si>
</sst>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 * #,##0_ ;_ * \-#,##0_ ;_ * &quot;-&quot;??_ ;_ @_ 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22"/>
      <name val="Bauhaus 93"/>
      <family val="5"/>
    </font>
    <font>
      <sz val="9"/>
      <name val="Arial"/>
      <family val="2"/>
    </font>
    <font>
      <b/>
      <sz val="50"/>
      <color indexed="9"/>
      <name val="Century Gothic"/>
      <family val="2"/>
    </font>
    <font>
      <sz val="14"/>
      <name val="Arial"/>
      <family val="2"/>
    </font>
    <font>
      <b/>
      <sz val="14"/>
      <name val="Century Gothic"/>
      <family val="2"/>
    </font>
    <font>
      <b/>
      <sz val="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165" fontId="0" fillId="0" borderId="0" xfId="0" applyNumberFormat="1"/>
    <xf numFmtId="165" fontId="0" fillId="0" borderId="0" xfId="2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9" fontId="0" fillId="0" borderId="4" xfId="2" applyFont="1" applyBorder="1"/>
    <xf numFmtId="9" fontId="0" fillId="0" borderId="4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5" fontId="0" fillId="0" borderId="9" xfId="1" applyNumberFormat="1" applyFont="1" applyBorder="1"/>
    <xf numFmtId="165" fontId="0" fillId="0" borderId="10" xfId="1" applyNumberFormat="1" applyFont="1" applyBorder="1"/>
    <xf numFmtId="165" fontId="0" fillId="0" borderId="11" xfId="1" applyNumberFormat="1" applyFont="1" applyBorder="1"/>
    <xf numFmtId="0" fontId="2" fillId="0" borderId="6" xfId="0" applyFont="1" applyBorder="1"/>
    <xf numFmtId="165" fontId="2" fillId="0" borderId="11" xfId="1" applyNumberFormat="1" applyFont="1" applyBorder="1"/>
    <xf numFmtId="0" fontId="2" fillId="0" borderId="7" xfId="0" applyFont="1" applyBorder="1"/>
    <xf numFmtId="0" fontId="2" fillId="0" borderId="11" xfId="0" applyFont="1" applyBorder="1"/>
    <xf numFmtId="165" fontId="0" fillId="0" borderId="9" xfId="0" applyNumberFormat="1" applyBorder="1"/>
    <xf numFmtId="165" fontId="0" fillId="0" borderId="8" xfId="1" applyNumberFormat="1" applyFont="1" applyBorder="1"/>
    <xf numFmtId="165" fontId="2" fillId="0" borderId="9" xfId="1" applyNumberFormat="1" applyFont="1" applyBorder="1"/>
    <xf numFmtId="165" fontId="0" fillId="0" borderId="1" xfId="1" applyNumberFormat="1" applyFont="1" applyBorder="1"/>
    <xf numFmtId="165" fontId="0" fillId="0" borderId="3" xfId="1" applyNumberFormat="1" applyFont="1" applyBorder="1"/>
    <xf numFmtId="165" fontId="2" fillId="0" borderId="3" xfId="1" applyNumberFormat="1" applyFont="1" applyBorder="1"/>
    <xf numFmtId="165" fontId="0" fillId="0" borderId="5" xfId="1" applyNumberFormat="1" applyFont="1" applyBorder="1"/>
    <xf numFmtId="165" fontId="0" fillId="0" borderId="6" xfId="1" applyNumberFormat="1" applyFont="1" applyBorder="1"/>
    <xf numFmtId="9" fontId="0" fillId="0" borderId="11" xfId="2" applyFont="1" applyBorder="1"/>
    <xf numFmtId="165" fontId="3" fillId="0" borderId="9" xfId="1" applyNumberFormat="1" applyFont="1" applyBorder="1"/>
    <xf numFmtId="165" fontId="1" fillId="0" borderId="9" xfId="1" applyNumberFormat="1" applyFont="1" applyBorder="1"/>
    <xf numFmtId="165" fontId="3" fillId="0" borderId="11" xfId="1" applyNumberFormat="1" applyFont="1" applyBorder="1"/>
    <xf numFmtId="0" fontId="3" fillId="0" borderId="10" xfId="0" applyFont="1" applyBorder="1"/>
    <xf numFmtId="165" fontId="3" fillId="0" borderId="10" xfId="1" applyNumberFormat="1" applyFont="1" applyBorder="1"/>
    <xf numFmtId="9" fontId="3" fillId="0" borderId="8" xfId="0" applyNumberFormat="1" applyFont="1" applyBorder="1"/>
    <xf numFmtId="0" fontId="3" fillId="0" borderId="9" xfId="0" applyFont="1" applyBorder="1"/>
    <xf numFmtId="9" fontId="3" fillId="0" borderId="10" xfId="0" applyNumberFormat="1" applyFont="1" applyBorder="1"/>
    <xf numFmtId="9" fontId="1" fillId="0" borderId="8" xfId="0" applyNumberFormat="1" applyFont="1" applyBorder="1"/>
    <xf numFmtId="9" fontId="1" fillId="0" borderId="9" xfId="0" applyNumberFormat="1" applyFont="1" applyBorder="1"/>
    <xf numFmtId="165" fontId="1" fillId="0" borderId="9" xfId="0" applyNumberFormat="1" applyFont="1" applyBorder="1"/>
    <xf numFmtId="0" fontId="1" fillId="0" borderId="9" xfId="0" applyFont="1" applyBorder="1"/>
    <xf numFmtId="9" fontId="1" fillId="0" borderId="9" xfId="2" applyFont="1" applyBorder="1"/>
    <xf numFmtId="2" fontId="4" fillId="0" borderId="0" xfId="0" applyNumberFormat="1" applyFont="1" applyAlignment="1">
      <alignment horizontal="centerContinuous"/>
    </xf>
    <xf numFmtId="2" fontId="0" fillId="0" borderId="0" xfId="0" applyNumberFormat="1" applyAlignment="1">
      <alignment horizontal="centerContinuous"/>
    </xf>
    <xf numFmtId="2" fontId="5" fillId="0" borderId="0" xfId="0" applyNumberFormat="1" applyFont="1" applyAlignment="1">
      <alignment horizontal="centerContinuous"/>
    </xf>
    <xf numFmtId="0" fontId="2" fillId="0" borderId="3" xfId="0" applyFont="1" applyBorder="1"/>
    <xf numFmtId="0" fontId="1" fillId="0" borderId="3" xfId="0" applyFont="1" applyBorder="1"/>
    <xf numFmtId="9" fontId="0" fillId="0" borderId="0" xfId="0" applyNumberFormat="1"/>
    <xf numFmtId="0" fontId="1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5" xfId="0" applyFont="1" applyBorder="1"/>
    <xf numFmtId="0" fontId="2" fillId="0" borderId="0" xfId="0" applyFont="1" applyAlignment="1">
      <alignment horizontal="center"/>
    </xf>
    <xf numFmtId="165" fontId="0" fillId="0" borderId="2" xfId="1" applyNumberFormat="1" applyFont="1" applyBorder="1"/>
    <xf numFmtId="0" fontId="7" fillId="0" borderId="9" xfId="0" applyFont="1" applyBorder="1" applyAlignment="1">
      <alignment horizontal="right"/>
    </xf>
    <xf numFmtId="165" fontId="7" fillId="0" borderId="9" xfId="1" applyNumberFormat="1" applyFont="1" applyBorder="1"/>
    <xf numFmtId="0" fontId="2" fillId="2" borderId="0" xfId="0" applyFont="1" applyFill="1" applyBorder="1" applyAlignment="1">
      <alignment horizontal="right"/>
    </xf>
    <xf numFmtId="165" fontId="2" fillId="2" borderId="0" xfId="1" applyNumberFormat="1" applyFont="1" applyFill="1" applyBorder="1"/>
    <xf numFmtId="165" fontId="2" fillId="2" borderId="3" xfId="1" applyNumberFormat="1" applyFont="1" applyFill="1" applyBorder="1"/>
    <xf numFmtId="165" fontId="2" fillId="2" borderId="9" xfId="1" applyNumberFormat="1" applyFont="1" applyFill="1" applyBorder="1"/>
    <xf numFmtId="0" fontId="1" fillId="0" borderId="0" xfId="0" applyFont="1"/>
    <xf numFmtId="10" fontId="2" fillId="0" borderId="0" xfId="2" applyNumberFormat="1" applyFont="1"/>
    <xf numFmtId="165" fontId="0" fillId="0" borderId="0" xfId="1" applyNumberFormat="1" applyFont="1"/>
    <xf numFmtId="10" fontId="2" fillId="0" borderId="0" xfId="0" applyNumberFormat="1" applyFont="1"/>
    <xf numFmtId="0" fontId="2" fillId="3" borderId="11" xfId="0" applyFont="1" applyFill="1" applyBorder="1"/>
    <xf numFmtId="165" fontId="2" fillId="3" borderId="11" xfId="1" applyNumberFormat="1" applyFont="1" applyFill="1" applyBorder="1"/>
    <xf numFmtId="0" fontId="2" fillId="0" borderId="12" xfId="0" applyFont="1" applyBorder="1" applyAlignment="1">
      <alignment horizontal="center"/>
    </xf>
    <xf numFmtId="165" fontId="2" fillId="0" borderId="8" xfId="1" applyNumberFormat="1" applyFont="1" applyBorder="1"/>
    <xf numFmtId="165" fontId="2" fillId="3" borderId="8" xfId="1" applyNumberFormat="1" applyFont="1" applyFill="1" applyBorder="1"/>
    <xf numFmtId="0" fontId="8" fillId="4" borderId="0" xfId="3" applyFont="1" applyFill="1" applyAlignment="1">
      <alignment horizontal="center" vertical="center" wrapText="1"/>
    </xf>
    <xf numFmtId="0" fontId="1" fillId="0" borderId="0" xfId="3"/>
    <xf numFmtId="0" fontId="8" fillId="4" borderId="0" xfId="3" applyFont="1" applyFill="1" applyAlignment="1">
      <alignment horizontal="center"/>
    </xf>
    <xf numFmtId="0" fontId="9" fillId="0" borderId="0" xfId="3" applyFont="1"/>
    <xf numFmtId="0" fontId="10" fillId="0" borderId="0" xfId="3" applyFont="1"/>
    <xf numFmtId="0" fontId="4" fillId="0" borderId="0" xfId="3" applyFont="1"/>
    <xf numFmtId="0" fontId="11" fillId="0" borderId="0" xfId="3" applyFont="1"/>
    <xf numFmtId="165" fontId="2" fillId="5" borderId="11" xfId="1" applyNumberFormat="1" applyFont="1" applyFill="1" applyBorder="1"/>
    <xf numFmtId="1" fontId="0" fillId="5" borderId="0" xfId="0" applyNumberFormat="1" applyFill="1"/>
    <xf numFmtId="0" fontId="1" fillId="0" borderId="6" xfId="0" applyFont="1" applyBorder="1"/>
    <xf numFmtId="0" fontId="8" fillId="4" borderId="0" xfId="3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6">
    <cellStyle name="Millares" xfId="1" builtinId="3"/>
    <cellStyle name="Millares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8"/>
  <sheetViews>
    <sheetView workbookViewId="0">
      <selection activeCell="A6" sqref="A6"/>
    </sheetView>
  </sheetViews>
  <sheetFormatPr baseColWidth="10" defaultColWidth="11.42578125" defaultRowHeight="63" x14ac:dyDescent="0.85"/>
  <cols>
    <col min="1" max="1" width="134.140625" style="78" customWidth="1"/>
    <col min="2" max="16384" width="11.42578125" style="73"/>
  </cols>
  <sheetData>
    <row r="1" spans="1:1" ht="61.5" x14ac:dyDescent="0.2">
      <c r="A1" s="72" t="s">
        <v>129</v>
      </c>
    </row>
    <row r="2" spans="1:1" ht="61.5" x14ac:dyDescent="0.75">
      <c r="A2" s="74"/>
    </row>
    <row r="3" spans="1:1" ht="61.5" customHeight="1" x14ac:dyDescent="0.2">
      <c r="A3" s="82" t="s">
        <v>130</v>
      </c>
    </row>
    <row r="4" spans="1:1" s="75" customFormat="1" ht="36" customHeight="1" x14ac:dyDescent="0.25">
      <c r="A4" s="82"/>
    </row>
    <row r="5" spans="1:1" s="76" customFormat="1" ht="36" customHeight="1" x14ac:dyDescent="0.25">
      <c r="A5" s="82"/>
    </row>
    <row r="6" spans="1:1" s="75" customFormat="1" ht="18" x14ac:dyDescent="0.25">
      <c r="A6" s="77"/>
    </row>
    <row r="7" spans="1:1" s="75" customFormat="1" ht="18" x14ac:dyDescent="0.25">
      <c r="A7" s="77"/>
    </row>
    <row r="8" spans="1:1" ht="61.5" x14ac:dyDescent="0.75">
      <c r="A8" s="74"/>
    </row>
  </sheetData>
  <mergeCells count="1">
    <mergeCell ref="A3:A5"/>
  </mergeCells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2"/>
  <sheetViews>
    <sheetView showGridLines="0" topLeftCell="A75" workbookViewId="0">
      <selection activeCell="B99" sqref="B99"/>
    </sheetView>
  </sheetViews>
  <sheetFormatPr baseColWidth="10" defaultColWidth="11.42578125" defaultRowHeight="12.75" x14ac:dyDescent="0.2"/>
  <cols>
    <col min="1" max="1" width="57.140625" customWidth="1"/>
    <col min="3" max="3" width="5.42578125" customWidth="1"/>
    <col min="4" max="4" width="32.42578125" customWidth="1"/>
  </cols>
  <sheetData>
    <row r="1" spans="1:13" ht="18" x14ac:dyDescent="0.25">
      <c r="A1" s="46" t="s">
        <v>131</v>
      </c>
      <c r="B1" s="47"/>
      <c r="C1" s="47"/>
      <c r="D1" s="47"/>
      <c r="E1" s="47"/>
      <c r="F1" s="47"/>
      <c r="G1" s="47"/>
      <c r="I1" s="46"/>
      <c r="J1" s="47"/>
      <c r="K1" s="47"/>
      <c r="L1" s="47"/>
      <c r="M1" s="47"/>
    </row>
    <row r="2" spans="1:13" ht="15.75" x14ac:dyDescent="0.25">
      <c r="A2" s="48" t="s">
        <v>64</v>
      </c>
      <c r="B2" s="47"/>
      <c r="C2" s="47"/>
      <c r="D2" s="47"/>
      <c r="E2" s="47"/>
      <c r="F2" s="47"/>
      <c r="G2" s="47"/>
      <c r="I2" s="48"/>
      <c r="J2" s="47"/>
      <c r="K2" s="47"/>
      <c r="L2" s="47"/>
      <c r="M2" s="47"/>
    </row>
    <row r="3" spans="1:13" ht="15.75" x14ac:dyDescent="0.25">
      <c r="A3" s="48" t="s">
        <v>63</v>
      </c>
      <c r="B3" s="47"/>
      <c r="C3" s="47"/>
      <c r="D3" s="47"/>
      <c r="E3" s="47"/>
      <c r="F3" s="47"/>
      <c r="G3" s="47"/>
      <c r="I3" s="48"/>
      <c r="J3" s="47"/>
      <c r="K3" s="47"/>
      <c r="L3" s="47"/>
      <c r="M3" s="47"/>
    </row>
    <row r="6" spans="1:13" x14ac:dyDescent="0.2">
      <c r="A6" s="1" t="s">
        <v>139</v>
      </c>
      <c r="B6" s="1"/>
      <c r="C6" s="1"/>
      <c r="D6" s="1" t="s">
        <v>140</v>
      </c>
    </row>
    <row r="8" spans="1:13" ht="13.5" thickBot="1" x14ac:dyDescent="0.25"/>
    <row r="9" spans="1:13" ht="13.5" thickBot="1" x14ac:dyDescent="0.25">
      <c r="A9" s="27" t="s">
        <v>0</v>
      </c>
      <c r="B9" s="25"/>
      <c r="D9" s="4"/>
      <c r="E9" s="13"/>
      <c r="F9" s="5"/>
    </row>
    <row r="10" spans="1:13" ht="13.5" thickBot="1" x14ac:dyDescent="0.25">
      <c r="A10" s="27" t="s">
        <v>1</v>
      </c>
      <c r="B10" s="25">
        <f>+E38</f>
        <v>135.38922222222203</v>
      </c>
      <c r="D10" s="9" t="s">
        <v>19</v>
      </c>
      <c r="E10" s="35">
        <v>4890</v>
      </c>
      <c r="F10" s="10"/>
    </row>
    <row r="11" spans="1:13" x14ac:dyDescent="0.2">
      <c r="A11" s="28" t="s">
        <v>2</v>
      </c>
      <c r="B11" s="17">
        <f>+E10/B49</f>
        <v>611.25</v>
      </c>
      <c r="D11" s="6" t="s">
        <v>20</v>
      </c>
      <c r="E11" s="17">
        <f>+E21</f>
        <v>3178.5</v>
      </c>
      <c r="F11" s="11"/>
    </row>
    <row r="12" spans="1:13" x14ac:dyDescent="0.2">
      <c r="A12" s="28" t="s">
        <v>3</v>
      </c>
      <c r="B12" s="17">
        <f>+E11/B46</f>
        <v>353.16666666666669</v>
      </c>
      <c r="D12" s="6" t="s">
        <v>21</v>
      </c>
      <c r="E12" s="17">
        <f>+E10-E11</f>
        <v>1711.5</v>
      </c>
      <c r="F12" s="7"/>
    </row>
    <row r="13" spans="1:13" x14ac:dyDescent="0.2">
      <c r="A13" s="29" t="s">
        <v>17</v>
      </c>
      <c r="B13" s="26">
        <f>+B12+B11+B10</f>
        <v>1099.8058888888888</v>
      </c>
      <c r="D13" s="6" t="s">
        <v>22</v>
      </c>
      <c r="E13" s="17">
        <f>+E10*F13</f>
        <v>537.9</v>
      </c>
      <c r="F13" s="12">
        <v>0.11</v>
      </c>
    </row>
    <row r="14" spans="1:13" x14ac:dyDescent="0.2">
      <c r="A14" s="28"/>
      <c r="B14" s="17"/>
      <c r="D14" s="6" t="s">
        <v>24</v>
      </c>
      <c r="E14" s="17">
        <f>+B15/10</f>
        <v>249</v>
      </c>
      <c r="F14" s="7"/>
    </row>
    <row r="15" spans="1:13" x14ac:dyDescent="0.2">
      <c r="A15" s="28" t="s">
        <v>4</v>
      </c>
      <c r="B15" s="33">
        <v>2490</v>
      </c>
      <c r="D15" s="6" t="s">
        <v>23</v>
      </c>
      <c r="E15" s="17">
        <f>+E12-E13-E14</f>
        <v>924.59999999999991</v>
      </c>
      <c r="F15" s="7"/>
    </row>
    <row r="16" spans="1:13" x14ac:dyDescent="0.2">
      <c r="A16" s="28" t="s">
        <v>5</v>
      </c>
      <c r="B16" s="17">
        <f>+B15/10*3</f>
        <v>747</v>
      </c>
      <c r="D16" s="6" t="s">
        <v>25</v>
      </c>
      <c r="E16" s="17">
        <f>+(B23*E42+E43*B26)*0.9</f>
        <v>192.42000000000002</v>
      </c>
      <c r="F16" s="7"/>
    </row>
    <row r="17" spans="1:7" x14ac:dyDescent="0.2">
      <c r="A17" s="29" t="s">
        <v>18</v>
      </c>
      <c r="B17" s="26">
        <f>+B15-B16</f>
        <v>1743</v>
      </c>
      <c r="D17" s="6" t="s">
        <v>26</v>
      </c>
      <c r="E17" s="17">
        <f>+E15-E16</f>
        <v>732.17999999999984</v>
      </c>
      <c r="F17" s="7"/>
    </row>
    <row r="18" spans="1:7" ht="13.5" thickBot="1" x14ac:dyDescent="0.25">
      <c r="A18" s="30"/>
      <c r="B18" s="18"/>
      <c r="D18" s="6" t="s">
        <v>27</v>
      </c>
      <c r="E18" s="17">
        <f>+F18*E17</f>
        <v>256.26299999999992</v>
      </c>
      <c r="F18" s="12">
        <v>0.35</v>
      </c>
      <c r="G18" t="s">
        <v>59</v>
      </c>
    </row>
    <row r="19" spans="1:7" ht="13.5" thickBot="1" x14ac:dyDescent="0.25">
      <c r="A19" s="31" t="s">
        <v>6</v>
      </c>
      <c r="B19" s="19">
        <f>+B17+B13</f>
        <v>2842.8058888888891</v>
      </c>
      <c r="D19" s="20" t="s">
        <v>28</v>
      </c>
      <c r="E19" s="21">
        <f>+E17-E18</f>
        <v>475.91699999999992</v>
      </c>
      <c r="F19" s="22"/>
    </row>
    <row r="20" spans="1:7" ht="13.5" thickBot="1" x14ac:dyDescent="0.25">
      <c r="A20" s="28"/>
      <c r="B20" s="17"/>
    </row>
    <row r="21" spans="1:7" ht="13.5" thickBot="1" x14ac:dyDescent="0.25">
      <c r="A21" s="31" t="s">
        <v>10</v>
      </c>
      <c r="B21" s="19"/>
      <c r="D21" s="20" t="s">
        <v>29</v>
      </c>
      <c r="E21" s="21">
        <f>+E10*F21</f>
        <v>3178.5</v>
      </c>
      <c r="F21" s="32">
        <v>0.65</v>
      </c>
    </row>
    <row r="22" spans="1:7" x14ac:dyDescent="0.2">
      <c r="A22" s="27" t="s">
        <v>7</v>
      </c>
      <c r="B22" s="25">
        <f>+E23/B52</f>
        <v>231.88888888888889</v>
      </c>
      <c r="D22" s="6" t="s">
        <v>30</v>
      </c>
      <c r="E22" s="33">
        <v>749</v>
      </c>
      <c r="F22" s="2"/>
      <c r="G22" s="2"/>
    </row>
    <row r="23" spans="1:7" x14ac:dyDescent="0.2">
      <c r="A23" s="28" t="s">
        <v>9</v>
      </c>
      <c r="B23" s="33">
        <v>294</v>
      </c>
      <c r="D23" s="6" t="s">
        <v>31</v>
      </c>
      <c r="E23" s="34">
        <f>+E21+E24-E22</f>
        <v>2782.6666666666665</v>
      </c>
      <c r="F23" s="3"/>
      <c r="G23" s="2"/>
    </row>
    <row r="24" spans="1:7" ht="13.5" thickBot="1" x14ac:dyDescent="0.25">
      <c r="A24" s="29" t="s">
        <v>11</v>
      </c>
      <c r="B24" s="26">
        <f>+B23+B22</f>
        <v>525.88888888888891</v>
      </c>
      <c r="D24" s="8" t="s">
        <v>32</v>
      </c>
      <c r="E24" s="18">
        <f>+B12</f>
        <v>353.16666666666669</v>
      </c>
      <c r="F24" s="2"/>
    </row>
    <row r="25" spans="1:7" ht="13.5" thickBot="1" x14ac:dyDescent="0.25">
      <c r="A25" s="28"/>
      <c r="B25" s="17"/>
    </row>
    <row r="26" spans="1:7" ht="13.5" thickBot="1" x14ac:dyDescent="0.25">
      <c r="A26" s="28" t="s">
        <v>8</v>
      </c>
      <c r="B26" s="33">
        <v>620</v>
      </c>
      <c r="D26" s="23" t="s">
        <v>40</v>
      </c>
      <c r="E26" s="21"/>
    </row>
    <row r="27" spans="1:7" x14ac:dyDescent="0.2">
      <c r="A27" s="29" t="s">
        <v>12</v>
      </c>
      <c r="B27" s="26">
        <f>+B26</f>
        <v>620</v>
      </c>
      <c r="D27" s="14" t="s">
        <v>28</v>
      </c>
      <c r="E27" s="17">
        <f>+E19</f>
        <v>475.91699999999992</v>
      </c>
    </row>
    <row r="28" spans="1:7" x14ac:dyDescent="0.2">
      <c r="A28" s="28"/>
      <c r="B28" s="17"/>
      <c r="D28" s="14" t="s">
        <v>45</v>
      </c>
      <c r="E28" s="17">
        <f>+E14</f>
        <v>249</v>
      </c>
    </row>
    <row r="29" spans="1:7" ht="13.5" thickBot="1" x14ac:dyDescent="0.25">
      <c r="A29" s="28" t="s">
        <v>13</v>
      </c>
      <c r="B29" s="33">
        <v>960</v>
      </c>
      <c r="D29" s="14" t="s">
        <v>46</v>
      </c>
      <c r="E29" s="17">
        <f>+E16*(1-F18)</f>
        <v>125.07300000000002</v>
      </c>
    </row>
    <row r="30" spans="1:7" ht="13.5" thickBot="1" x14ac:dyDescent="0.25">
      <c r="A30" s="28" t="s">
        <v>14</v>
      </c>
      <c r="B30" s="17">
        <f>261+E19</f>
        <v>736.91699999999992</v>
      </c>
      <c r="D30" s="16" t="s">
        <v>47</v>
      </c>
      <c r="E30" s="19">
        <f>+E27+E28+E29</f>
        <v>849.9899999999999</v>
      </c>
      <c r="F30" s="2">
        <f>+E15*(1-F18)+E28</f>
        <v>849.99</v>
      </c>
    </row>
    <row r="31" spans="1:7" x14ac:dyDescent="0.2">
      <c r="A31" s="29" t="s">
        <v>16</v>
      </c>
      <c r="B31" s="26">
        <f>+B29+B30</f>
        <v>1696.9169999999999</v>
      </c>
      <c r="D31" s="14" t="s">
        <v>50</v>
      </c>
      <c r="E31" s="17">
        <f>+B35-B44</f>
        <v>-517.52777777777783</v>
      </c>
    </row>
    <row r="32" spans="1:7" ht="13.5" thickBot="1" x14ac:dyDescent="0.25">
      <c r="A32" s="28"/>
      <c r="B32" s="17"/>
      <c r="D32" s="14" t="s">
        <v>48</v>
      </c>
      <c r="E32" s="17">
        <v>0</v>
      </c>
    </row>
    <row r="33" spans="1:5" ht="13.5" thickBot="1" x14ac:dyDescent="0.25">
      <c r="A33" s="31" t="s">
        <v>15</v>
      </c>
      <c r="B33" s="19">
        <f>+B24+B27+B31</f>
        <v>2842.8058888888891</v>
      </c>
      <c r="D33" s="16" t="s">
        <v>49</v>
      </c>
      <c r="E33" s="19">
        <f>+E30+E31</f>
        <v>332.46222222222207</v>
      </c>
    </row>
    <row r="34" spans="1:5" ht="13.5" thickBot="1" x14ac:dyDescent="0.25">
      <c r="D34" s="14" t="s">
        <v>53</v>
      </c>
      <c r="E34" s="17">
        <f>+E29</f>
        <v>125.07300000000002</v>
      </c>
    </row>
    <row r="35" spans="1:5" ht="13.5" thickBot="1" x14ac:dyDescent="0.25">
      <c r="A35" s="81" t="s">
        <v>141</v>
      </c>
      <c r="B35" s="35">
        <v>215</v>
      </c>
      <c r="D35" s="14" t="s">
        <v>54</v>
      </c>
      <c r="E35" s="17">
        <f>+B29/5</f>
        <v>192</v>
      </c>
    </row>
    <row r="36" spans="1:5" ht="13.5" thickBot="1" x14ac:dyDescent="0.25">
      <c r="A36" s="54" t="s">
        <v>142</v>
      </c>
      <c r="B36" s="36">
        <v>120</v>
      </c>
      <c r="D36" s="16" t="s">
        <v>58</v>
      </c>
      <c r="E36" s="19">
        <f>+E33-E34-E35</f>
        <v>15.389222222222031</v>
      </c>
    </row>
    <row r="37" spans="1:5" x14ac:dyDescent="0.2">
      <c r="D37" s="14" t="s">
        <v>55</v>
      </c>
      <c r="E37" s="34">
        <f>+B36</f>
        <v>120</v>
      </c>
    </row>
    <row r="38" spans="1:5" ht="13.5" thickBot="1" x14ac:dyDescent="0.25">
      <c r="D38" s="15" t="s">
        <v>56</v>
      </c>
      <c r="E38" s="18">
        <f>+E36+E37</f>
        <v>135.38922222222203</v>
      </c>
    </row>
    <row r="40" spans="1:5" ht="13.5" thickBot="1" x14ac:dyDescent="0.25">
      <c r="A40" s="63" t="s">
        <v>143</v>
      </c>
    </row>
    <row r="41" spans="1:5" ht="13.5" thickBot="1" x14ac:dyDescent="0.25">
      <c r="A41" s="13" t="s">
        <v>42</v>
      </c>
      <c r="B41" s="25">
        <f>+B11</f>
        <v>611.25</v>
      </c>
      <c r="D41" s="1" t="s">
        <v>61</v>
      </c>
    </row>
    <row r="42" spans="1:5" x14ac:dyDescent="0.2">
      <c r="A42" s="14" t="s">
        <v>43</v>
      </c>
      <c r="B42" s="17">
        <f>+E24</f>
        <v>353.16666666666669</v>
      </c>
      <c r="D42" s="13" t="s">
        <v>62</v>
      </c>
      <c r="E42" s="38">
        <v>0.2</v>
      </c>
    </row>
    <row r="43" spans="1:5" ht="13.5" thickBot="1" x14ac:dyDescent="0.25">
      <c r="A43" s="14" t="s">
        <v>41</v>
      </c>
      <c r="B43" s="17">
        <f>+B22</f>
        <v>231.88888888888889</v>
      </c>
      <c r="D43" s="15" t="s">
        <v>65</v>
      </c>
      <c r="E43" s="40">
        <v>0.25</v>
      </c>
    </row>
    <row r="44" spans="1:5" ht="13.5" thickBot="1" x14ac:dyDescent="0.25">
      <c r="A44" s="16" t="s">
        <v>44</v>
      </c>
      <c r="B44" s="19">
        <f>+B41+B42-B43</f>
        <v>732.52777777777783</v>
      </c>
    </row>
    <row r="45" spans="1:5" ht="13.5" thickBot="1" x14ac:dyDescent="0.25"/>
    <row r="46" spans="1:5" x14ac:dyDescent="0.2">
      <c r="A46" s="4" t="s">
        <v>36</v>
      </c>
      <c r="B46" s="25">
        <f>360/B47</f>
        <v>9</v>
      </c>
      <c r="C46" t="s">
        <v>35</v>
      </c>
      <c r="E46" s="2"/>
    </row>
    <row r="47" spans="1:5" x14ac:dyDescent="0.2">
      <c r="A47" s="6" t="s">
        <v>36</v>
      </c>
      <c r="B47" s="33">
        <v>40</v>
      </c>
      <c r="C47" t="s">
        <v>37</v>
      </c>
    </row>
    <row r="48" spans="1:5" x14ac:dyDescent="0.2">
      <c r="A48" s="6"/>
      <c r="B48" s="17"/>
    </row>
    <row r="49" spans="1:5" x14ac:dyDescent="0.2">
      <c r="A49" s="6" t="s">
        <v>38</v>
      </c>
      <c r="B49" s="17">
        <f>360/B50</f>
        <v>8</v>
      </c>
      <c r="C49" t="s">
        <v>35</v>
      </c>
      <c r="E49" s="2"/>
    </row>
    <row r="50" spans="1:5" x14ac:dyDescent="0.2">
      <c r="A50" s="6" t="s">
        <v>38</v>
      </c>
      <c r="B50" s="33">
        <v>45</v>
      </c>
      <c r="C50" t="s">
        <v>37</v>
      </c>
    </row>
    <row r="51" spans="1:5" x14ac:dyDescent="0.2">
      <c r="A51" s="6"/>
      <c r="B51" s="24"/>
    </row>
    <row r="52" spans="1:5" x14ac:dyDescent="0.2">
      <c r="A52" s="6" t="s">
        <v>39</v>
      </c>
      <c r="B52" s="17">
        <f>360/B53</f>
        <v>12</v>
      </c>
      <c r="C52" t="s">
        <v>35</v>
      </c>
      <c r="E52" s="2"/>
    </row>
    <row r="53" spans="1:5" ht="13.5" thickBot="1" x14ac:dyDescent="0.25">
      <c r="A53" s="8" t="s">
        <v>39</v>
      </c>
      <c r="B53" s="37">
        <v>30</v>
      </c>
      <c r="C53" t="s">
        <v>37</v>
      </c>
    </row>
    <row r="57" spans="1:5" ht="13.5" thickBot="1" x14ac:dyDescent="0.25">
      <c r="A57" s="1" t="s">
        <v>145</v>
      </c>
    </row>
    <row r="58" spans="1:5" x14ac:dyDescent="0.2">
      <c r="A58" s="13" t="s">
        <v>33</v>
      </c>
      <c r="B58" s="41">
        <v>0.04</v>
      </c>
    </row>
    <row r="59" spans="1:5" x14ac:dyDescent="0.2">
      <c r="A59" s="14" t="s">
        <v>34</v>
      </c>
      <c r="B59" s="42">
        <v>0.16</v>
      </c>
    </row>
    <row r="60" spans="1:5" x14ac:dyDescent="0.2">
      <c r="A60" s="44" t="s">
        <v>136</v>
      </c>
      <c r="B60" s="42"/>
    </row>
    <row r="61" spans="1:5" x14ac:dyDescent="0.2">
      <c r="A61" s="14" t="s">
        <v>51</v>
      </c>
      <c r="B61" s="43">
        <v>249</v>
      </c>
    </row>
    <row r="62" spans="1:5" x14ac:dyDescent="0.2">
      <c r="A62" s="14" t="s">
        <v>52</v>
      </c>
      <c r="B62" s="43">
        <v>294</v>
      </c>
    </row>
    <row r="63" spans="1:5" x14ac:dyDescent="0.2">
      <c r="A63" s="14" t="s">
        <v>57</v>
      </c>
      <c r="B63" s="34">
        <v>192</v>
      </c>
    </row>
    <row r="64" spans="1:5" x14ac:dyDescent="0.2">
      <c r="A64" s="14"/>
      <c r="B64" s="39"/>
    </row>
    <row r="65" spans="1:3" x14ac:dyDescent="0.2">
      <c r="A65" s="14" t="s">
        <v>36</v>
      </c>
      <c r="B65" s="44">
        <v>35</v>
      </c>
    </row>
    <row r="66" spans="1:3" x14ac:dyDescent="0.2">
      <c r="A66" s="14" t="s">
        <v>38</v>
      </c>
      <c r="B66" s="44">
        <v>75</v>
      </c>
    </row>
    <row r="67" spans="1:3" x14ac:dyDescent="0.2">
      <c r="A67" s="14" t="s">
        <v>39</v>
      </c>
      <c r="B67" s="44">
        <v>35</v>
      </c>
    </row>
    <row r="68" spans="1:3" x14ac:dyDescent="0.2">
      <c r="A68" s="14"/>
      <c r="B68" s="44"/>
    </row>
    <row r="69" spans="1:3" x14ac:dyDescent="0.2">
      <c r="A69" s="14" t="s">
        <v>67</v>
      </c>
      <c r="B69" s="45">
        <v>0.04</v>
      </c>
      <c r="C69" s="63" t="s">
        <v>144</v>
      </c>
    </row>
    <row r="70" spans="1:3" x14ac:dyDescent="0.2">
      <c r="A70" s="14"/>
      <c r="B70" s="39"/>
    </row>
    <row r="71" spans="1:3" ht="13.5" thickBot="1" x14ac:dyDescent="0.25">
      <c r="A71" s="15" t="s">
        <v>68</v>
      </c>
      <c r="B71" s="40">
        <v>0.15</v>
      </c>
      <c r="C71" t="s">
        <v>66</v>
      </c>
    </row>
    <row r="74" spans="1:3" ht="13.5" thickBot="1" x14ac:dyDescent="0.25">
      <c r="A74" s="1" t="s">
        <v>146</v>
      </c>
    </row>
    <row r="75" spans="1:3" x14ac:dyDescent="0.2">
      <c r="A75" s="13" t="s">
        <v>33</v>
      </c>
      <c r="B75" s="41">
        <v>0.04</v>
      </c>
    </row>
    <row r="76" spans="1:3" x14ac:dyDescent="0.2">
      <c r="A76" s="14" t="s">
        <v>34</v>
      </c>
      <c r="B76" s="42">
        <v>0.09</v>
      </c>
    </row>
    <row r="77" spans="1:3" x14ac:dyDescent="0.2">
      <c r="A77" s="44" t="s">
        <v>137</v>
      </c>
      <c r="B77" s="42"/>
    </row>
    <row r="78" spans="1:3" x14ac:dyDescent="0.2">
      <c r="A78" s="14" t="s">
        <v>51</v>
      </c>
      <c r="B78" s="43">
        <v>249</v>
      </c>
    </row>
    <row r="79" spans="1:3" x14ac:dyDescent="0.2">
      <c r="A79" s="14" t="s">
        <v>52</v>
      </c>
      <c r="B79" s="43">
        <v>294</v>
      </c>
    </row>
    <row r="80" spans="1:3" x14ac:dyDescent="0.2">
      <c r="A80" s="14" t="s">
        <v>57</v>
      </c>
      <c r="B80" s="34">
        <v>192</v>
      </c>
    </row>
    <row r="81" spans="1:3" x14ac:dyDescent="0.2">
      <c r="A81" s="14"/>
      <c r="B81" s="39"/>
    </row>
    <row r="82" spans="1:3" x14ac:dyDescent="0.2">
      <c r="A82" s="14" t="s">
        <v>36</v>
      </c>
      <c r="B82" s="44">
        <v>40</v>
      </c>
    </row>
    <row r="83" spans="1:3" x14ac:dyDescent="0.2">
      <c r="A83" s="14" t="s">
        <v>38</v>
      </c>
      <c r="B83" s="44">
        <v>75</v>
      </c>
    </row>
    <row r="84" spans="1:3" x14ac:dyDescent="0.2">
      <c r="A84" s="14" t="s">
        <v>39</v>
      </c>
      <c r="B84" s="44">
        <v>0</v>
      </c>
    </row>
    <row r="85" spans="1:3" x14ac:dyDescent="0.2">
      <c r="A85" s="14"/>
      <c r="B85" s="44"/>
    </row>
    <row r="86" spans="1:3" x14ac:dyDescent="0.2">
      <c r="A86" s="14" t="s">
        <v>60</v>
      </c>
      <c r="B86" s="45">
        <v>0.1</v>
      </c>
      <c r="C86" s="63" t="s">
        <v>144</v>
      </c>
    </row>
    <row r="87" spans="1:3" x14ac:dyDescent="0.2">
      <c r="A87" s="14"/>
      <c r="B87" s="39"/>
    </row>
    <row r="88" spans="1:3" ht="13.5" thickBot="1" x14ac:dyDescent="0.25">
      <c r="A88" s="15" t="s">
        <v>68</v>
      </c>
      <c r="B88" s="40">
        <v>0.15</v>
      </c>
      <c r="C88" t="s">
        <v>66</v>
      </c>
    </row>
    <row r="91" spans="1:3" x14ac:dyDescent="0.2">
      <c r="A91" s="63" t="s">
        <v>134</v>
      </c>
    </row>
    <row r="92" spans="1:3" x14ac:dyDescent="0.2">
      <c r="A92" s="63" t="s">
        <v>133</v>
      </c>
    </row>
  </sheetData>
  <phoneticPr fontId="0" type="noConversion"/>
  <printOptions horizontalCentered="1"/>
  <pageMargins left="0.51181102362204722" right="0.78740157480314965" top="0.51181102362204722" bottom="0.98425196850393704" header="0" footer="0"/>
  <pageSetup scale="6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9"/>
  <sheetViews>
    <sheetView showGridLines="0" workbookViewId="0">
      <selection activeCell="C13" sqref="C13"/>
    </sheetView>
  </sheetViews>
  <sheetFormatPr baseColWidth="10" defaultColWidth="9.140625" defaultRowHeight="12.75" x14ac:dyDescent="0.2"/>
  <cols>
    <col min="1" max="1" width="32.85546875" bestFit="1" customWidth="1"/>
    <col min="5" max="5" width="61.28515625" bestFit="1" customWidth="1"/>
  </cols>
  <sheetData>
    <row r="1" spans="1:5" ht="33.75" x14ac:dyDescent="0.6">
      <c r="A1" s="83" t="s">
        <v>69</v>
      </c>
      <c r="B1" s="83"/>
      <c r="C1" s="83"/>
    </row>
    <row r="2" spans="1:5" ht="13.5" thickBot="1" x14ac:dyDescent="0.25"/>
    <row r="3" spans="1:5" ht="13.5" thickBot="1" x14ac:dyDescent="0.25">
      <c r="A3" s="4"/>
      <c r="B3" s="53" t="s">
        <v>73</v>
      </c>
      <c r="C3" s="53" t="s">
        <v>101</v>
      </c>
      <c r="E3" s="53" t="s">
        <v>109</v>
      </c>
    </row>
    <row r="4" spans="1:5" ht="13.5" thickBot="1" x14ac:dyDescent="0.25">
      <c r="A4" s="9" t="s">
        <v>19</v>
      </c>
      <c r="B4" s="35">
        <f>+Enunciado!E10*(1+Enunciado!B58)</f>
        <v>5085.6000000000004</v>
      </c>
      <c r="C4" s="35">
        <f>+B4</f>
        <v>5085.6000000000004</v>
      </c>
      <c r="E4" s="35" t="s">
        <v>110</v>
      </c>
    </row>
    <row r="5" spans="1:5" x14ac:dyDescent="0.2">
      <c r="A5" s="6" t="s">
        <v>20</v>
      </c>
      <c r="B5" s="17">
        <f>+Enunciado!E11*(1+Enunciado!B69)</f>
        <v>3305.6400000000003</v>
      </c>
      <c r="C5" s="17">
        <f>+Enunciado!E11*(1-Enunciado!B86)</f>
        <v>2860.65</v>
      </c>
      <c r="E5" s="34" t="s">
        <v>128</v>
      </c>
    </row>
    <row r="6" spans="1:5" x14ac:dyDescent="0.2">
      <c r="A6" s="49" t="s">
        <v>21</v>
      </c>
      <c r="B6" s="26">
        <f>+B4-B5</f>
        <v>1779.96</v>
      </c>
      <c r="C6" s="26">
        <f>+C4-C5</f>
        <v>2224.9500000000003</v>
      </c>
      <c r="E6" s="26"/>
    </row>
    <row r="7" spans="1:5" x14ac:dyDescent="0.2">
      <c r="A7" s="6" t="s">
        <v>22</v>
      </c>
      <c r="B7" s="17">
        <f>+B4*Enunciado!B59</f>
        <v>813.69600000000003</v>
      </c>
      <c r="C7" s="17">
        <f>+C4*Enunciado!B76</f>
        <v>457.70400000000001</v>
      </c>
      <c r="E7" s="34" t="s">
        <v>126</v>
      </c>
    </row>
    <row r="8" spans="1:5" x14ac:dyDescent="0.2">
      <c r="A8" s="6" t="s">
        <v>24</v>
      </c>
      <c r="B8" s="17">
        <f>+Enunciado!B61</f>
        <v>249</v>
      </c>
      <c r="C8" s="17">
        <f>+B8</f>
        <v>249</v>
      </c>
      <c r="E8" s="17" t="s">
        <v>111</v>
      </c>
    </row>
    <row r="9" spans="1:5" x14ac:dyDescent="0.2">
      <c r="A9" s="49" t="s">
        <v>23</v>
      </c>
      <c r="B9" s="26">
        <f>+B6-B7-B8</f>
        <v>717.26400000000001</v>
      </c>
      <c r="C9" s="26">
        <f>+C6-C7-C8</f>
        <v>1518.2460000000003</v>
      </c>
      <c r="E9" s="26"/>
    </row>
    <row r="10" spans="1:5" x14ac:dyDescent="0.2">
      <c r="A10" s="50" t="s">
        <v>71</v>
      </c>
      <c r="B10" s="17">
        <f>+B21</f>
        <v>107</v>
      </c>
      <c r="C10" s="17">
        <f>+C21</f>
        <v>107</v>
      </c>
      <c r="E10" s="34" t="s">
        <v>127</v>
      </c>
    </row>
    <row r="11" spans="1:5" x14ac:dyDescent="0.2">
      <c r="A11" s="49" t="s">
        <v>26</v>
      </c>
      <c r="B11" s="26">
        <f>+B9-B10</f>
        <v>610.26400000000001</v>
      </c>
      <c r="C11" s="26">
        <f>+C9-C10</f>
        <v>1411.2460000000003</v>
      </c>
      <c r="E11" s="26"/>
    </row>
    <row r="12" spans="1:5" ht="13.5" thickBot="1" x14ac:dyDescent="0.25">
      <c r="A12" s="6" t="s">
        <v>27</v>
      </c>
      <c r="B12" s="17">
        <f>+$D$12*B11</f>
        <v>213.5924</v>
      </c>
      <c r="C12" s="17">
        <f>+$D$12*C11</f>
        <v>493.93610000000007</v>
      </c>
      <c r="D12" s="51">
        <f>+Enunciado!F18</f>
        <v>0.35</v>
      </c>
      <c r="E12" s="17" t="s">
        <v>112</v>
      </c>
    </row>
    <row r="13" spans="1:5" ht="13.5" thickBot="1" x14ac:dyDescent="0.25">
      <c r="A13" s="20" t="s">
        <v>28</v>
      </c>
      <c r="B13" s="21">
        <f>+B11-B12</f>
        <v>396.67160000000001</v>
      </c>
      <c r="C13" s="21">
        <f>+C11-C12</f>
        <v>917.3099000000002</v>
      </c>
      <c r="E13" s="21"/>
    </row>
    <row r="15" spans="1:5" ht="13.5" thickBot="1" x14ac:dyDescent="0.25"/>
    <row r="16" spans="1:5" ht="13.5" thickBot="1" x14ac:dyDescent="0.25">
      <c r="A16" s="20" t="s">
        <v>29</v>
      </c>
      <c r="B16" s="21">
        <f>+B5</f>
        <v>3305.6400000000003</v>
      </c>
      <c r="C16" s="21">
        <f>+C5</f>
        <v>2860.65</v>
      </c>
      <c r="E16" s="21" t="s">
        <v>113</v>
      </c>
    </row>
    <row r="17" spans="1:5" x14ac:dyDescent="0.2">
      <c r="A17" s="6" t="s">
        <v>30</v>
      </c>
      <c r="B17" s="34">
        <f>+Enunciado!B12</f>
        <v>353.16666666666669</v>
      </c>
      <c r="C17" s="34">
        <f>+B17</f>
        <v>353.16666666666669</v>
      </c>
      <c r="E17" s="34" t="s">
        <v>124</v>
      </c>
    </row>
    <row r="18" spans="1:5" x14ac:dyDescent="0.2">
      <c r="A18" s="50" t="s">
        <v>74</v>
      </c>
      <c r="B18" s="34">
        <f>+B16+B19-B17</f>
        <v>3273.8550000000005</v>
      </c>
      <c r="C18" s="34">
        <f>+C16+C19-C17</f>
        <v>2825.3333333333335</v>
      </c>
      <c r="E18" s="34" t="s">
        <v>114</v>
      </c>
    </row>
    <row r="19" spans="1:5" ht="13.5" thickBot="1" x14ac:dyDescent="0.25">
      <c r="A19" s="8" t="s">
        <v>32</v>
      </c>
      <c r="B19" s="18">
        <f>+B30</f>
        <v>321.38166666666672</v>
      </c>
      <c r="C19" s="18">
        <f>+C30</f>
        <v>317.85000000000002</v>
      </c>
      <c r="E19" s="18" t="s">
        <v>115</v>
      </c>
    </row>
    <row r="20" spans="1:5" ht="13.5" thickBot="1" x14ac:dyDescent="0.25"/>
    <row r="21" spans="1:5" ht="13.5" thickBot="1" x14ac:dyDescent="0.25">
      <c r="A21" s="20" t="s">
        <v>70</v>
      </c>
      <c r="B21" s="21">
        <f>+B22+B23</f>
        <v>107</v>
      </c>
      <c r="C21" s="21">
        <f>+C22+C23</f>
        <v>107</v>
      </c>
      <c r="E21" s="21"/>
    </row>
    <row r="22" spans="1:5" x14ac:dyDescent="0.2">
      <c r="A22" s="50" t="s">
        <v>75</v>
      </c>
      <c r="B22" s="34">
        <f>+B41*Enunciado!E42</f>
        <v>0</v>
      </c>
      <c r="C22" s="34">
        <f>+B22</f>
        <v>0</v>
      </c>
      <c r="E22" s="34" t="s">
        <v>125</v>
      </c>
    </row>
    <row r="23" spans="1:5" ht="13.5" thickBot="1" x14ac:dyDescent="0.25">
      <c r="A23" s="54" t="s">
        <v>76</v>
      </c>
      <c r="B23" s="18">
        <f>+B44*Enunciado!E43</f>
        <v>107</v>
      </c>
      <c r="C23" s="18">
        <f>+B23</f>
        <v>107</v>
      </c>
      <c r="E23" s="18"/>
    </row>
    <row r="26" spans="1:5" ht="13.5" thickBot="1" x14ac:dyDescent="0.25">
      <c r="A26" s="1" t="s">
        <v>72</v>
      </c>
    </row>
    <row r="27" spans="1:5" ht="13.5" thickBot="1" x14ac:dyDescent="0.25">
      <c r="A27" s="27" t="s">
        <v>0</v>
      </c>
      <c r="B27" s="25"/>
      <c r="C27" s="25"/>
      <c r="E27" s="25"/>
    </row>
    <row r="28" spans="1:5" x14ac:dyDescent="0.2">
      <c r="A28" s="27" t="s">
        <v>1</v>
      </c>
      <c r="B28" s="71">
        <f>+Caja!B55</f>
        <v>122.0544</v>
      </c>
      <c r="C28" s="71">
        <f>+Caja!C26</f>
        <v>68.655599999999993</v>
      </c>
      <c r="E28" s="70" t="s">
        <v>116</v>
      </c>
    </row>
    <row r="29" spans="1:5" x14ac:dyDescent="0.2">
      <c r="A29" s="28" t="s">
        <v>2</v>
      </c>
      <c r="B29" s="17">
        <f>+B4/360*Enunciado!B66</f>
        <v>1059.5</v>
      </c>
      <c r="C29" s="17">
        <f>+C4/360*Enunciado!B83</f>
        <v>1059.5</v>
      </c>
      <c r="E29" s="17" t="s">
        <v>117</v>
      </c>
    </row>
    <row r="30" spans="1:5" x14ac:dyDescent="0.2">
      <c r="A30" s="28" t="s">
        <v>3</v>
      </c>
      <c r="B30" s="17">
        <f>+B5/360*Enunciado!B65</f>
        <v>321.38166666666672</v>
      </c>
      <c r="C30" s="17">
        <f>+C5/360*Enunciado!B82</f>
        <v>317.85000000000002</v>
      </c>
      <c r="E30" s="17" t="s">
        <v>118</v>
      </c>
    </row>
    <row r="31" spans="1:5" x14ac:dyDescent="0.2">
      <c r="A31" s="29" t="s">
        <v>17</v>
      </c>
      <c r="B31" s="26">
        <f>+B30+B29+B28</f>
        <v>1502.9360666666666</v>
      </c>
      <c r="C31" s="26">
        <f>+C30+C29+C28</f>
        <v>1446.0056</v>
      </c>
      <c r="E31" s="26"/>
    </row>
    <row r="32" spans="1:5" x14ac:dyDescent="0.2">
      <c r="A32" s="61" t="s">
        <v>99</v>
      </c>
      <c r="B32" s="62">
        <f>+Caja!B57</f>
        <v>0</v>
      </c>
      <c r="C32" s="62">
        <f>+Caja!C28</f>
        <v>102.22130000000016</v>
      </c>
      <c r="E32" s="62" t="s">
        <v>116</v>
      </c>
    </row>
    <row r="33" spans="1:5" x14ac:dyDescent="0.2">
      <c r="A33" s="28" t="s">
        <v>4</v>
      </c>
      <c r="B33" s="34">
        <f>+Enunciado!B15</f>
        <v>2490</v>
      </c>
      <c r="C33" s="34">
        <f>+B33</f>
        <v>2490</v>
      </c>
      <c r="E33" s="34" t="s">
        <v>119</v>
      </c>
    </row>
    <row r="34" spans="1:5" x14ac:dyDescent="0.2">
      <c r="A34" s="28" t="s">
        <v>5</v>
      </c>
      <c r="B34" s="17">
        <f>+Enunciado!B16+Utilidad!B8</f>
        <v>996</v>
      </c>
      <c r="C34" s="17">
        <f>+B34</f>
        <v>996</v>
      </c>
      <c r="E34" s="17" t="s">
        <v>120</v>
      </c>
    </row>
    <row r="35" spans="1:5" x14ac:dyDescent="0.2">
      <c r="A35" s="29" t="s">
        <v>18</v>
      </c>
      <c r="B35" s="26">
        <f>+B33-B34</f>
        <v>1494</v>
      </c>
      <c r="C35" s="26">
        <f>+C33-C34</f>
        <v>1494</v>
      </c>
      <c r="E35" s="26"/>
    </row>
    <row r="36" spans="1:5" ht="13.5" thickBot="1" x14ac:dyDescent="0.25">
      <c r="A36" s="30"/>
      <c r="B36" s="18"/>
      <c r="C36" s="18"/>
      <c r="E36" s="18"/>
    </row>
    <row r="37" spans="1:5" ht="13.5" thickBot="1" x14ac:dyDescent="0.25">
      <c r="A37" s="31" t="s">
        <v>6</v>
      </c>
      <c r="B37" s="19">
        <f>+B35+B31+B32</f>
        <v>2996.9360666666666</v>
      </c>
      <c r="C37" s="19">
        <f>+C35+C31+C32</f>
        <v>3042.2269000000001</v>
      </c>
      <c r="E37" s="19"/>
    </row>
    <row r="38" spans="1:5" ht="13.5" thickBot="1" x14ac:dyDescent="0.25">
      <c r="A38" s="28"/>
      <c r="B38" s="17"/>
      <c r="C38" s="17"/>
      <c r="E38" s="17"/>
    </row>
    <row r="39" spans="1:5" ht="13.5" thickBot="1" x14ac:dyDescent="0.25">
      <c r="A39" s="31" t="s">
        <v>10</v>
      </c>
      <c r="B39" s="19"/>
      <c r="C39" s="19"/>
      <c r="E39" s="19"/>
    </row>
    <row r="40" spans="1:5" x14ac:dyDescent="0.2">
      <c r="A40" s="27" t="s">
        <v>7</v>
      </c>
      <c r="B40" s="25">
        <f>+B18/360*Enunciado!B67</f>
        <v>318.29145833333337</v>
      </c>
      <c r="C40" s="25">
        <f>+C18/360*Enunciado!B84</f>
        <v>0</v>
      </c>
      <c r="E40" s="25" t="s">
        <v>121</v>
      </c>
    </row>
    <row r="41" spans="1:5" x14ac:dyDescent="0.2">
      <c r="A41" s="28" t="s">
        <v>9</v>
      </c>
      <c r="B41" s="33">
        <f>+Enunciado!B23-Enunciado!B62</f>
        <v>0</v>
      </c>
      <c r="C41" s="33">
        <f>+B41</f>
        <v>0</v>
      </c>
      <c r="E41" s="34" t="s">
        <v>122</v>
      </c>
    </row>
    <row r="42" spans="1:5" x14ac:dyDescent="0.2">
      <c r="A42" s="29" t="s">
        <v>11</v>
      </c>
      <c r="B42" s="26">
        <f>+B41+B40</f>
        <v>318.29145833333337</v>
      </c>
      <c r="C42" s="26">
        <f>+C41+C40</f>
        <v>0</v>
      </c>
      <c r="E42" s="26"/>
    </row>
    <row r="43" spans="1:5" x14ac:dyDescent="0.2">
      <c r="A43" s="61" t="s">
        <v>98</v>
      </c>
      <c r="B43" s="62">
        <f>+Caja!B56</f>
        <v>157.05600833333335</v>
      </c>
      <c r="C43" s="62">
        <f>+Caja!C27</f>
        <v>0</v>
      </c>
      <c r="E43" s="62" t="s">
        <v>116</v>
      </c>
    </row>
    <row r="44" spans="1:5" x14ac:dyDescent="0.2">
      <c r="A44" s="28" t="s">
        <v>8</v>
      </c>
      <c r="B44" s="34">
        <f>+Enunciado!B26-Enunciado!B63</f>
        <v>428</v>
      </c>
      <c r="C44" s="34">
        <f>+B44</f>
        <v>428</v>
      </c>
      <c r="E44" s="34" t="s">
        <v>122</v>
      </c>
    </row>
    <row r="45" spans="1:5" x14ac:dyDescent="0.2">
      <c r="A45" s="29" t="s">
        <v>12</v>
      </c>
      <c r="B45" s="26">
        <f>+B44</f>
        <v>428</v>
      </c>
      <c r="C45" s="26">
        <f>+C44</f>
        <v>428</v>
      </c>
      <c r="E45" s="26"/>
    </row>
    <row r="46" spans="1:5" x14ac:dyDescent="0.2">
      <c r="A46" s="28"/>
      <c r="B46" s="17"/>
      <c r="C46" s="17"/>
      <c r="E46" s="17"/>
    </row>
    <row r="47" spans="1:5" x14ac:dyDescent="0.2">
      <c r="A47" s="28" t="s">
        <v>13</v>
      </c>
      <c r="B47" s="33">
        <f>+Enunciado!B29</f>
        <v>960</v>
      </c>
      <c r="C47" s="33">
        <f>+B47</f>
        <v>960</v>
      </c>
      <c r="E47" s="34" t="s">
        <v>122</v>
      </c>
    </row>
    <row r="48" spans="1:5" x14ac:dyDescent="0.2">
      <c r="A48" s="28" t="s">
        <v>14</v>
      </c>
      <c r="B48" s="17">
        <f>+Enunciado!B30+Utilidad!B13</f>
        <v>1133.5886</v>
      </c>
      <c r="C48" s="17">
        <f>+Enunciado!B30+Utilidad!C13</f>
        <v>1654.2269000000001</v>
      </c>
      <c r="E48" s="17" t="s">
        <v>123</v>
      </c>
    </row>
    <row r="49" spans="1:5" x14ac:dyDescent="0.2">
      <c r="A49" s="29" t="s">
        <v>16</v>
      </c>
      <c r="B49" s="26">
        <f>+B47+B48</f>
        <v>2093.5886</v>
      </c>
      <c r="C49" s="26">
        <f>+C47+C48</f>
        <v>2614.2269000000001</v>
      </c>
      <c r="E49" s="26"/>
    </row>
    <row r="50" spans="1:5" ht="13.5" thickBot="1" x14ac:dyDescent="0.25">
      <c r="A50" s="28"/>
      <c r="B50" s="17"/>
      <c r="C50" s="17"/>
      <c r="E50" s="17"/>
    </row>
    <row r="51" spans="1:5" ht="13.5" thickBot="1" x14ac:dyDescent="0.25">
      <c r="A51" s="31" t="s">
        <v>15</v>
      </c>
      <c r="B51" s="19">
        <f>+B42+B45+B49+B43</f>
        <v>2996.9360666666666</v>
      </c>
      <c r="C51" s="19">
        <f>+C42+C45+C49+C43</f>
        <v>3042.2269000000001</v>
      </c>
      <c r="E51" s="19"/>
    </row>
    <row r="53" spans="1:5" x14ac:dyDescent="0.2">
      <c r="C53" s="2">
        <f>+C37-C51</f>
        <v>0</v>
      </c>
    </row>
    <row r="55" spans="1:5" x14ac:dyDescent="0.2">
      <c r="A55" s="63"/>
      <c r="B55" s="2"/>
    </row>
    <row r="56" spans="1:5" x14ac:dyDescent="0.2">
      <c r="A56" s="63"/>
      <c r="B56" s="2"/>
    </row>
    <row r="57" spans="1:5" x14ac:dyDescent="0.2">
      <c r="A57" s="63"/>
      <c r="B57" s="2"/>
    </row>
    <row r="58" spans="1:5" x14ac:dyDescent="0.2">
      <c r="A58" s="63"/>
      <c r="B58" s="2"/>
    </row>
    <row r="59" spans="1:5" x14ac:dyDescent="0.2">
      <c r="A59" s="63"/>
    </row>
  </sheetData>
  <mergeCells count="1">
    <mergeCell ref="A1:C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7"/>
  <sheetViews>
    <sheetView showGridLines="0" topLeftCell="A37" workbookViewId="0">
      <selection activeCell="C55" sqref="C55"/>
    </sheetView>
  </sheetViews>
  <sheetFormatPr baseColWidth="10" defaultColWidth="9.140625" defaultRowHeight="12.75" x14ac:dyDescent="0.2"/>
  <cols>
    <col min="1" max="1" width="29.7109375" bestFit="1" customWidth="1"/>
    <col min="4" max="4" width="10.5703125" bestFit="1" customWidth="1"/>
  </cols>
  <sheetData>
    <row r="1" spans="1:5" ht="33.75" x14ac:dyDescent="0.6">
      <c r="A1" s="83" t="s">
        <v>77</v>
      </c>
      <c r="B1" s="83"/>
      <c r="C1" s="83"/>
    </row>
    <row r="2" spans="1:5" ht="13.5" thickBot="1" x14ac:dyDescent="0.25">
      <c r="B2" s="55" t="s">
        <v>78</v>
      </c>
      <c r="C2" s="55" t="s">
        <v>101</v>
      </c>
    </row>
    <row r="3" spans="1:5" x14ac:dyDescent="0.2">
      <c r="A3" s="52" t="s">
        <v>80</v>
      </c>
      <c r="B3" s="56">
        <f>+Utilidad!B13</f>
        <v>396.67160000000001</v>
      </c>
      <c r="C3" s="56">
        <f>+Utilidad!C13</f>
        <v>917.3099000000002</v>
      </c>
    </row>
    <row r="4" spans="1:5" x14ac:dyDescent="0.2">
      <c r="A4" s="14" t="s">
        <v>45</v>
      </c>
      <c r="B4" s="17">
        <f>+Utilidad!B8</f>
        <v>249</v>
      </c>
      <c r="C4" s="17">
        <f>+Utilidad!C8</f>
        <v>249</v>
      </c>
    </row>
    <row r="5" spans="1:5" ht="13.5" thickBot="1" x14ac:dyDescent="0.25">
      <c r="A5" s="44" t="s">
        <v>79</v>
      </c>
      <c r="B5" s="17">
        <f>+Utilidad!B10*(1-Utilidad!$D12)</f>
        <v>69.55</v>
      </c>
      <c r="C5" s="17">
        <f>+Utilidad!C10*(1-Utilidad!$D12)</f>
        <v>69.55</v>
      </c>
    </row>
    <row r="6" spans="1:5" ht="13.5" thickBot="1" x14ac:dyDescent="0.25">
      <c r="A6" s="23" t="s">
        <v>47</v>
      </c>
      <c r="B6" s="79">
        <f>+B3+B4+B5</f>
        <v>715.22159999999997</v>
      </c>
      <c r="C6" s="21">
        <f>+C3+C4+C5</f>
        <v>1235.8599000000002</v>
      </c>
      <c r="D6" s="80">
        <f>+Utilidad!B9*(1-Utilidad!D12)+Utilidad!B8</f>
        <v>715.22160000000008</v>
      </c>
      <c r="E6" t="s">
        <v>132</v>
      </c>
    </row>
    <row r="7" spans="1:5" x14ac:dyDescent="0.2">
      <c r="A7" s="44" t="s">
        <v>83</v>
      </c>
      <c r="B7" s="17">
        <f>+B8-B9</f>
        <v>330.06243055555547</v>
      </c>
      <c r="C7" s="17">
        <f>+C8-C9</f>
        <v>644.82222222222208</v>
      </c>
    </row>
    <row r="8" spans="1:5" x14ac:dyDescent="0.2">
      <c r="A8" s="57" t="s">
        <v>84</v>
      </c>
      <c r="B8" s="58">
        <f>+Utilidad!B29+Utilidad!B30-Utilidad!B40</f>
        <v>1062.5902083333333</v>
      </c>
      <c r="C8" s="58">
        <f>+Utilidad!C29+Utilidad!C30-Utilidad!C40</f>
        <v>1377.35</v>
      </c>
    </row>
    <row r="9" spans="1:5" x14ac:dyDescent="0.2">
      <c r="A9" s="57" t="s">
        <v>85</v>
      </c>
      <c r="B9" s="58">
        <f>+Enunciado!B44</f>
        <v>732.52777777777783</v>
      </c>
      <c r="C9" s="58">
        <f>+B9</f>
        <v>732.52777777777783</v>
      </c>
    </row>
    <row r="10" spans="1:5" x14ac:dyDescent="0.2">
      <c r="A10" s="44" t="s">
        <v>86</v>
      </c>
      <c r="B10" s="17">
        <f>+B11-B12</f>
        <v>0</v>
      </c>
      <c r="C10" s="17">
        <f>+C11-C12</f>
        <v>0</v>
      </c>
    </row>
    <row r="11" spans="1:5" x14ac:dyDescent="0.2">
      <c r="A11" s="57" t="s">
        <v>87</v>
      </c>
      <c r="B11" s="58">
        <f>+Utilidad!B33</f>
        <v>2490</v>
      </c>
      <c r="C11" s="58">
        <f>+B11</f>
        <v>2490</v>
      </c>
    </row>
    <row r="12" spans="1:5" ht="13.5" thickBot="1" x14ac:dyDescent="0.25">
      <c r="A12" s="57" t="s">
        <v>88</v>
      </c>
      <c r="B12" s="58">
        <f>+Enunciado!B15</f>
        <v>2490</v>
      </c>
      <c r="C12" s="58">
        <f>+B12</f>
        <v>2490</v>
      </c>
    </row>
    <row r="13" spans="1:5" ht="13.5" thickBot="1" x14ac:dyDescent="0.25">
      <c r="A13" s="23" t="s">
        <v>49</v>
      </c>
      <c r="B13" s="21">
        <f>+B6-B7-B10</f>
        <v>385.1591694444445</v>
      </c>
      <c r="C13" s="21">
        <f>+C6-C7-C10</f>
        <v>591.03767777777807</v>
      </c>
    </row>
    <row r="14" spans="1:5" x14ac:dyDescent="0.2">
      <c r="A14" s="44" t="s">
        <v>79</v>
      </c>
      <c r="B14" s="17">
        <f>+B5</f>
        <v>69.55</v>
      </c>
      <c r="C14" s="17">
        <f>+C5</f>
        <v>69.55</v>
      </c>
    </row>
    <row r="15" spans="1:5" x14ac:dyDescent="0.2">
      <c r="A15" s="14" t="s">
        <v>54</v>
      </c>
      <c r="B15" s="17">
        <f>+B16-B17</f>
        <v>-486</v>
      </c>
      <c r="C15" s="17">
        <f>+C16-C17</f>
        <v>-486</v>
      </c>
    </row>
    <row r="16" spans="1:5" x14ac:dyDescent="0.2">
      <c r="A16" s="57" t="s">
        <v>89</v>
      </c>
      <c r="B16" s="58">
        <f>+Utilidad!B41+Utilidad!B44</f>
        <v>428</v>
      </c>
      <c r="C16" s="58">
        <f>+B16</f>
        <v>428</v>
      </c>
    </row>
    <row r="17" spans="1:3" ht="13.5" thickBot="1" x14ac:dyDescent="0.25">
      <c r="A17" s="57" t="s">
        <v>90</v>
      </c>
      <c r="B17" s="58">
        <f>+Enunciado!B26+Enunciado!B23</f>
        <v>914</v>
      </c>
      <c r="C17" s="58">
        <f>+B17</f>
        <v>914</v>
      </c>
    </row>
    <row r="18" spans="1:3" ht="13.5" thickBot="1" x14ac:dyDescent="0.25">
      <c r="A18" s="23" t="s">
        <v>91</v>
      </c>
      <c r="B18" s="21">
        <f>+B13-B14+B15</f>
        <v>-170.39083055555551</v>
      </c>
      <c r="C18" s="21">
        <f>+C13-C14+C15</f>
        <v>35.487677777778117</v>
      </c>
    </row>
    <row r="19" spans="1:3" x14ac:dyDescent="0.2">
      <c r="A19" s="44" t="s">
        <v>94</v>
      </c>
      <c r="B19" s="17">
        <f>+B20-B21</f>
        <v>0</v>
      </c>
      <c r="C19" s="17">
        <f>+C20-C21</f>
        <v>0</v>
      </c>
    </row>
    <row r="20" spans="1:3" x14ac:dyDescent="0.2">
      <c r="A20" s="57" t="s">
        <v>92</v>
      </c>
      <c r="B20" s="58">
        <f>+Utilidad!B47</f>
        <v>960</v>
      </c>
      <c r="C20" s="58">
        <f>+Utilidad!C47</f>
        <v>960</v>
      </c>
    </row>
    <row r="21" spans="1:3" x14ac:dyDescent="0.2">
      <c r="A21" s="57" t="s">
        <v>93</v>
      </c>
      <c r="B21" s="58">
        <f>+Enunciado!B29</f>
        <v>960</v>
      </c>
      <c r="C21" s="58">
        <f>+B21</f>
        <v>960</v>
      </c>
    </row>
    <row r="22" spans="1:3" ht="13.5" thickBot="1" x14ac:dyDescent="0.25">
      <c r="A22" s="44" t="s">
        <v>95</v>
      </c>
      <c r="B22" s="17">
        <v>0</v>
      </c>
      <c r="C22" s="17">
        <v>0</v>
      </c>
    </row>
    <row r="23" spans="1:3" ht="13.5" thickBot="1" x14ac:dyDescent="0.25">
      <c r="A23" s="23" t="s">
        <v>96</v>
      </c>
      <c r="B23" s="21">
        <f>+B18+B19-B22</f>
        <v>-170.39083055555551</v>
      </c>
      <c r="C23" s="21">
        <f>+C18+C19-C22</f>
        <v>35.487677777778117</v>
      </c>
    </row>
    <row r="24" spans="1:3" x14ac:dyDescent="0.2">
      <c r="A24" s="14" t="s">
        <v>55</v>
      </c>
      <c r="B24" s="34">
        <f>+Enunciado!B10</f>
        <v>135.38922222222203</v>
      </c>
      <c r="C24" s="34">
        <f>+B24</f>
        <v>135.38922222222203</v>
      </c>
    </row>
    <row r="25" spans="1:3" ht="13.5" thickBot="1" x14ac:dyDescent="0.25">
      <c r="A25" s="15" t="s">
        <v>56</v>
      </c>
      <c r="B25" s="18">
        <f>+B18+B24</f>
        <v>-35.001608333333479</v>
      </c>
      <c r="C25" s="18">
        <f>+C18+C24</f>
        <v>170.87690000000015</v>
      </c>
    </row>
    <row r="26" spans="1:3" ht="13.5" thickBot="1" x14ac:dyDescent="0.25">
      <c r="A26" s="67" t="s">
        <v>97</v>
      </c>
      <c r="B26" s="68">
        <f>+B55</f>
        <v>122.0544</v>
      </c>
      <c r="C26" s="68">
        <f>+C55</f>
        <v>68.655599999999993</v>
      </c>
    </row>
    <row r="27" spans="1:3" x14ac:dyDescent="0.2">
      <c r="A27" s="59" t="s">
        <v>98</v>
      </c>
      <c r="B27" s="60">
        <f>+IF(B26&gt;B25,B26-B25,0)</f>
        <v>157.05600833333347</v>
      </c>
      <c r="C27" s="60">
        <f>+IF(C26&gt;C25,C26-C25,0)</f>
        <v>0</v>
      </c>
    </row>
    <row r="28" spans="1:3" x14ac:dyDescent="0.2">
      <c r="A28" s="59" t="s">
        <v>99</v>
      </c>
      <c r="B28" s="60">
        <f>+IF(B25&gt;B26,B25-B26,0)</f>
        <v>0</v>
      </c>
      <c r="C28" s="60">
        <f>+IF(C25&gt;C26,C25-C26,0)</f>
        <v>102.22130000000016</v>
      </c>
    </row>
    <row r="30" spans="1:3" ht="13.5" thickBot="1" x14ac:dyDescent="0.25">
      <c r="B30" s="55" t="s">
        <v>78</v>
      </c>
      <c r="C30" s="55" t="s">
        <v>101</v>
      </c>
    </row>
    <row r="31" spans="1:3" x14ac:dyDescent="0.2">
      <c r="A31" s="52" t="s">
        <v>23</v>
      </c>
      <c r="B31" s="56">
        <f>+Utilidad!B9</f>
        <v>717.26400000000001</v>
      </c>
      <c r="C31" s="56">
        <f>+Utilidad!C9</f>
        <v>1518.2460000000003</v>
      </c>
    </row>
    <row r="32" spans="1:3" ht="13.5" thickBot="1" x14ac:dyDescent="0.25">
      <c r="A32" s="14" t="s">
        <v>45</v>
      </c>
      <c r="B32" s="17">
        <f>+B4</f>
        <v>249</v>
      </c>
      <c r="C32" s="17">
        <f>+C4</f>
        <v>249</v>
      </c>
    </row>
    <row r="33" spans="1:3" ht="13.5" thickBot="1" x14ac:dyDescent="0.25">
      <c r="A33" s="23" t="s">
        <v>81</v>
      </c>
      <c r="B33" s="21">
        <f>+B31+B32</f>
        <v>966.26400000000001</v>
      </c>
      <c r="C33" s="21">
        <f>+C31+C32</f>
        <v>1767.2460000000003</v>
      </c>
    </row>
    <row r="34" spans="1:3" ht="13.5" thickBot="1" x14ac:dyDescent="0.25">
      <c r="A34" s="44" t="s">
        <v>82</v>
      </c>
      <c r="B34" s="17">
        <f>+B31*Utilidad!$D$12</f>
        <v>251.04239999999999</v>
      </c>
      <c r="C34" s="17">
        <f>+C31*Utilidad!$D$12</f>
        <v>531.38610000000006</v>
      </c>
    </row>
    <row r="35" spans="1:3" ht="13.5" thickBot="1" x14ac:dyDescent="0.25">
      <c r="A35" s="23" t="s">
        <v>47</v>
      </c>
      <c r="B35" s="21">
        <f>+B33-B34</f>
        <v>715.22160000000008</v>
      </c>
      <c r="C35" s="21">
        <f>+C33-C34</f>
        <v>1235.8599000000004</v>
      </c>
    </row>
    <row r="36" spans="1:3" x14ac:dyDescent="0.2">
      <c r="A36" s="44" t="s">
        <v>83</v>
      </c>
      <c r="B36" s="17">
        <f>+B37-B38</f>
        <v>330.06243055555547</v>
      </c>
      <c r="C36" s="17">
        <f>+C37-C38</f>
        <v>644.82222222222208</v>
      </c>
    </row>
    <row r="37" spans="1:3" x14ac:dyDescent="0.2">
      <c r="A37" s="57" t="s">
        <v>84</v>
      </c>
      <c r="B37" s="58">
        <f>+B8</f>
        <v>1062.5902083333333</v>
      </c>
      <c r="C37" s="58">
        <f>+C8</f>
        <v>1377.35</v>
      </c>
    </row>
    <row r="38" spans="1:3" x14ac:dyDescent="0.2">
      <c r="A38" s="57" t="s">
        <v>85</v>
      </c>
      <c r="B38" s="58">
        <f>+B9</f>
        <v>732.52777777777783</v>
      </c>
      <c r="C38" s="58">
        <f>+B38</f>
        <v>732.52777777777783</v>
      </c>
    </row>
    <row r="39" spans="1:3" x14ac:dyDescent="0.2">
      <c r="A39" s="44" t="s">
        <v>86</v>
      </c>
      <c r="B39" s="17">
        <f>+B40-B41</f>
        <v>0</v>
      </c>
      <c r="C39" s="17">
        <f>+C40-C41</f>
        <v>0</v>
      </c>
    </row>
    <row r="40" spans="1:3" x14ac:dyDescent="0.2">
      <c r="A40" s="57" t="s">
        <v>87</v>
      </c>
      <c r="B40" s="58">
        <f>+B11</f>
        <v>2490</v>
      </c>
      <c r="C40" s="58">
        <f>+C11</f>
        <v>2490</v>
      </c>
    </row>
    <row r="41" spans="1:3" ht="13.5" thickBot="1" x14ac:dyDescent="0.25">
      <c r="A41" s="57" t="s">
        <v>88</v>
      </c>
      <c r="B41" s="58">
        <f>+B12</f>
        <v>2490</v>
      </c>
      <c r="C41" s="58">
        <f>+C12</f>
        <v>2490</v>
      </c>
    </row>
    <row r="42" spans="1:3" ht="13.5" thickBot="1" x14ac:dyDescent="0.25">
      <c r="A42" s="23" t="s">
        <v>49</v>
      </c>
      <c r="B42" s="21">
        <f>+B35-B36-B39</f>
        <v>385.15916944444461</v>
      </c>
      <c r="C42" s="21">
        <f>+C35-C36-C39</f>
        <v>591.0376777777783</v>
      </c>
    </row>
    <row r="43" spans="1:3" x14ac:dyDescent="0.2">
      <c r="A43" s="44" t="s">
        <v>79</v>
      </c>
      <c r="B43" s="17">
        <f>+B5</f>
        <v>69.55</v>
      </c>
      <c r="C43" s="17">
        <f>+C5</f>
        <v>69.55</v>
      </c>
    </row>
    <row r="44" spans="1:3" x14ac:dyDescent="0.2">
      <c r="A44" s="14" t="s">
        <v>54</v>
      </c>
      <c r="B44" s="17">
        <f>+B45-B46</f>
        <v>-486</v>
      </c>
      <c r="C44" s="17">
        <f>+C45-C46</f>
        <v>-486</v>
      </c>
    </row>
    <row r="45" spans="1:3" x14ac:dyDescent="0.2">
      <c r="A45" s="57" t="s">
        <v>89</v>
      </c>
      <c r="B45" s="58">
        <f>+B16</f>
        <v>428</v>
      </c>
      <c r="C45" s="58">
        <f>+C16</f>
        <v>428</v>
      </c>
    </row>
    <row r="46" spans="1:3" ht="13.5" thickBot="1" x14ac:dyDescent="0.25">
      <c r="A46" s="57" t="s">
        <v>90</v>
      </c>
      <c r="B46" s="58">
        <f>+B17</f>
        <v>914</v>
      </c>
      <c r="C46" s="58">
        <f>+C17</f>
        <v>914</v>
      </c>
    </row>
    <row r="47" spans="1:3" ht="13.5" thickBot="1" x14ac:dyDescent="0.25">
      <c r="A47" s="23" t="s">
        <v>91</v>
      </c>
      <c r="B47" s="21">
        <f>+B42-B43+B44</f>
        <v>-170.3908305555554</v>
      </c>
      <c r="C47" s="21">
        <f>+C42-C43+C44</f>
        <v>35.487677777778345</v>
      </c>
    </row>
    <row r="48" spans="1:3" x14ac:dyDescent="0.2">
      <c r="A48" s="44" t="s">
        <v>94</v>
      </c>
      <c r="B48" s="17">
        <f>+B49-B50</f>
        <v>0</v>
      </c>
      <c r="C48" s="17">
        <f>+C49-C50</f>
        <v>0</v>
      </c>
    </row>
    <row r="49" spans="1:3" x14ac:dyDescent="0.2">
      <c r="A49" s="57" t="s">
        <v>92</v>
      </c>
      <c r="B49" s="58">
        <f>+Utilidad!B47</f>
        <v>960</v>
      </c>
      <c r="C49" s="58">
        <f>+B49</f>
        <v>960</v>
      </c>
    </row>
    <row r="50" spans="1:3" x14ac:dyDescent="0.2">
      <c r="A50" s="57" t="s">
        <v>93</v>
      </c>
      <c r="B50" s="58">
        <f>+Enunciado!B29</f>
        <v>960</v>
      </c>
      <c r="C50" s="58">
        <f>+B50</f>
        <v>960</v>
      </c>
    </row>
    <row r="51" spans="1:3" ht="13.5" thickBot="1" x14ac:dyDescent="0.25">
      <c r="A51" s="44" t="s">
        <v>95</v>
      </c>
      <c r="B51" s="17">
        <v>0</v>
      </c>
      <c r="C51" s="17">
        <v>0</v>
      </c>
    </row>
    <row r="52" spans="1:3" ht="13.5" thickBot="1" x14ac:dyDescent="0.25">
      <c r="A52" s="23" t="s">
        <v>96</v>
      </c>
      <c r="B52" s="21">
        <f>+B47+B48-B51</f>
        <v>-170.3908305555554</v>
      </c>
      <c r="C52" s="21">
        <f>+C47+C48-C51</f>
        <v>35.487677777778345</v>
      </c>
    </row>
    <row r="53" spans="1:3" x14ac:dyDescent="0.2">
      <c r="A53" s="14" t="s">
        <v>55</v>
      </c>
      <c r="B53" s="34">
        <f>+B24</f>
        <v>135.38922222222203</v>
      </c>
      <c r="C53" s="34">
        <f>+C24</f>
        <v>135.38922222222203</v>
      </c>
    </row>
    <row r="54" spans="1:3" ht="13.5" thickBot="1" x14ac:dyDescent="0.25">
      <c r="A54" s="15" t="s">
        <v>56</v>
      </c>
      <c r="B54" s="18">
        <f>+B47+B53</f>
        <v>-35.001608333333365</v>
      </c>
      <c r="C54" s="18">
        <f>+C47+C53</f>
        <v>170.87690000000038</v>
      </c>
    </row>
    <row r="55" spans="1:3" ht="13.5" thickBot="1" x14ac:dyDescent="0.25">
      <c r="A55" s="67" t="s">
        <v>97</v>
      </c>
      <c r="B55" s="68">
        <f>+Enunciado!B71*Utilidad!B7</f>
        <v>122.0544</v>
      </c>
      <c r="C55" s="68">
        <f>+Enunciado!B88*Utilidad!C7</f>
        <v>68.655599999999993</v>
      </c>
    </row>
    <row r="56" spans="1:3" x14ac:dyDescent="0.2">
      <c r="A56" s="59" t="s">
        <v>98</v>
      </c>
      <c r="B56" s="60">
        <f>+IF(B55&gt;B54,B55-B54,0)</f>
        <v>157.05600833333335</v>
      </c>
      <c r="C56" s="60">
        <f>+IF(C55&gt;C54,C55-C54,0)</f>
        <v>0</v>
      </c>
    </row>
    <row r="57" spans="1:3" x14ac:dyDescent="0.2">
      <c r="A57" s="59" t="s">
        <v>99</v>
      </c>
      <c r="B57" s="60">
        <f>+IF(B54&gt;B55,B54-B55,0)</f>
        <v>0</v>
      </c>
      <c r="C57" s="60">
        <f>+IF(C54&gt;C55,C54-C55,0)</f>
        <v>102.22130000000038</v>
      </c>
    </row>
  </sheetData>
  <mergeCells count="1">
    <mergeCell ref="A1:C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showGridLines="0" tabSelected="1" workbookViewId="0">
      <selection activeCell="C2" sqref="C2"/>
    </sheetView>
  </sheetViews>
  <sheetFormatPr baseColWidth="10" defaultColWidth="9.140625" defaultRowHeight="12.75" x14ac:dyDescent="0.2"/>
  <cols>
    <col min="2" max="2" width="24.5703125" customWidth="1"/>
  </cols>
  <sheetData>
    <row r="1" spans="1:5" ht="33.75" x14ac:dyDescent="0.6">
      <c r="A1" s="83" t="s">
        <v>100</v>
      </c>
      <c r="B1" s="83"/>
      <c r="C1" s="83"/>
    </row>
    <row r="2" spans="1:5" x14ac:dyDescent="0.2">
      <c r="C2" s="69">
        <v>2021</v>
      </c>
      <c r="D2" s="69" t="s">
        <v>107</v>
      </c>
      <c r="E2" s="69" t="s">
        <v>108</v>
      </c>
    </row>
    <row r="3" spans="1:5" x14ac:dyDescent="0.2">
      <c r="A3" s="64" t="s">
        <v>102</v>
      </c>
      <c r="B3" s="64"/>
      <c r="C3" s="64">
        <f>+C4/C5</f>
        <v>0.2804597985641018</v>
      </c>
      <c r="D3" s="64">
        <f>+D4/D5</f>
        <v>0.18946969810592204</v>
      </c>
      <c r="E3" s="64">
        <f>+E4/E5</f>
        <v>0.35089146240519525</v>
      </c>
    </row>
    <row r="4" spans="1:5" x14ac:dyDescent="0.2">
      <c r="B4" s="63" t="s">
        <v>103</v>
      </c>
      <c r="C4" s="65">
        <f>+Enunciado!E19</f>
        <v>475.91699999999992</v>
      </c>
      <c r="D4" s="65">
        <f>+Utilidad!B13</f>
        <v>396.67160000000001</v>
      </c>
      <c r="E4" s="65">
        <f>+Utilidad!C13</f>
        <v>917.3099000000002</v>
      </c>
    </row>
    <row r="5" spans="1:5" x14ac:dyDescent="0.2">
      <c r="B5" s="63" t="s">
        <v>135</v>
      </c>
      <c r="C5" s="65">
        <f>+Enunciado!B31</f>
        <v>1696.9169999999999</v>
      </c>
      <c r="D5" s="65">
        <f>+Utilidad!B49</f>
        <v>2093.5886</v>
      </c>
      <c r="E5" s="65">
        <f>+Utilidad!C49</f>
        <v>2614.2269000000001</v>
      </c>
    </row>
    <row r="7" spans="1:5" x14ac:dyDescent="0.2">
      <c r="A7" s="1" t="s">
        <v>138</v>
      </c>
      <c r="C7" s="64">
        <f>+C8/C9</f>
        <v>0.21140732905787563</v>
      </c>
      <c r="D7" s="64">
        <f>+D8/D9</f>
        <v>0.15556608136741257</v>
      </c>
      <c r="E7" s="64">
        <f>+E8/E9</f>
        <v>0.32438734270609476</v>
      </c>
    </row>
    <row r="8" spans="1:5" x14ac:dyDescent="0.2">
      <c r="B8" s="63" t="s">
        <v>104</v>
      </c>
      <c r="C8" s="65">
        <f>+Enunciado!E15*(1-Enunciado!F18)</f>
        <v>600.99</v>
      </c>
      <c r="D8" s="65">
        <f>+Caja!B31-Caja!B34</f>
        <v>466.22160000000002</v>
      </c>
      <c r="E8" s="65">
        <f>+Caja!C31-Caja!C34</f>
        <v>986.85990000000027</v>
      </c>
    </row>
    <row r="9" spans="1:5" x14ac:dyDescent="0.2">
      <c r="B9" s="63" t="s">
        <v>105</v>
      </c>
      <c r="C9" s="65">
        <f>+Enunciado!B19</f>
        <v>2842.8058888888891</v>
      </c>
      <c r="D9" s="65">
        <f>+Utilidad!B37</f>
        <v>2996.9360666666666</v>
      </c>
      <c r="E9" s="65">
        <f>+Utilidad!C37</f>
        <v>3042.2269000000001</v>
      </c>
    </row>
    <row r="11" spans="1:5" x14ac:dyDescent="0.2">
      <c r="A11" s="1" t="s">
        <v>106</v>
      </c>
      <c r="B11" s="1"/>
      <c r="C11" s="66">
        <f>+C3-C7</f>
        <v>6.9052469506226177E-2</v>
      </c>
      <c r="D11" s="66">
        <f>+D3-D7</f>
        <v>3.3903616738509473E-2</v>
      </c>
      <c r="E11" s="66">
        <f>+E3-E7</f>
        <v>2.6504119699100492E-2</v>
      </c>
    </row>
    <row r="13" spans="1:5" x14ac:dyDescent="0.2">
      <c r="A13" s="63" t="s">
        <v>133</v>
      </c>
    </row>
  </sheetData>
  <mergeCells count="1">
    <mergeCell ref="A1:C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.</vt:lpstr>
      <vt:lpstr>Enunciado</vt:lpstr>
      <vt:lpstr>Utilidad</vt:lpstr>
      <vt:lpstr>Caja</vt:lpstr>
      <vt:lpstr>Rentabildiad</vt:lpstr>
      <vt:lpstr>Caja!Área_de_impresión</vt:lpstr>
      <vt:lpstr>Enunciado!Área_de_impresión</vt:lpstr>
      <vt:lpstr>Rentabildiad!Área_de_impresión</vt:lpstr>
      <vt:lpstr>Utilidad!Área_de_impresión</vt:lpstr>
    </vt:vector>
  </TitlesOfParts>
  <Company>Universidad de Los Andes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Facultad de Administración</dc:creator>
  <cp:lastModifiedBy>ACCOUNTER03</cp:lastModifiedBy>
  <cp:lastPrinted>2009-10-28T16:06:25Z</cp:lastPrinted>
  <dcterms:created xsi:type="dcterms:W3CDTF">2002-02-14T17:56:45Z</dcterms:created>
  <dcterms:modified xsi:type="dcterms:W3CDTF">2022-09-28T21:29:51Z</dcterms:modified>
</cp:coreProperties>
</file>