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590A1A12-F675-47CE-8955-EA87E01BCCC5}" xr6:coauthVersionLast="47" xr6:coauthVersionMax="47" xr10:uidLastSave="{00000000-0000-0000-0000-000000000000}"/>
  <bookViews>
    <workbookView xWindow="345" yWindow="6300" windowWidth="18645" windowHeight="7815" xr2:uid="{6994998C-3CFE-A740-AE84-1C63E831EFEF}"/>
  </bookViews>
  <sheets>
    <sheet name="Ejercicio 1" sheetId="1" r:id="rId1"/>
    <sheet name="Ejercicio 2" sheetId="2" r:id="rId2"/>
    <sheet name="Ejercicio 3" sheetId="3" r:id="rId3"/>
    <sheet name="Ejercicio 4" sheetId="4" r:id="rId4"/>
    <sheet name="Ejercicio 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3" i="5" l="1"/>
  <c r="M101" i="5"/>
  <c r="M98" i="5"/>
  <c r="L64" i="5"/>
  <c r="K107" i="5" s="1"/>
  <c r="K108" i="5" s="1"/>
  <c r="M58" i="5"/>
  <c r="M55" i="5"/>
  <c r="L29" i="5"/>
  <c r="M23" i="5"/>
  <c r="M20" i="5"/>
  <c r="K101" i="5" s="1"/>
  <c r="K103" i="5" s="1"/>
  <c r="E11" i="5"/>
  <c r="E113" i="5" s="1"/>
  <c r="Q27" i="4"/>
  <c r="E11" i="4"/>
  <c r="L37" i="3"/>
  <c r="L36" i="3"/>
  <c r="E36" i="3"/>
  <c r="E18" i="3"/>
  <c r="E23" i="3" s="1"/>
  <c r="E41" i="3" s="1"/>
  <c r="L16" i="3"/>
  <c r="L18" i="3" s="1"/>
  <c r="L23" i="3" s="1"/>
  <c r="E16" i="3"/>
  <c r="E12" i="3"/>
  <c r="E22" i="3" s="1"/>
  <c r="E40" i="3" s="1"/>
  <c r="N17" i="2"/>
  <c r="N16" i="2"/>
  <c r="L16" i="2" s="1"/>
  <c r="L18" i="2" s="1"/>
  <c r="L23" i="2" s="1"/>
  <c r="E16" i="2"/>
  <c r="E18" i="2" s="1"/>
  <c r="E23" i="2" s="1"/>
  <c r="E12" i="2"/>
  <c r="E22" i="2" s="1"/>
  <c r="N20" i="1"/>
  <c r="L20" i="1" s="1"/>
  <c r="E20" i="1"/>
  <c r="E22" i="1" s="1"/>
  <c r="E27" i="1" s="1"/>
  <c r="E14" i="1"/>
  <c r="E5" i="1"/>
  <c r="E16" i="1" s="1"/>
  <c r="L16" i="1" s="1"/>
  <c r="L12" i="3" l="1"/>
  <c r="L22" i="3" s="1"/>
  <c r="E13" i="3"/>
  <c r="L13" i="3" s="1"/>
  <c r="K11" i="5"/>
  <c r="E29" i="5"/>
  <c r="E64" i="5"/>
  <c r="E12" i="5"/>
  <c r="K12" i="5" s="1"/>
  <c r="E24" i="3"/>
  <c r="E26" i="1"/>
  <c r="E28" i="1" s="1"/>
  <c r="L14" i="1"/>
  <c r="L26" i="1" s="1"/>
  <c r="E17" i="1"/>
  <c r="L17" i="1" s="1"/>
  <c r="L24" i="3"/>
  <c r="L38" i="3" s="1"/>
  <c r="M44" i="3" s="1"/>
  <c r="O31" i="2"/>
  <c r="E24" i="2"/>
  <c r="O32" i="2"/>
  <c r="O34" i="2"/>
  <c r="O33" i="2"/>
  <c r="M18" i="3"/>
  <c r="E20" i="4"/>
  <c r="E22" i="4" s="1"/>
  <c r="E41" i="4" s="1"/>
  <c r="L117" i="5"/>
  <c r="L22" i="1"/>
  <c r="L27" i="1" s="1"/>
  <c r="L12" i="2"/>
  <c r="L22" i="2" s="1"/>
  <c r="F18" i="3"/>
  <c r="L11" i="4"/>
  <c r="L26" i="4" s="1"/>
  <c r="L27" i="4" s="1"/>
  <c r="L48" i="4" s="1"/>
  <c r="L49" i="4" s="1"/>
  <c r="K23" i="5"/>
  <c r="K25" i="5" s="1"/>
  <c r="L31" i="5" s="1"/>
  <c r="N31" i="5" s="1"/>
  <c r="R31" i="5" s="1"/>
  <c r="E42" i="5" s="1"/>
  <c r="K58" i="5"/>
  <c r="K60" i="5" s="1"/>
  <c r="E13" i="2"/>
  <c r="L13" i="2" s="1"/>
  <c r="E12" i="4"/>
  <c r="L12" i="4" s="1"/>
  <c r="E19" i="5"/>
  <c r="E26" i="4" l="1"/>
  <c r="E27" i="4" s="1"/>
  <c r="L62" i="4"/>
  <c r="L66" i="4"/>
  <c r="L67" i="4" s="1"/>
  <c r="L35" i="5"/>
  <c r="L66" i="5"/>
  <c r="L115" i="5"/>
  <c r="P34" i="2"/>
  <c r="Q34" i="2" s="1"/>
  <c r="T34" i="2" s="1"/>
  <c r="P33" i="2"/>
  <c r="Q33" i="2" s="1"/>
  <c r="T33" i="2" s="1"/>
  <c r="P31" i="2"/>
  <c r="Q31" i="2" s="1"/>
  <c r="T31" i="2" s="1"/>
  <c r="P32" i="2"/>
  <c r="Q32" i="2" s="1"/>
  <c r="T32" i="2" s="1"/>
  <c r="S32" i="2" s="1"/>
  <c r="L24" i="2"/>
  <c r="P30" i="2" s="1"/>
  <c r="N27" i="4"/>
  <c r="R27" i="4" s="1"/>
  <c r="E32" i="4" s="1"/>
  <c r="E33" i="4" s="1"/>
  <c r="E53" i="4" s="1"/>
  <c r="E55" i="4" s="1"/>
  <c r="E42" i="4"/>
  <c r="E44" i="4"/>
  <c r="E48" i="4" s="1"/>
  <c r="E49" i="4" s="1"/>
  <c r="O30" i="2"/>
  <c r="L28" i="1"/>
  <c r="N24" i="3"/>
  <c r="R24" i="3" s="1"/>
  <c r="E28" i="3" s="1"/>
  <c r="E38" i="3"/>
  <c r="E33" i="5"/>
  <c r="E20" i="5"/>
  <c r="E77" i="5"/>
  <c r="E78" i="5" s="1"/>
  <c r="E43" i="5"/>
  <c r="Q30" i="2" l="1"/>
  <c r="T30" i="2" s="1"/>
  <c r="S30" i="2" s="1"/>
  <c r="S34" i="2"/>
  <c r="N49" i="4"/>
  <c r="F65" i="4"/>
  <c r="F61" i="4"/>
  <c r="N66" i="5"/>
  <c r="R66" i="5" s="1"/>
  <c r="E85" i="5" s="1"/>
  <c r="L70" i="5"/>
  <c r="E45" i="3"/>
  <c r="E46" i="3" s="1"/>
  <c r="E29" i="3"/>
  <c r="S31" i="2"/>
  <c r="N24" i="2"/>
  <c r="R24" i="2" s="1"/>
  <c r="E28" i="2" s="1"/>
  <c r="S33" i="2"/>
  <c r="E32" i="2" s="1"/>
  <c r="E33" i="2" s="1"/>
  <c r="F33" i="2" s="1"/>
  <c r="N33" i="5"/>
  <c r="R33" i="5" s="1"/>
  <c r="E46" i="5" s="1"/>
  <c r="E35" i="5"/>
  <c r="E54" i="5" s="1"/>
  <c r="L157" i="5"/>
  <c r="N115" i="5"/>
  <c r="R115" i="5" s="1"/>
  <c r="E134" i="5" s="1"/>
  <c r="E135" i="5" s="1"/>
  <c r="L119" i="5"/>
  <c r="E55" i="5" l="1"/>
  <c r="E68" i="5"/>
  <c r="E126" i="5"/>
  <c r="E127" i="5" s="1"/>
  <c r="E86" i="5"/>
  <c r="L150" i="5"/>
  <c r="L152" i="5" s="1"/>
  <c r="L146" i="5"/>
  <c r="L156" i="5"/>
  <c r="L158" i="5" s="1"/>
  <c r="E47" i="5"/>
  <c r="E81" i="5"/>
  <c r="E82" i="5" s="1"/>
  <c r="F28" i="2"/>
  <c r="F34" i="2" s="1"/>
  <c r="E29" i="2"/>
  <c r="N68" i="5" l="1"/>
  <c r="R68" i="5" s="1"/>
  <c r="E89" i="5" s="1"/>
  <c r="E70" i="5"/>
  <c r="E98" i="5" s="1"/>
  <c r="E96" i="5" l="1"/>
  <c r="E117" i="5"/>
  <c r="E90" i="5"/>
  <c r="E130" i="5"/>
  <c r="E131" i="5" s="1"/>
  <c r="N117" i="5" l="1"/>
  <c r="R117" i="5" s="1"/>
  <c r="E138" i="5" s="1"/>
  <c r="E139" i="5" s="1"/>
  <c r="E119" i="5"/>
</calcChain>
</file>

<file path=xl/sharedStrings.xml><?xml version="1.0" encoding="utf-8"?>
<sst xmlns="http://schemas.openxmlformats.org/spreadsheetml/2006/main" count="491" uniqueCount="187">
  <si>
    <t>PROPIEDADES, PLANTA Y EQUIPO</t>
  </si>
  <si>
    <t>Ejercicio 1</t>
  </si>
  <si>
    <t>Fecha de adquisición</t>
  </si>
  <si>
    <t>2 de enero de 2022</t>
  </si>
  <si>
    <t>Adquisición de maquinaria</t>
  </si>
  <si>
    <t>Activo fijo (Art 60 del E.T.)</t>
  </si>
  <si>
    <t>IVA</t>
  </si>
  <si>
    <t>Activo fijo real productivo (Art 258-1 del E.T.)</t>
  </si>
  <si>
    <t>Valor residual</t>
  </si>
  <si>
    <t>Vida útil (años)</t>
  </si>
  <si>
    <t>Depreciación (Ley 1819 de 2016)</t>
  </si>
  <si>
    <t>Vida útil (Art 137 del E.T.)</t>
  </si>
  <si>
    <t>NIIF</t>
  </si>
  <si>
    <t>FISCAL</t>
  </si>
  <si>
    <t>Registros contables:</t>
  </si>
  <si>
    <t>Registro de la adquisición:</t>
  </si>
  <si>
    <t>DB - ESF - Propiedades, planta y equipo</t>
  </si>
  <si>
    <t>=&gt; Maquinaria</t>
  </si>
  <si>
    <t>DB - ESF - Activos por impuestos corrientes</t>
  </si>
  <si>
    <t>=&gt; Anticipo de impuesto de renta</t>
  </si>
  <si>
    <r>
      <t xml:space="preserve">=&gt; Anticipo de impuesto de renta </t>
    </r>
    <r>
      <rPr>
        <sz val="12"/>
        <color theme="1"/>
        <rFont val="Calibri (Cuerpo)_x0000_"/>
      </rPr>
      <t>*</t>
    </r>
  </si>
  <si>
    <t>"Descuento tributario"</t>
  </si>
  <si>
    <t>CR - ESF - Efectivo / Cuentas por pagar</t>
  </si>
  <si>
    <t>Registro de la depreciación: (Año 2022)</t>
  </si>
  <si>
    <t>% Anual de depreciación</t>
  </si>
  <si>
    <t>DB - ER - Gasto por depreciación</t>
  </si>
  <si>
    <t>CR - ESF - Propiedades, planta y equipo</t>
  </si>
  <si>
    <t>=&gt; Depreciación Acum Maquinaria</t>
  </si>
  <si>
    <t>Saldos al 31 de diciembre de 2022:</t>
  </si>
  <si>
    <t>Propiedades, planta y equipo</t>
  </si>
  <si>
    <t>Costo de la maquinaria</t>
  </si>
  <si>
    <t>Depreciación acumulada</t>
  </si>
  <si>
    <t>No se presentan diferencias temporarias entre los valores de propiedades, planta y equipo NIIF y Fiscal</t>
  </si>
  <si>
    <t>Ejercicio 2</t>
  </si>
  <si>
    <t>Adquisición de equipo de cómputo</t>
  </si>
  <si>
    <t>(el IVA está dentro del costo y es un mayor valor del activo)</t>
  </si>
  <si>
    <t>(se debe establecer técnicamente)</t>
  </si>
  <si>
    <t>=&gt; Equipo de cómputo</t>
  </si>
  <si>
    <t>Contable</t>
  </si>
  <si>
    <t>=&gt; Depreciación Acum Eq Cómputo</t>
  </si>
  <si>
    <t>Diferencia</t>
  </si>
  <si>
    <t>Tipo Diferencia</t>
  </si>
  <si>
    <t>Naturaleza</t>
  </si>
  <si>
    <t>Tarifa</t>
  </si>
  <si>
    <t>Imp Dif</t>
  </si>
  <si>
    <t>Costo del equipo de cómputo</t>
  </si>
  <si>
    <t>Temporaria</t>
  </si>
  <si>
    <t>Deducible</t>
  </si>
  <si>
    <t>Renta ordinaria</t>
  </si>
  <si>
    <t>Impuesto de renta diferido:</t>
  </si>
  <si>
    <t>Año 1, 2 y 3</t>
  </si>
  <si>
    <t>Cuadro de seguimiento para el impuesto diferido "activo":</t>
  </si>
  <si>
    <t>DB - ESF - Activos por impuestos diferidos</t>
  </si>
  <si>
    <t>No aplica</t>
  </si>
  <si>
    <t>Movimiento</t>
  </si>
  <si>
    <t>Saldo</t>
  </si>
  <si>
    <t>CR - ER - (Ing) Gastos por impuestos</t>
  </si>
  <si>
    <t>Año</t>
  </si>
  <si>
    <t>Valor NIIF</t>
  </si>
  <si>
    <t>Valor Fiscal</t>
  </si>
  <si>
    <t>Año 4 y 5</t>
  </si>
  <si>
    <t>DB - ER - (Ing) Gastos por impuestos</t>
  </si>
  <si>
    <t>CR - ESF - Activos por impuestos diferidos</t>
  </si>
  <si>
    <t>Ejercicio 3</t>
  </si>
  <si>
    <t>2 de enero de 2015</t>
  </si>
  <si>
    <t>Adquisición de vehículo</t>
  </si>
  <si>
    <t>=&gt; Vehículo</t>
  </si>
  <si>
    <t>(Aplicación de las normas fiscales</t>
  </si>
  <si>
    <t>antes de la Ley 1819 de 2016)</t>
  </si>
  <si>
    <t>Artículo 128 del E.T. Depreciación 100% del costo fiscal</t>
  </si>
  <si>
    <t>Registro de la depreciación: (Año 2015)</t>
  </si>
  <si>
    <t>Vida Útil</t>
  </si>
  <si>
    <t>Años</t>
  </si>
  <si>
    <t>Año 2015</t>
  </si>
  <si>
    <t>=&gt; Depreciación Acum Vehículo</t>
  </si>
  <si>
    <t>Costo del vehículo</t>
  </si>
  <si>
    <t>Imponible</t>
  </si>
  <si>
    <t>Efecto acumulado del impuesto diferido desde el 2015 al 2022:</t>
  </si>
  <si>
    <t>CR - ESF - Pasivos por impuestos diferidos</t>
  </si>
  <si>
    <t>Fecha de venta</t>
  </si>
  <si>
    <t>2 de enero de 2023</t>
  </si>
  <si>
    <t>Valor de venta</t>
  </si>
  <si>
    <t>Registro de la venta:</t>
  </si>
  <si>
    <t>DB - ESF - Efectivo / Cuentas por cobrar</t>
  </si>
  <si>
    <t>ESF - IVA por pagar</t>
  </si>
  <si>
    <t>Artículo 420 del E.T.</t>
  </si>
  <si>
    <t>DB - ER - Pérdida en venta de PPyEq</t>
  </si>
  <si>
    <t>CR - ER - Utilidad en venta de PPyEq</t>
  </si>
  <si>
    <t>ESF - Propiedades, planta y equipo</t>
  </si>
  <si>
    <t>Reversión del efecto del impuesto diferido al momento de la venta:</t>
  </si>
  <si>
    <t>Artículos 196 del E.T.</t>
  </si>
  <si>
    <t>- Renta líquida por "recuperación de deducciones"</t>
  </si>
  <si>
    <t>DB - ESF - Pasivos por impuestos diferidos</t>
  </si>
  <si>
    <t>Artículos 299 y 300 del E.T.</t>
  </si>
  <si>
    <t>- Ganancia ocasional</t>
  </si>
  <si>
    <t>Ejercicio 4</t>
  </si>
  <si>
    <t>2 de enero de 2020</t>
  </si>
  <si>
    <t>Adquisición de terreno</t>
  </si>
  <si>
    <t>Modelo de medición posterior</t>
  </si>
  <si>
    <t>Modelo de revaluación</t>
  </si>
  <si>
    <t>=&gt; Terrenos</t>
  </si>
  <si>
    <t>Determinación del valor razonable al 31.12.2020</t>
  </si>
  <si>
    <t>Modelo del costo</t>
  </si>
  <si>
    <t>La entidad hizo un avalúo técnico y el VR fue:</t>
  </si>
  <si>
    <t>Costo de adquisición</t>
  </si>
  <si>
    <t>Valor revaluado (Valor razonable)</t>
  </si>
  <si>
    <t>- Depreciación acumulada</t>
  </si>
  <si>
    <t>- Deterioro de valor</t>
  </si>
  <si>
    <t>Registro de la revaluación:</t>
  </si>
  <si>
    <t>Artículos 21-1 y 28 del E.T.</t>
  </si>
  <si>
    <t>=&gt; Terrenos, revaluación</t>
  </si>
  <si>
    <t>Artículos 59 y 105 del E.T.</t>
  </si>
  <si>
    <t>CR - ESF - Patrimonio (ORI)</t>
  </si>
  <si>
    <t>=&gt; Superávit de revaluación</t>
  </si>
  <si>
    <t>Saldos al 31 de diciembre de 2020:</t>
  </si>
  <si>
    <r>
      <rPr>
        <sz val="12"/>
        <color rgb="FFFF0000"/>
        <rFont val="Calibri (Cuerpo)_x0000_"/>
      </rPr>
      <t>*</t>
    </r>
    <r>
      <rPr>
        <sz val="12"/>
        <color theme="1"/>
        <rFont val="Calibri"/>
        <family val="2"/>
        <scheme val="minor"/>
      </rPr>
      <t xml:space="preserve"> Párrafo 29.30 de la NIIF para las Pymes</t>
    </r>
  </si>
  <si>
    <t>Costo del terreno</t>
  </si>
  <si>
    <r>
      <t xml:space="preserve">Temporaria </t>
    </r>
    <r>
      <rPr>
        <sz val="12"/>
        <color rgb="FFFF0000"/>
        <rFont val="Calibri (Cuerpo)_x0000_"/>
      </rPr>
      <t>*</t>
    </r>
  </si>
  <si>
    <t>Es un PPyEq y se tiene la intención de conservarlo por más de 2 años</t>
  </si>
  <si>
    <t>Ganancia ocasional</t>
  </si>
  <si>
    <t>DB - ESF - Patrimonio (ORI)</t>
  </si>
  <si>
    <t>=&gt; Superávit de revaluación, imp diferido</t>
  </si>
  <si>
    <t>Determinación del valor razonable al 31.12.2021</t>
  </si>
  <si>
    <t>DB - ER - Deterioro de valor de PPyEQ</t>
  </si>
  <si>
    <t>Saldos al 31 de diciembre de 2021:</t>
  </si>
  <si>
    <t>Permanente</t>
  </si>
  <si>
    <t>Registros contables: Reversión del efecto del impuesto diferido del año 2020</t>
  </si>
  <si>
    <t>Artículos 90 y 149 del E.T.</t>
  </si>
  <si>
    <t>Comentarios:</t>
  </si>
  <si>
    <t>Respecto a una venta del terreno durante el año 2022, se presentarían los siguientes escenarios:</t>
  </si>
  <si>
    <t>Escenario 1</t>
  </si>
  <si>
    <t>Se vende el activo por valor de:</t>
  </si>
  <si>
    <t>Pérdida</t>
  </si>
  <si>
    <t>Bajo NIIF, se reconoce la baja del activo y se registra la pérdida por venta de PPyEQ</t>
  </si>
  <si>
    <t>Pérdida no aceptada fiscalmente</t>
  </si>
  <si>
    <t>Escenario 2</t>
  </si>
  <si>
    <t>Utilidad</t>
  </si>
  <si>
    <t>Bajo NIIF, se reconoce la baja del activo y se registra la utilidad por venta de PPyEQ</t>
  </si>
  <si>
    <t>Ganancia ocasional (más de 2 años)</t>
  </si>
  <si>
    <t>y el impuesto de ganancia ocasional de:</t>
  </si>
  <si>
    <t>PROPIEDADES DE INVERSIÓN</t>
  </si>
  <si>
    <t>Ejercicio 5</t>
  </si>
  <si>
    <t>Adquisición de bodega</t>
  </si>
  <si>
    <t>Modelo del valor razonable</t>
  </si>
  <si>
    <t>Vida útil "técnicamente" establecida:</t>
  </si>
  <si>
    <t>DB - ESF - Propiedades de inversión</t>
  </si>
  <si>
    <t>=&gt; Bodega</t>
  </si>
  <si>
    <t>Registro de valor razonable:</t>
  </si>
  <si>
    <t>Valor técnico residual:</t>
  </si>
  <si>
    <t>CR - ER - (Ganancias) pérdidas por VR de PI</t>
  </si>
  <si>
    <t>Registro de la depreciación: (Año 2020)</t>
  </si>
  <si>
    <t>CR - ESF - Propiedades de inversión</t>
  </si>
  <si>
    <t>=&gt; Depreciación Acum Bodega</t>
  </si>
  <si>
    <t>Propiedades de inversión</t>
  </si>
  <si>
    <t>Costo de la bodega</t>
  </si>
  <si>
    <t>* No aplica</t>
  </si>
  <si>
    <t>Ajuste valor razonable</t>
  </si>
  <si>
    <t>Es un PdI sobre la que se tiene la intención de conservarla a largo plazo (80 años)</t>
  </si>
  <si>
    <t>y en el momento de su venta, se tendrá que considerar el pago de más impuestos</t>
  </si>
  <si>
    <t>(En el momento de la venta, recuperación de deducciones - depreciación 31%)</t>
  </si>
  <si>
    <t>Impuesto de renta diferido: (depreciación)</t>
  </si>
  <si>
    <t>Impuesto de renta diferido: (valor razonable)</t>
  </si>
  <si>
    <t>Registro de la depreciación: (Año 2021)</t>
  </si>
  <si>
    <t>(En el momento de la venta, recuperación de deducciones - depreciación 35%)</t>
  </si>
  <si>
    <t>Impuesto de renta diferido: (depreciación) reversión año 2020</t>
  </si>
  <si>
    <t>Impuesto de renta diferido: (valor razonable) reversión año 2020</t>
  </si>
  <si>
    <t>Impuesto de renta diferido: (depreciación) reconocimiento año 2021</t>
  </si>
  <si>
    <t>Impuesto de renta diferido: (valor razonable) reconocimiento año 2021</t>
  </si>
  <si>
    <t>Determinación del valor razonable al 31.12.2022</t>
  </si>
  <si>
    <t>DB - ER - (Ganancias) pérdidas por VR de PI</t>
  </si>
  <si>
    <t>Registro reajuste fiscal - avalúo catastral: (Año 2022)</t>
  </si>
  <si>
    <t>Avalúo catastral</t>
  </si>
  <si>
    <t>CR - ESF - Patrimonio líquido</t>
  </si>
  <si>
    <t>Reajuste fiscal</t>
  </si>
  <si>
    <t>Artículo 72 de E.T.</t>
  </si>
  <si>
    <t>Impuesto de renta diferido: (depreciación) reversión año 2021</t>
  </si>
  <si>
    <t>Impuesto de renta diferido: (valor razonable) reversión año 2021</t>
  </si>
  <si>
    <t>Impuesto de renta diferido: (depreciación) reconocimiento año 2022</t>
  </si>
  <si>
    <t>Impuesto de renta diferido: (valor razonable) reconocimiento año 2022</t>
  </si>
  <si>
    <t>Respecto a una venta de la bodega en el año 2022, se presentan los siguientes escenarios:</t>
  </si>
  <si>
    <t>Bajo NIIF, se reconoce la baja del activo y se registra la pérdida por venta de PdeI</t>
  </si>
  <si>
    <t>Utilidad en venta</t>
  </si>
  <si>
    <t>Recuperación de deducciones</t>
  </si>
  <si>
    <t>Escenario 3</t>
  </si>
  <si>
    <t>Bajo NIIF, se reconoce la baja del activo y se registra la utilidad por venta de PdeI</t>
  </si>
  <si>
    <t>Desde el punto de vista fiscal, el tratamiento corresponde al de la venta de un</t>
  </si>
  <si>
    <t>activo fijo poseído por más de dos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</si>
</sst>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\(#,##0\)"/>
    <numFmt numFmtId="165" formatCode="#,##0;\(#,##0\)"/>
  </numFmts>
  <fonts count="1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Calibri (Cuerpo)_x0000_"/>
    </font>
    <font>
      <i/>
      <sz val="12"/>
      <color rgb="FFFF0000"/>
      <name val="Calibri"/>
      <family val="2"/>
      <scheme val="minor"/>
    </font>
    <font>
      <sz val="12"/>
      <color rgb="FFFF0000"/>
      <name val="Calibri (Cuerpo)_x0000_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164" fontId="0" fillId="2" borderId="0" xfId="0" applyNumberFormat="1" applyFill="1"/>
    <xf numFmtId="164" fontId="3" fillId="2" borderId="0" xfId="0" applyNumberFormat="1" applyFont="1" applyFill="1"/>
    <xf numFmtId="164" fontId="5" fillId="2" borderId="0" xfId="0" applyNumberFormat="1" applyFont="1" applyFill="1"/>
    <xf numFmtId="164" fontId="0" fillId="2" borderId="1" xfId="0" applyNumberFormat="1" applyFont="1" applyFill="1" applyBorder="1"/>
    <xf numFmtId="164" fontId="0" fillId="2" borderId="2" xfId="0" applyNumberFormat="1" applyFont="1" applyFill="1" applyBorder="1"/>
    <xf numFmtId="164" fontId="0" fillId="2" borderId="3" xfId="0" applyNumberFormat="1" applyFont="1" applyFill="1" applyBorder="1"/>
    <xf numFmtId="164" fontId="0" fillId="2" borderId="4" xfId="0" quotePrefix="1" applyNumberFormat="1" applyFont="1" applyFill="1" applyBorder="1"/>
    <xf numFmtId="164" fontId="0" fillId="2" borderId="0" xfId="0" applyNumberFormat="1" applyFont="1" applyFill="1" applyBorder="1"/>
    <xf numFmtId="164" fontId="0" fillId="2" borderId="5" xfId="0" applyNumberFormat="1" applyFont="1" applyFill="1" applyBorder="1"/>
    <xf numFmtId="164" fontId="0" fillId="2" borderId="4" xfId="0" applyNumberFormat="1" applyFont="1" applyFill="1" applyBorder="1"/>
    <xf numFmtId="164" fontId="7" fillId="2" borderId="0" xfId="0" applyNumberFormat="1" applyFont="1" applyFill="1"/>
    <xf numFmtId="164" fontId="0" fillId="2" borderId="6" xfId="0" applyNumberFormat="1" applyFont="1" applyFill="1" applyBorder="1"/>
    <xf numFmtId="164" fontId="0" fillId="2" borderId="7" xfId="0" applyNumberFormat="1" applyFont="1" applyFill="1" applyBorder="1"/>
    <xf numFmtId="165" fontId="0" fillId="2" borderId="8" xfId="0" applyNumberFormat="1" applyFont="1" applyFill="1" applyBorder="1"/>
    <xf numFmtId="164" fontId="5" fillId="2" borderId="0" xfId="0" applyNumberFormat="1" applyFont="1" applyFill="1" applyAlignment="1">
      <alignment horizontal="center"/>
    </xf>
    <xf numFmtId="10" fontId="0" fillId="2" borderId="0" xfId="1" applyNumberFormat="1" applyFont="1" applyFill="1" applyAlignment="1">
      <alignment horizontal="center"/>
    </xf>
    <xf numFmtId="164" fontId="0" fillId="2" borderId="6" xfId="0" quotePrefix="1" applyNumberFormat="1" applyFont="1" applyFill="1" applyBorder="1"/>
    <xf numFmtId="164" fontId="0" fillId="2" borderId="0" xfId="0" applyNumberFormat="1" applyFont="1" applyFill="1"/>
    <xf numFmtId="165" fontId="0" fillId="2" borderId="7" xfId="0" applyNumberFormat="1" applyFont="1" applyFill="1" applyBorder="1"/>
    <xf numFmtId="10" fontId="0" fillId="3" borderId="0" xfId="1" applyNumberFormat="1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165" fontId="0" fillId="2" borderId="9" xfId="0" applyNumberFormat="1" applyFont="1" applyFill="1" applyBorder="1"/>
    <xf numFmtId="165" fontId="0" fillId="2" borderId="10" xfId="0" applyNumberFormat="1" applyFont="1" applyFill="1" applyBorder="1"/>
    <xf numFmtId="9" fontId="1" fillId="2" borderId="10" xfId="1" applyFont="1" applyFill="1" applyBorder="1" applyAlignment="1">
      <alignment horizontal="center"/>
    </xf>
    <xf numFmtId="165" fontId="0" fillId="2" borderId="11" xfId="0" applyNumberFormat="1" applyFont="1" applyFill="1" applyBorder="1"/>
    <xf numFmtId="164" fontId="0" fillId="2" borderId="9" xfId="0" applyNumberFormat="1" applyFont="1" applyFill="1" applyBorder="1"/>
    <xf numFmtId="164" fontId="0" fillId="2" borderId="11" xfId="0" applyNumberFormat="1" applyFont="1" applyFill="1" applyBorder="1"/>
    <xf numFmtId="164" fontId="0" fillId="2" borderId="1" xfId="0" applyNumberFormat="1" applyFill="1" applyBorder="1"/>
    <xf numFmtId="164" fontId="0" fillId="2" borderId="2" xfId="0" applyNumberFormat="1" applyFill="1" applyBorder="1"/>
    <xf numFmtId="164" fontId="0" fillId="2" borderId="3" xfId="0" applyNumberFormat="1" applyFill="1" applyBorder="1"/>
    <xf numFmtId="165" fontId="0" fillId="2" borderId="12" xfId="0" applyNumberFormat="1" applyFont="1" applyFill="1" applyBorder="1"/>
    <xf numFmtId="164" fontId="0" fillId="2" borderId="4" xfId="0" applyNumberFormat="1" applyFill="1" applyBorder="1"/>
    <xf numFmtId="164" fontId="0" fillId="2" borderId="0" xfId="0" applyNumberFormat="1" applyFill="1" applyBorder="1"/>
    <xf numFmtId="164" fontId="3" fillId="2" borderId="0" xfId="0" applyNumberFormat="1" applyFont="1" applyFill="1" applyBorder="1" applyAlignment="1">
      <alignment horizontal="center"/>
    </xf>
    <xf numFmtId="164" fontId="3" fillId="2" borderId="5" xfId="0" applyNumberFormat="1" applyFont="1" applyFill="1" applyBorder="1" applyAlignment="1">
      <alignment horizontal="center"/>
    </xf>
    <xf numFmtId="164" fontId="0" fillId="2" borderId="8" xfId="0" applyNumberFormat="1" applyFont="1" applyFill="1" applyBorder="1"/>
    <xf numFmtId="164" fontId="3" fillId="2" borderId="4" xfId="0" applyNumberFormat="1" applyFon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9" fontId="0" fillId="2" borderId="0" xfId="1" applyFont="1" applyFill="1" applyBorder="1"/>
    <xf numFmtId="164" fontId="0" fillId="2" borderId="5" xfId="0" applyNumberFormat="1" applyFill="1" applyBorder="1"/>
    <xf numFmtId="164" fontId="2" fillId="2" borderId="5" xfId="0" applyNumberFormat="1" applyFont="1" applyFill="1" applyBorder="1"/>
    <xf numFmtId="164" fontId="0" fillId="2" borderId="6" xfId="0" applyNumberFormat="1" applyFill="1" applyBorder="1" applyAlignment="1">
      <alignment horizontal="center"/>
    </xf>
    <xf numFmtId="164" fontId="0" fillId="2" borderId="7" xfId="0" applyNumberFormat="1" applyFill="1" applyBorder="1"/>
    <xf numFmtId="9" fontId="0" fillId="2" borderId="7" xfId="1" applyFont="1" applyFill="1" applyBorder="1"/>
    <xf numFmtId="164" fontId="0" fillId="2" borderId="8" xfId="0" applyNumberFormat="1" applyFill="1" applyBorder="1"/>
    <xf numFmtId="164" fontId="0" fillId="2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164" fontId="0" fillId="2" borderId="10" xfId="0" applyNumberFormat="1" applyFont="1" applyFill="1" applyBorder="1"/>
    <xf numFmtId="9" fontId="1" fillId="2" borderId="10" xfId="1" applyNumberFormat="1" applyFont="1" applyFill="1" applyBorder="1" applyAlignment="1">
      <alignment horizontal="center"/>
    </xf>
    <xf numFmtId="165" fontId="0" fillId="2" borderId="5" xfId="0" applyNumberFormat="1" applyFont="1" applyFill="1" applyBorder="1"/>
    <xf numFmtId="164" fontId="5" fillId="2" borderId="0" xfId="0" quotePrefix="1" applyNumberFormat="1" applyFont="1" applyFill="1"/>
    <xf numFmtId="164" fontId="0" fillId="2" borderId="0" xfId="0" quotePrefix="1" applyNumberFormat="1" applyFill="1"/>
    <xf numFmtId="164" fontId="9" fillId="2" borderId="10" xfId="0" applyNumberFormat="1" applyFont="1" applyFill="1" applyBorder="1"/>
    <xf numFmtId="9" fontId="9" fillId="2" borderId="10" xfId="1" applyNumberFormat="1" applyFont="1" applyFill="1" applyBorder="1" applyAlignment="1">
      <alignment horizontal="center"/>
    </xf>
    <xf numFmtId="164" fontId="9" fillId="2" borderId="11" xfId="0" applyNumberFormat="1" applyFont="1" applyFill="1" applyBorder="1"/>
    <xf numFmtId="164" fontId="10" fillId="2" borderId="9" xfId="0" applyNumberFormat="1" applyFont="1" applyFill="1" applyBorder="1"/>
    <xf numFmtId="164" fontId="10" fillId="2" borderId="10" xfId="0" applyNumberFormat="1" applyFont="1" applyFill="1" applyBorder="1"/>
    <xf numFmtId="9" fontId="10" fillId="2" borderId="11" xfId="1" applyNumberFormat="1" applyFont="1" applyFill="1" applyBorder="1" applyAlignment="1">
      <alignment horizontal="center"/>
    </xf>
    <xf numFmtId="164" fontId="9" fillId="2" borderId="1" xfId="0" quotePrefix="1" applyNumberFormat="1" applyFont="1" applyFill="1" applyBorder="1"/>
    <xf numFmtId="164" fontId="9" fillId="2" borderId="2" xfId="0" applyNumberFormat="1" applyFont="1" applyFill="1" applyBorder="1"/>
    <xf numFmtId="164" fontId="9" fillId="2" borderId="3" xfId="0" applyNumberFormat="1" applyFont="1" applyFill="1" applyBorder="1"/>
    <xf numFmtId="164" fontId="9" fillId="2" borderId="1" xfId="0" applyNumberFormat="1" applyFont="1" applyFill="1" applyBorder="1"/>
    <xf numFmtId="164" fontId="9" fillId="2" borderId="4" xfId="0" quotePrefix="1" applyNumberFormat="1" applyFont="1" applyFill="1" applyBorder="1"/>
    <xf numFmtId="164" fontId="9" fillId="2" borderId="0" xfId="0" applyNumberFormat="1" applyFont="1" applyFill="1" applyBorder="1"/>
    <xf numFmtId="164" fontId="9" fillId="2" borderId="5" xfId="0" applyNumberFormat="1" applyFont="1" applyFill="1" applyBorder="1"/>
    <xf numFmtId="164" fontId="9" fillId="2" borderId="4" xfId="0" applyNumberFormat="1" applyFont="1" applyFill="1" applyBorder="1"/>
    <xf numFmtId="164" fontId="9" fillId="2" borderId="6" xfId="0" applyNumberFormat="1" applyFont="1" applyFill="1" applyBorder="1"/>
    <xf numFmtId="164" fontId="9" fillId="2" borderId="7" xfId="0" applyNumberFormat="1" applyFont="1" applyFill="1" applyBorder="1"/>
    <xf numFmtId="165" fontId="9" fillId="2" borderId="8" xfId="0" applyNumberFormat="1" applyFont="1" applyFill="1" applyBorder="1"/>
    <xf numFmtId="164" fontId="9" fillId="2" borderId="8" xfId="0" applyNumberFormat="1" applyFont="1" applyFill="1" applyBorder="1"/>
    <xf numFmtId="164" fontId="9" fillId="2" borderId="6" xfId="0" quotePrefix="1" applyNumberFormat="1" applyFont="1" applyFill="1" applyBorder="1"/>
    <xf numFmtId="164" fontId="9" fillId="2" borderId="0" xfId="0" applyNumberFormat="1" applyFont="1" applyFill="1"/>
    <xf numFmtId="164" fontId="11" fillId="2" borderId="0" xfId="0" applyNumberFormat="1" applyFont="1" applyFill="1"/>
    <xf numFmtId="165" fontId="9" fillId="2" borderId="9" xfId="0" applyNumberFormat="1" applyFont="1" applyFill="1" applyBorder="1"/>
    <xf numFmtId="164" fontId="0" fillId="2" borderId="13" xfId="0" applyNumberFormat="1" applyFill="1" applyBorder="1" applyAlignment="1">
      <alignment horizontal="center"/>
    </xf>
    <xf numFmtId="164" fontId="0" fillId="2" borderId="14" xfId="0" applyNumberForma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5" fontId="9" fillId="2" borderId="0" xfId="0" applyNumberFormat="1" applyFont="1" applyFill="1"/>
    <xf numFmtId="9" fontId="9" fillId="2" borderId="2" xfId="1" applyNumberFormat="1" applyFont="1" applyFill="1" applyBorder="1" applyAlignment="1">
      <alignment horizontal="center"/>
    </xf>
    <xf numFmtId="164" fontId="4" fillId="2" borderId="0" xfId="0" applyNumberFormat="1" applyFont="1" applyFill="1" applyBorder="1"/>
    <xf numFmtId="164" fontId="4" fillId="2" borderId="5" xfId="0" applyNumberFormat="1" applyFont="1" applyFill="1" applyBorder="1"/>
    <xf numFmtId="9" fontId="9" fillId="2" borderId="0" xfId="1" applyNumberFormat="1" applyFont="1" applyFill="1" applyBorder="1" applyAlignment="1">
      <alignment horizontal="center"/>
    </xf>
    <xf numFmtId="164" fontId="4" fillId="2" borderId="7" xfId="0" applyNumberFormat="1" applyFont="1" applyFill="1" applyBorder="1"/>
    <xf numFmtId="164" fontId="4" fillId="2" borderId="8" xfId="0" applyNumberFormat="1" applyFont="1" applyFill="1" applyBorder="1"/>
    <xf numFmtId="9" fontId="5" fillId="2" borderId="0" xfId="1" applyNumberFormat="1" applyFont="1" applyFill="1" applyAlignment="1">
      <alignment horizontal="center"/>
    </xf>
    <xf numFmtId="164" fontId="10" fillId="2" borderId="6" xfId="0" applyNumberFormat="1" applyFont="1" applyFill="1" applyBorder="1"/>
    <xf numFmtId="164" fontId="10" fillId="2" borderId="7" xfId="0" applyNumberFormat="1" applyFont="1" applyFill="1" applyBorder="1"/>
    <xf numFmtId="165" fontId="10" fillId="2" borderId="8" xfId="0" applyNumberFormat="1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25054-F451-F041-975F-E20B81986D7E}">
  <dimension ref="A1:N30"/>
  <sheetViews>
    <sheetView tabSelected="1" zoomScale="130" zoomScaleNormal="130" workbookViewId="0"/>
  </sheetViews>
  <sheetFormatPr baseColWidth="10" defaultColWidth="10.875" defaultRowHeight="15.75"/>
  <cols>
    <col min="1" max="3" width="10.875" style="1"/>
    <col min="4" max="4" width="16.5" style="1" customWidth="1"/>
    <col min="5" max="5" width="11.5" style="1" bestFit="1" customWidth="1"/>
    <col min="6" max="10" width="10.875" style="1"/>
    <col min="11" max="11" width="12.875" style="1" customWidth="1"/>
    <col min="12" max="12" width="11.5" style="1" bestFit="1" customWidth="1"/>
    <col min="13" max="16384" width="10.875" style="1"/>
  </cols>
  <sheetData>
    <row r="1" spans="1:13">
      <c r="B1" s="2" t="s">
        <v>0</v>
      </c>
    </row>
    <row r="3" spans="1:13">
      <c r="A3" s="2" t="s">
        <v>1</v>
      </c>
      <c r="B3" s="1" t="s">
        <v>2</v>
      </c>
      <c r="E3" s="1" t="s">
        <v>3</v>
      </c>
    </row>
    <row r="4" spans="1:13">
      <c r="B4" s="1" t="s">
        <v>4</v>
      </c>
      <c r="E4" s="1">
        <v>80000000</v>
      </c>
      <c r="H4" s="3" t="s">
        <v>5</v>
      </c>
    </row>
    <row r="5" spans="1:13">
      <c r="B5" s="1" t="s">
        <v>6</v>
      </c>
      <c r="E5" s="1">
        <f>E4*19%</f>
        <v>15200000</v>
      </c>
      <c r="H5" s="3" t="s">
        <v>7</v>
      </c>
    </row>
    <row r="6" spans="1:13">
      <c r="B6" s="1" t="s">
        <v>8</v>
      </c>
      <c r="E6" s="1">
        <v>8000000</v>
      </c>
    </row>
    <row r="7" spans="1:13">
      <c r="B7" s="1" t="s">
        <v>9</v>
      </c>
      <c r="E7" s="1">
        <v>15</v>
      </c>
      <c r="H7" s="3" t="s">
        <v>10</v>
      </c>
    </row>
    <row r="8" spans="1:13">
      <c r="H8" s="3" t="s">
        <v>11</v>
      </c>
    </row>
    <row r="9" spans="1:13">
      <c r="H9" s="3"/>
    </row>
    <row r="10" spans="1:13">
      <c r="B10" s="2" t="s">
        <v>12</v>
      </c>
      <c r="H10" s="2" t="s">
        <v>13</v>
      </c>
    </row>
    <row r="11" spans="1:13" s="3" customFormat="1">
      <c r="A11" s="3" t="s">
        <v>14</v>
      </c>
      <c r="H11" s="3" t="s">
        <v>14</v>
      </c>
    </row>
    <row r="12" spans="1:13" s="3" customFormat="1">
      <c r="B12" s="2" t="s">
        <v>15</v>
      </c>
      <c r="I12" s="2" t="s">
        <v>15</v>
      </c>
    </row>
    <row r="13" spans="1:13">
      <c r="B13" s="4" t="s">
        <v>16</v>
      </c>
      <c r="C13" s="5"/>
      <c r="D13" s="5"/>
      <c r="E13" s="6"/>
      <c r="I13" s="4" t="s">
        <v>16</v>
      </c>
      <c r="J13" s="5"/>
      <c r="K13" s="5"/>
      <c r="L13" s="6"/>
    </row>
    <row r="14" spans="1:13">
      <c r="B14" s="7" t="s">
        <v>17</v>
      </c>
      <c r="C14" s="8"/>
      <c r="D14" s="8"/>
      <c r="E14" s="9">
        <f>E4</f>
        <v>80000000</v>
      </c>
      <c r="I14" s="7" t="s">
        <v>17</v>
      </c>
      <c r="J14" s="8"/>
      <c r="K14" s="8"/>
      <c r="L14" s="9">
        <f>E14</f>
        <v>80000000</v>
      </c>
    </row>
    <row r="15" spans="1:13">
      <c r="B15" s="10" t="s">
        <v>18</v>
      </c>
      <c r="C15" s="8"/>
      <c r="D15" s="8"/>
      <c r="E15" s="9"/>
      <c r="I15" s="10" t="s">
        <v>18</v>
      </c>
      <c r="J15" s="8"/>
      <c r="K15" s="8"/>
      <c r="L15" s="9"/>
    </row>
    <row r="16" spans="1:13">
      <c r="B16" s="7" t="s">
        <v>19</v>
      </c>
      <c r="C16" s="8"/>
      <c r="D16" s="8"/>
      <c r="E16" s="9">
        <f>E5</f>
        <v>15200000</v>
      </c>
      <c r="I16" s="7" t="s">
        <v>20</v>
      </c>
      <c r="J16" s="8"/>
      <c r="K16" s="8"/>
      <c r="L16" s="9">
        <f t="shared" ref="L16:L17" si="0">E16</f>
        <v>15200000</v>
      </c>
      <c r="M16" s="11" t="s">
        <v>21</v>
      </c>
    </row>
    <row r="17" spans="1:14">
      <c r="B17" s="12" t="s">
        <v>22</v>
      </c>
      <c r="C17" s="13"/>
      <c r="D17" s="13"/>
      <c r="E17" s="14">
        <f>-E14-E16</f>
        <v>-95200000</v>
      </c>
      <c r="I17" s="12" t="s">
        <v>22</v>
      </c>
      <c r="J17" s="13"/>
      <c r="K17" s="13"/>
      <c r="L17" s="14">
        <f t="shared" si="0"/>
        <v>-95200000</v>
      </c>
    </row>
    <row r="19" spans="1:14" s="3" customFormat="1">
      <c r="B19" s="2" t="s">
        <v>23</v>
      </c>
      <c r="I19" s="2" t="s">
        <v>23</v>
      </c>
      <c r="N19" s="15" t="s">
        <v>24</v>
      </c>
    </row>
    <row r="20" spans="1:14">
      <c r="B20" s="4" t="s">
        <v>25</v>
      </c>
      <c r="C20" s="5"/>
      <c r="D20" s="5"/>
      <c r="E20" s="6">
        <f>(E4-E6)/E7</f>
        <v>4800000</v>
      </c>
      <c r="I20" s="4" t="s">
        <v>25</v>
      </c>
      <c r="J20" s="5"/>
      <c r="K20" s="5"/>
      <c r="L20" s="6">
        <f>(E4-E6)*N20</f>
        <v>4800000</v>
      </c>
      <c r="N20" s="16">
        <f>(100/E7)/100</f>
        <v>6.6666666666666666E-2</v>
      </c>
    </row>
    <row r="21" spans="1:14">
      <c r="B21" s="10" t="s">
        <v>26</v>
      </c>
      <c r="C21" s="8"/>
      <c r="D21" s="8"/>
      <c r="E21" s="9"/>
      <c r="I21" s="10" t="s">
        <v>26</v>
      </c>
      <c r="J21" s="8"/>
      <c r="K21" s="8"/>
      <c r="L21" s="9"/>
    </row>
    <row r="22" spans="1:14">
      <c r="B22" s="17" t="s">
        <v>27</v>
      </c>
      <c r="C22" s="13"/>
      <c r="D22" s="13"/>
      <c r="E22" s="14">
        <f>-E20</f>
        <v>-4800000</v>
      </c>
      <c r="I22" s="17" t="s">
        <v>27</v>
      </c>
      <c r="J22" s="13"/>
      <c r="K22" s="13"/>
      <c r="L22" s="14">
        <f>E22</f>
        <v>-4800000</v>
      </c>
    </row>
    <row r="24" spans="1:14">
      <c r="A24" s="2" t="s">
        <v>28</v>
      </c>
    </row>
    <row r="25" spans="1:14">
      <c r="B25" s="1" t="s">
        <v>29</v>
      </c>
      <c r="I25" s="1" t="s">
        <v>29</v>
      </c>
    </row>
    <row r="26" spans="1:14">
      <c r="C26" s="1" t="s">
        <v>30</v>
      </c>
      <c r="E26" s="18">
        <f>E14</f>
        <v>80000000</v>
      </c>
      <c r="J26" s="1" t="s">
        <v>30</v>
      </c>
      <c r="L26" s="18">
        <f>L14</f>
        <v>80000000</v>
      </c>
    </row>
    <row r="27" spans="1:14">
      <c r="C27" s="1" t="s">
        <v>31</v>
      </c>
      <c r="E27" s="19">
        <f>E22</f>
        <v>-4800000</v>
      </c>
      <c r="J27" s="1" t="s">
        <v>31</v>
      </c>
      <c r="L27" s="19">
        <f>L22</f>
        <v>-4800000</v>
      </c>
    </row>
    <row r="28" spans="1:14">
      <c r="E28" s="2">
        <f>SUM(E26:E27)</f>
        <v>75200000</v>
      </c>
      <c r="L28" s="2">
        <f>SUM(L26:L27)</f>
        <v>75200000</v>
      </c>
    </row>
    <row r="30" spans="1:14">
      <c r="B30" s="3" t="s">
        <v>32</v>
      </c>
    </row>
  </sheetData>
  <sheetProtection algorithmName="SHA-512" hashValue="SwzHC0ysAAoTY7TBLlQV3EhDO/r5UeuW/gkHFuM0AtkEorw5UdGoB5s8k67whUOXi0wZQdzi9Y3dy4Az032dsg==" saltValue="hR5/RF19KMX9vYvxzUFm/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FDB96-2A1F-8346-B621-D40BB847EB5F}">
  <dimension ref="A1:T34"/>
  <sheetViews>
    <sheetView zoomScale="130" zoomScaleNormal="130" workbookViewId="0"/>
  </sheetViews>
  <sheetFormatPr baseColWidth="10" defaultColWidth="10.875" defaultRowHeight="15.75"/>
  <cols>
    <col min="1" max="3" width="10.875" style="1"/>
    <col min="4" max="4" width="16.5" style="1" customWidth="1"/>
    <col min="5" max="5" width="11.5" style="1" bestFit="1" customWidth="1"/>
    <col min="6" max="10" width="10.875" style="1"/>
    <col min="11" max="11" width="14.875" style="1" customWidth="1"/>
    <col min="12" max="12" width="11.5" style="1" bestFit="1" customWidth="1"/>
    <col min="13" max="14" width="10.875" style="1"/>
    <col min="15" max="16" width="14.5" style="1" customWidth="1"/>
    <col min="17" max="18" width="10.875" style="1"/>
    <col min="19" max="20" width="11.625" style="1" bestFit="1" customWidth="1"/>
    <col min="21" max="16384" width="10.875" style="1"/>
  </cols>
  <sheetData>
    <row r="1" spans="1:14">
      <c r="B1" s="2" t="s">
        <v>0</v>
      </c>
    </row>
    <row r="3" spans="1:14">
      <c r="A3" s="2" t="s">
        <v>33</v>
      </c>
      <c r="B3" s="1" t="s">
        <v>2</v>
      </c>
      <c r="E3" s="1" t="s">
        <v>3</v>
      </c>
    </row>
    <row r="4" spans="1:14">
      <c r="B4" s="1" t="s">
        <v>34</v>
      </c>
      <c r="E4" s="1">
        <v>3000000</v>
      </c>
      <c r="F4" s="3" t="s">
        <v>35</v>
      </c>
    </row>
    <row r="5" spans="1:14">
      <c r="B5" s="1" t="s">
        <v>8</v>
      </c>
      <c r="E5" s="1">
        <v>0</v>
      </c>
      <c r="F5" s="3" t="s">
        <v>36</v>
      </c>
    </row>
    <row r="6" spans="1:14">
      <c r="B6" s="1" t="s">
        <v>9</v>
      </c>
      <c r="E6" s="1">
        <v>3</v>
      </c>
    </row>
    <row r="8" spans="1:14">
      <c r="B8" s="2" t="s">
        <v>12</v>
      </c>
      <c r="H8" s="2" t="s">
        <v>13</v>
      </c>
    </row>
    <row r="9" spans="1:14" s="3" customFormat="1">
      <c r="A9" s="3" t="s">
        <v>14</v>
      </c>
      <c r="H9" s="3" t="s">
        <v>14</v>
      </c>
    </row>
    <row r="10" spans="1:14" s="3" customFormat="1">
      <c r="B10" s="2" t="s">
        <v>15</v>
      </c>
      <c r="I10" s="2" t="s">
        <v>15</v>
      </c>
    </row>
    <row r="11" spans="1:14">
      <c r="B11" s="4" t="s">
        <v>16</v>
      </c>
      <c r="C11" s="5"/>
      <c r="D11" s="5"/>
      <c r="E11" s="6"/>
      <c r="I11" s="4" t="s">
        <v>16</v>
      </c>
      <c r="J11" s="5"/>
      <c r="K11" s="5"/>
      <c r="L11" s="6"/>
    </row>
    <row r="12" spans="1:14">
      <c r="B12" s="7" t="s">
        <v>37</v>
      </c>
      <c r="C12" s="8"/>
      <c r="D12" s="8"/>
      <c r="E12" s="9">
        <f>E4</f>
        <v>3000000</v>
      </c>
      <c r="I12" s="7" t="s">
        <v>37</v>
      </c>
      <c r="J12" s="8"/>
      <c r="K12" s="8"/>
      <c r="L12" s="9">
        <f>E12</f>
        <v>3000000</v>
      </c>
    </row>
    <row r="13" spans="1:14">
      <c r="B13" s="12" t="s">
        <v>22</v>
      </c>
      <c r="C13" s="13"/>
      <c r="D13" s="13"/>
      <c r="E13" s="14">
        <f>-E12</f>
        <v>-3000000</v>
      </c>
      <c r="I13" s="12" t="s">
        <v>22</v>
      </c>
      <c r="J13" s="13"/>
      <c r="K13" s="13"/>
      <c r="L13" s="14">
        <f>E13</f>
        <v>-3000000</v>
      </c>
    </row>
    <row r="15" spans="1:14" s="3" customFormat="1">
      <c r="B15" s="2" t="s">
        <v>23</v>
      </c>
      <c r="I15" s="2" t="s">
        <v>23</v>
      </c>
      <c r="N15" s="15" t="s">
        <v>24</v>
      </c>
    </row>
    <row r="16" spans="1:14">
      <c r="B16" s="4" t="s">
        <v>25</v>
      </c>
      <c r="C16" s="5"/>
      <c r="D16" s="5"/>
      <c r="E16" s="6">
        <f>(E4-E5)/E6</f>
        <v>1000000</v>
      </c>
      <c r="I16" s="4" t="s">
        <v>25</v>
      </c>
      <c r="J16" s="5"/>
      <c r="K16" s="5"/>
      <c r="L16" s="6">
        <f>(E4-E5)*N16</f>
        <v>600000</v>
      </c>
      <c r="N16" s="16">
        <f>(100/5)/100</f>
        <v>0.2</v>
      </c>
    </row>
    <row r="17" spans="1:20">
      <c r="B17" s="10" t="s">
        <v>26</v>
      </c>
      <c r="C17" s="8"/>
      <c r="D17" s="8"/>
      <c r="E17" s="9"/>
      <c r="I17" s="10" t="s">
        <v>26</v>
      </c>
      <c r="J17" s="8"/>
      <c r="K17" s="8"/>
      <c r="L17" s="9"/>
      <c r="N17" s="20">
        <f>(100/E6)/100</f>
        <v>0.33333333333333337</v>
      </c>
      <c r="O17" s="1" t="s">
        <v>38</v>
      </c>
    </row>
    <row r="18" spans="1:20">
      <c r="B18" s="17" t="s">
        <v>39</v>
      </c>
      <c r="C18" s="13"/>
      <c r="D18" s="13"/>
      <c r="E18" s="14">
        <f>-E16</f>
        <v>-1000000</v>
      </c>
      <c r="I18" s="17" t="s">
        <v>39</v>
      </c>
      <c r="J18" s="13"/>
      <c r="K18" s="13"/>
      <c r="L18" s="14">
        <f>-L16</f>
        <v>-600000</v>
      </c>
    </row>
    <row r="20" spans="1:20">
      <c r="A20" s="2" t="s">
        <v>28</v>
      </c>
    </row>
    <row r="21" spans="1:20">
      <c r="B21" s="1" t="s">
        <v>29</v>
      </c>
      <c r="I21" s="1" t="s">
        <v>29</v>
      </c>
      <c r="N21" s="21" t="s">
        <v>40</v>
      </c>
      <c r="O21" s="21" t="s">
        <v>41</v>
      </c>
      <c r="P21" s="21" t="s">
        <v>42</v>
      </c>
      <c r="Q21" s="21" t="s">
        <v>43</v>
      </c>
      <c r="R21" s="21" t="s">
        <v>44</v>
      </c>
    </row>
    <row r="22" spans="1:20">
      <c r="C22" s="1" t="s">
        <v>45</v>
      </c>
      <c r="E22" s="18">
        <f>E12</f>
        <v>3000000</v>
      </c>
      <c r="J22" s="1" t="s">
        <v>45</v>
      </c>
      <c r="L22" s="18">
        <f>L12</f>
        <v>3000000</v>
      </c>
    </row>
    <row r="23" spans="1:20">
      <c r="C23" s="1" t="s">
        <v>31</v>
      </c>
      <c r="E23" s="19">
        <f>E18</f>
        <v>-1000000</v>
      </c>
      <c r="J23" s="1" t="s">
        <v>31</v>
      </c>
      <c r="L23" s="19">
        <f>L18</f>
        <v>-600000</v>
      </c>
    </row>
    <row r="24" spans="1:20">
      <c r="E24" s="2">
        <f>SUM(E22:E23)</f>
        <v>2000000</v>
      </c>
      <c r="L24" s="2">
        <f>SUM(L22:L23)</f>
        <v>2400000</v>
      </c>
      <c r="N24" s="22">
        <f>E24-L24</f>
        <v>-400000</v>
      </c>
      <c r="O24" s="23" t="s">
        <v>46</v>
      </c>
      <c r="P24" s="23" t="s">
        <v>47</v>
      </c>
      <c r="Q24" s="24">
        <v>0.35</v>
      </c>
      <c r="R24" s="25">
        <f>N24*Q24</f>
        <v>-140000</v>
      </c>
    </row>
    <row r="25" spans="1:20">
      <c r="Q25" s="26" t="s">
        <v>48</v>
      </c>
      <c r="R25" s="27"/>
    </row>
    <row r="26" spans="1:20">
      <c r="A26" s="3" t="s">
        <v>14</v>
      </c>
    </row>
    <row r="27" spans="1:20">
      <c r="B27" s="2" t="s">
        <v>49</v>
      </c>
      <c r="E27" s="21" t="s">
        <v>50</v>
      </c>
      <c r="N27" s="28" t="s">
        <v>51</v>
      </c>
      <c r="O27" s="29"/>
      <c r="P27" s="29"/>
      <c r="Q27" s="29"/>
      <c r="R27" s="29"/>
      <c r="S27" s="29"/>
      <c r="T27" s="30"/>
    </row>
    <row r="28" spans="1:20">
      <c r="B28" s="4" t="s">
        <v>52</v>
      </c>
      <c r="C28" s="5"/>
      <c r="D28" s="5"/>
      <c r="E28" s="6">
        <f>-R24</f>
        <v>140000</v>
      </c>
      <c r="F28" s="31">
        <f>E28*3</f>
        <v>420000</v>
      </c>
      <c r="I28" s="4" t="s">
        <v>53</v>
      </c>
      <c r="J28" s="5"/>
      <c r="K28" s="5"/>
      <c r="L28" s="6"/>
      <c r="N28" s="32"/>
      <c r="O28" s="33"/>
      <c r="P28" s="33"/>
      <c r="Q28" s="33"/>
      <c r="R28" s="33"/>
      <c r="S28" s="34" t="s">
        <v>54</v>
      </c>
      <c r="T28" s="35" t="s">
        <v>55</v>
      </c>
    </row>
    <row r="29" spans="1:20">
      <c r="B29" s="12" t="s">
        <v>56</v>
      </c>
      <c r="C29" s="13"/>
      <c r="D29" s="13"/>
      <c r="E29" s="14">
        <f>-E28</f>
        <v>-140000</v>
      </c>
      <c r="I29" s="12"/>
      <c r="J29" s="13"/>
      <c r="K29" s="13"/>
      <c r="L29" s="36"/>
      <c r="N29" s="37" t="s">
        <v>57</v>
      </c>
      <c r="O29" s="34" t="s">
        <v>58</v>
      </c>
      <c r="P29" s="34" t="s">
        <v>59</v>
      </c>
      <c r="Q29" s="34" t="s">
        <v>40</v>
      </c>
      <c r="R29" s="34" t="s">
        <v>43</v>
      </c>
      <c r="S29" s="34" t="s">
        <v>44</v>
      </c>
      <c r="T29" s="35" t="s">
        <v>44</v>
      </c>
    </row>
    <row r="30" spans="1:20">
      <c r="N30" s="38">
        <v>1</v>
      </c>
      <c r="O30" s="33">
        <f>E24</f>
        <v>2000000</v>
      </c>
      <c r="P30" s="33">
        <f>L24</f>
        <v>2400000</v>
      </c>
      <c r="Q30" s="33">
        <f>P30-O30</f>
        <v>400000</v>
      </c>
      <c r="R30" s="39">
        <v>0.35</v>
      </c>
      <c r="S30" s="33">
        <f>T30</f>
        <v>140000</v>
      </c>
      <c r="T30" s="40">
        <f>Q30*R30</f>
        <v>140000</v>
      </c>
    </row>
    <row r="31" spans="1:20">
      <c r="B31" s="2" t="s">
        <v>49</v>
      </c>
      <c r="E31" s="21" t="s">
        <v>60</v>
      </c>
      <c r="N31" s="38">
        <v>2</v>
      </c>
      <c r="O31" s="33">
        <f>$E$22+$E$23*2</f>
        <v>1000000</v>
      </c>
      <c r="P31" s="33">
        <f>$L$22+($L$23*2)</f>
        <v>1800000</v>
      </c>
      <c r="Q31" s="33">
        <f>P31-O31</f>
        <v>800000</v>
      </c>
      <c r="R31" s="39">
        <v>0.35</v>
      </c>
      <c r="S31" s="33">
        <f>T31-S30</f>
        <v>140000</v>
      </c>
      <c r="T31" s="40">
        <f>Q31*R31</f>
        <v>280000</v>
      </c>
    </row>
    <row r="32" spans="1:20">
      <c r="B32" s="4" t="s">
        <v>61</v>
      </c>
      <c r="C32" s="5"/>
      <c r="D32" s="5"/>
      <c r="E32" s="6">
        <f>-S33</f>
        <v>210000</v>
      </c>
      <c r="N32" s="38">
        <v>3</v>
      </c>
      <c r="O32" s="33">
        <f>$E$22+$E$23*3</f>
        <v>0</v>
      </c>
      <c r="P32" s="33">
        <f>$L$22+($L$23*3)</f>
        <v>1200000</v>
      </c>
      <c r="Q32" s="33">
        <f>P32-O32</f>
        <v>1200000</v>
      </c>
      <c r="R32" s="39">
        <v>0.35</v>
      </c>
      <c r="S32" s="33">
        <f>T32-T31</f>
        <v>140000</v>
      </c>
      <c r="T32" s="41">
        <f>Q32*R32</f>
        <v>420000</v>
      </c>
    </row>
    <row r="33" spans="2:20">
      <c r="B33" s="12" t="s">
        <v>62</v>
      </c>
      <c r="C33" s="13"/>
      <c r="D33" s="13"/>
      <c r="E33" s="14">
        <f>-E32</f>
        <v>-210000</v>
      </c>
      <c r="F33" s="31">
        <f>E33*2</f>
        <v>-420000</v>
      </c>
      <c r="N33" s="38">
        <v>4</v>
      </c>
      <c r="O33" s="33">
        <f>$E$22+$E$23*3</f>
        <v>0</v>
      </c>
      <c r="P33" s="33">
        <f>$L$22+($L$23*4)</f>
        <v>600000</v>
      </c>
      <c r="Q33" s="33">
        <f>P33-O33</f>
        <v>600000</v>
      </c>
      <c r="R33" s="39">
        <v>0.35</v>
      </c>
      <c r="S33" s="33">
        <f t="shared" ref="S33:S34" si="0">T33-T32</f>
        <v>-210000</v>
      </c>
      <c r="T33" s="40">
        <f>Q33*R33</f>
        <v>210000</v>
      </c>
    </row>
    <row r="34" spans="2:20">
      <c r="F34" s="1">
        <f>SUM(F28:F33)</f>
        <v>0</v>
      </c>
      <c r="N34" s="42">
        <v>5</v>
      </c>
      <c r="O34" s="43">
        <f>$E$22+$E$23*3</f>
        <v>0</v>
      </c>
      <c r="P34" s="43">
        <f>$L$22+($L$23*5)</f>
        <v>0</v>
      </c>
      <c r="Q34" s="43">
        <f>P34-O34</f>
        <v>0</v>
      </c>
      <c r="R34" s="44">
        <v>0.35</v>
      </c>
      <c r="S34" s="43">
        <f t="shared" si="0"/>
        <v>-210000</v>
      </c>
      <c r="T34" s="45">
        <f>Q34*R34</f>
        <v>0</v>
      </c>
    </row>
  </sheetData>
  <sheetProtection algorithmName="SHA-512" hashValue="DCyh338i7qDSLAQ2kVGZ5DjYL0wf3VYFQXb4d5AWDEg8W+My+dwFEw/W0Lb8tBO/3vhtODifJc5goGqQd3XETA==" saltValue="dp5Rpce99pnEr60YDNKqY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FE589-2BB2-E74B-B920-DC291E7750F2}">
  <dimension ref="A1:R46"/>
  <sheetViews>
    <sheetView zoomScale="130" zoomScaleNormal="130" workbookViewId="0"/>
  </sheetViews>
  <sheetFormatPr baseColWidth="10" defaultColWidth="10.875" defaultRowHeight="15.75"/>
  <cols>
    <col min="1" max="3" width="10.875" style="1"/>
    <col min="4" max="4" width="16.5" style="1" customWidth="1"/>
    <col min="5" max="5" width="12.5" style="1" bestFit="1" customWidth="1"/>
    <col min="6" max="10" width="10.875" style="1"/>
    <col min="11" max="11" width="12.875" style="1" customWidth="1"/>
    <col min="12" max="12" width="12.5" style="1" bestFit="1" customWidth="1"/>
    <col min="13" max="14" width="10.875" style="1"/>
    <col min="15" max="16" width="14.5" style="1" customWidth="1"/>
    <col min="17" max="18" width="10.875" style="1"/>
    <col min="19" max="20" width="11.625" style="1" bestFit="1" customWidth="1"/>
    <col min="21" max="16384" width="10.875" style="1"/>
  </cols>
  <sheetData>
    <row r="1" spans="1:15">
      <c r="B1" s="2" t="s">
        <v>0</v>
      </c>
    </row>
    <row r="3" spans="1:15">
      <c r="A3" s="2" t="s">
        <v>63</v>
      </c>
      <c r="B3" s="1" t="s">
        <v>2</v>
      </c>
      <c r="E3" s="1" t="s">
        <v>64</v>
      </c>
    </row>
    <row r="4" spans="1:15">
      <c r="B4" s="1" t="s">
        <v>65</v>
      </c>
      <c r="E4" s="1">
        <v>100000000</v>
      </c>
    </row>
    <row r="5" spans="1:15">
      <c r="B5" s="1" t="s">
        <v>8</v>
      </c>
      <c r="E5" s="1">
        <v>10000000</v>
      </c>
    </row>
    <row r="6" spans="1:15">
      <c r="B6" s="1" t="s">
        <v>9</v>
      </c>
      <c r="E6" s="1">
        <v>10</v>
      </c>
    </row>
    <row r="8" spans="1:15">
      <c r="B8" s="2" t="s">
        <v>12</v>
      </c>
      <c r="H8" s="2" t="s">
        <v>13</v>
      </c>
    </row>
    <row r="9" spans="1:15" s="3" customFormat="1">
      <c r="A9" s="3" t="s">
        <v>14</v>
      </c>
      <c r="H9" s="3" t="s">
        <v>14</v>
      </c>
    </row>
    <row r="10" spans="1:15" s="3" customFormat="1">
      <c r="B10" s="2" t="s">
        <v>15</v>
      </c>
      <c r="I10" s="2" t="s">
        <v>15</v>
      </c>
    </row>
    <row r="11" spans="1:15">
      <c r="B11" s="4" t="s">
        <v>16</v>
      </c>
      <c r="C11" s="5"/>
      <c r="D11" s="5"/>
      <c r="E11" s="6"/>
      <c r="I11" s="4" t="s">
        <v>16</v>
      </c>
      <c r="J11" s="5"/>
      <c r="K11" s="5"/>
      <c r="L11" s="6"/>
    </row>
    <row r="12" spans="1:15">
      <c r="B12" s="7" t="s">
        <v>66</v>
      </c>
      <c r="C12" s="8"/>
      <c r="D12" s="8"/>
      <c r="E12" s="9">
        <f>E4</f>
        <v>100000000</v>
      </c>
      <c r="I12" s="7" t="s">
        <v>66</v>
      </c>
      <c r="J12" s="8"/>
      <c r="K12" s="8"/>
      <c r="L12" s="9">
        <f>E12</f>
        <v>100000000</v>
      </c>
      <c r="N12" s="3" t="s">
        <v>67</v>
      </c>
    </row>
    <row r="13" spans="1:15">
      <c r="B13" s="12" t="s">
        <v>22</v>
      </c>
      <c r="C13" s="13"/>
      <c r="D13" s="13"/>
      <c r="E13" s="14">
        <f>-E12</f>
        <v>-100000000</v>
      </c>
      <c r="I13" s="12" t="s">
        <v>22</v>
      </c>
      <c r="J13" s="13"/>
      <c r="K13" s="13"/>
      <c r="L13" s="14">
        <f>E13</f>
        <v>-100000000</v>
      </c>
      <c r="N13" s="3" t="s">
        <v>68</v>
      </c>
    </row>
    <row r="14" spans="1:15">
      <c r="N14" s="3" t="s">
        <v>69</v>
      </c>
    </row>
    <row r="15" spans="1:15" s="3" customFormat="1">
      <c r="B15" s="2" t="s">
        <v>70</v>
      </c>
      <c r="I15" s="2" t="s">
        <v>70</v>
      </c>
      <c r="N15" s="15" t="s">
        <v>71</v>
      </c>
    </row>
    <row r="16" spans="1:15">
      <c r="B16" s="4" t="s">
        <v>25</v>
      </c>
      <c r="C16" s="5"/>
      <c r="D16" s="5"/>
      <c r="E16" s="6">
        <f>(E4-E5)/E6</f>
        <v>9000000</v>
      </c>
      <c r="I16" s="4" t="s">
        <v>25</v>
      </c>
      <c r="J16" s="5"/>
      <c r="K16" s="5"/>
      <c r="L16" s="6">
        <f>(E4)/N16</f>
        <v>20000000</v>
      </c>
      <c r="N16" s="46">
        <v>5</v>
      </c>
      <c r="O16" s="1" t="s">
        <v>72</v>
      </c>
    </row>
    <row r="17" spans="1:18">
      <c r="B17" s="10" t="s">
        <v>26</v>
      </c>
      <c r="C17" s="8"/>
      <c r="D17" s="8"/>
      <c r="E17" s="9"/>
      <c r="F17" s="47" t="s">
        <v>73</v>
      </c>
      <c r="I17" s="10" t="s">
        <v>26</v>
      </c>
      <c r="J17" s="8"/>
      <c r="K17" s="8"/>
      <c r="L17" s="9"/>
      <c r="M17" s="47" t="s">
        <v>73</v>
      </c>
    </row>
    <row r="18" spans="1:18">
      <c r="B18" s="17" t="s">
        <v>74</v>
      </c>
      <c r="C18" s="13"/>
      <c r="D18" s="13"/>
      <c r="E18" s="14">
        <f>-E16</f>
        <v>-9000000</v>
      </c>
      <c r="F18" s="47">
        <f>E12+E18</f>
        <v>91000000</v>
      </c>
      <c r="I18" s="17" t="s">
        <v>74</v>
      </c>
      <c r="J18" s="13"/>
      <c r="K18" s="13"/>
      <c r="L18" s="14">
        <f>-L16</f>
        <v>-20000000</v>
      </c>
      <c r="M18" s="47">
        <f>L12+L18</f>
        <v>80000000</v>
      </c>
    </row>
    <row r="20" spans="1:18">
      <c r="A20" s="2" t="s">
        <v>28</v>
      </c>
    </row>
    <row r="21" spans="1:18">
      <c r="B21" s="1" t="s">
        <v>29</v>
      </c>
      <c r="E21" s="18"/>
      <c r="I21" s="1" t="s">
        <v>29</v>
      </c>
      <c r="N21" s="21" t="s">
        <v>40</v>
      </c>
      <c r="O21" s="21" t="s">
        <v>41</v>
      </c>
      <c r="P21" s="21" t="s">
        <v>42</v>
      </c>
      <c r="Q21" s="21" t="s">
        <v>43</v>
      </c>
      <c r="R21" s="21" t="s">
        <v>44</v>
      </c>
    </row>
    <row r="22" spans="1:18">
      <c r="C22" s="1" t="s">
        <v>75</v>
      </c>
      <c r="E22" s="18">
        <f>E12</f>
        <v>100000000</v>
      </c>
      <c r="J22" s="1" t="s">
        <v>75</v>
      </c>
      <c r="L22" s="18">
        <f>L12</f>
        <v>100000000</v>
      </c>
    </row>
    <row r="23" spans="1:18">
      <c r="C23" s="1" t="s">
        <v>31</v>
      </c>
      <c r="E23" s="19">
        <f>E18*8</f>
        <v>-72000000</v>
      </c>
      <c r="J23" s="1" t="s">
        <v>31</v>
      </c>
      <c r="L23" s="19">
        <f>L18*N16</f>
        <v>-100000000</v>
      </c>
    </row>
    <row r="24" spans="1:18">
      <c r="E24" s="2">
        <f>SUM(E22:E23)</f>
        <v>28000000</v>
      </c>
      <c r="L24" s="2">
        <f>SUM(L22:L23)</f>
        <v>0</v>
      </c>
      <c r="N24" s="26">
        <f>E24-L24</f>
        <v>28000000</v>
      </c>
      <c r="O24" s="48" t="s">
        <v>46</v>
      </c>
      <c r="P24" s="48" t="s">
        <v>76</v>
      </c>
      <c r="Q24" s="49">
        <v>0.35</v>
      </c>
      <c r="R24" s="27">
        <f>N24*Q24</f>
        <v>9800000</v>
      </c>
    </row>
    <row r="25" spans="1:18">
      <c r="Q25" s="26" t="s">
        <v>48</v>
      </c>
      <c r="R25" s="27"/>
    </row>
    <row r="26" spans="1:18">
      <c r="A26" s="3" t="s">
        <v>77</v>
      </c>
    </row>
    <row r="27" spans="1:18">
      <c r="B27" s="2" t="s">
        <v>49</v>
      </c>
      <c r="E27" s="21"/>
    </row>
    <row r="28" spans="1:18">
      <c r="B28" s="4" t="s">
        <v>61</v>
      </c>
      <c r="C28" s="5"/>
      <c r="D28" s="5"/>
      <c r="E28" s="6">
        <f>R24</f>
        <v>9800000</v>
      </c>
      <c r="I28" s="4" t="s">
        <v>53</v>
      </c>
      <c r="J28" s="5"/>
      <c r="K28" s="5"/>
      <c r="L28" s="6"/>
    </row>
    <row r="29" spans="1:18">
      <c r="B29" s="12" t="s">
        <v>78</v>
      </c>
      <c r="C29" s="13"/>
      <c r="D29" s="13"/>
      <c r="E29" s="14">
        <f>-E28</f>
        <v>-9800000</v>
      </c>
      <c r="I29" s="12"/>
      <c r="J29" s="13"/>
      <c r="K29" s="13"/>
      <c r="L29" s="36"/>
    </row>
    <row r="31" spans="1:18" ht="5.0999999999999996" customHeight="1"/>
    <row r="32" spans="1:18">
      <c r="B32" s="1" t="s">
        <v>79</v>
      </c>
      <c r="E32" s="1" t="s">
        <v>80</v>
      </c>
    </row>
    <row r="33" spans="1:13">
      <c r="B33" s="1" t="s">
        <v>81</v>
      </c>
      <c r="E33" s="1">
        <v>20000000</v>
      </c>
    </row>
    <row r="35" spans="1:13" s="3" customFormat="1">
      <c r="B35" s="2" t="s">
        <v>82</v>
      </c>
      <c r="I35" s="2" t="s">
        <v>82</v>
      </c>
    </row>
    <row r="36" spans="1:13">
      <c r="B36" s="4" t="s">
        <v>83</v>
      </c>
      <c r="C36" s="5"/>
      <c r="D36" s="5"/>
      <c r="E36" s="6">
        <f>E33</f>
        <v>20000000</v>
      </c>
      <c r="I36" s="4" t="s">
        <v>83</v>
      </c>
      <c r="J36" s="5"/>
      <c r="K36" s="5"/>
      <c r="L36" s="6">
        <f>E33</f>
        <v>20000000</v>
      </c>
    </row>
    <row r="37" spans="1:13">
      <c r="B37" s="10" t="s">
        <v>84</v>
      </c>
      <c r="C37" s="8"/>
      <c r="D37" s="8"/>
      <c r="E37" s="9">
        <v>0</v>
      </c>
      <c r="I37" s="10" t="s">
        <v>84</v>
      </c>
      <c r="J37" s="8"/>
      <c r="K37" s="8"/>
      <c r="L37" s="9">
        <f>E37</f>
        <v>0</v>
      </c>
      <c r="M37" s="3" t="s">
        <v>85</v>
      </c>
    </row>
    <row r="38" spans="1:13">
      <c r="B38" s="10" t="s">
        <v>86</v>
      </c>
      <c r="C38" s="8"/>
      <c r="D38" s="8"/>
      <c r="E38" s="50">
        <f>E24-E36</f>
        <v>8000000</v>
      </c>
      <c r="I38" s="10" t="s">
        <v>87</v>
      </c>
      <c r="J38" s="8"/>
      <c r="K38" s="8"/>
      <c r="L38" s="50">
        <f>L24-L36</f>
        <v>-20000000</v>
      </c>
    </row>
    <row r="39" spans="1:13">
      <c r="B39" s="10" t="s">
        <v>26</v>
      </c>
      <c r="C39" s="8"/>
      <c r="D39" s="8"/>
      <c r="E39" s="9"/>
      <c r="I39" s="10" t="s">
        <v>88</v>
      </c>
      <c r="J39" s="8"/>
      <c r="K39" s="8"/>
      <c r="L39" s="9"/>
    </row>
    <row r="40" spans="1:13">
      <c r="B40" s="7"/>
      <c r="C40" s="8" t="s">
        <v>75</v>
      </c>
      <c r="D40" s="8"/>
      <c r="E40" s="50">
        <f>-E22</f>
        <v>-100000000</v>
      </c>
      <c r="I40" s="7" t="s">
        <v>66</v>
      </c>
      <c r="J40" s="8"/>
      <c r="K40" s="8"/>
      <c r="L40" s="9">
        <v>0</v>
      </c>
    </row>
    <row r="41" spans="1:13">
      <c r="B41" s="12"/>
      <c r="C41" s="13" t="s">
        <v>31</v>
      </c>
      <c r="D41" s="13"/>
      <c r="E41" s="36">
        <f>-E23</f>
        <v>72000000</v>
      </c>
      <c r="I41" s="12"/>
      <c r="J41" s="13"/>
      <c r="K41" s="13"/>
      <c r="L41" s="36"/>
    </row>
    <row r="43" spans="1:13">
      <c r="A43" s="3" t="s">
        <v>89</v>
      </c>
      <c r="I43" s="11" t="s">
        <v>90</v>
      </c>
    </row>
    <row r="44" spans="1:13">
      <c r="B44" s="2" t="s">
        <v>49</v>
      </c>
      <c r="E44" s="21"/>
      <c r="I44" s="51" t="s">
        <v>91</v>
      </c>
      <c r="M44" s="3">
        <f>-L38</f>
        <v>20000000</v>
      </c>
    </row>
    <row r="45" spans="1:13">
      <c r="B45" s="4" t="s">
        <v>92</v>
      </c>
      <c r="C45" s="5"/>
      <c r="D45" s="5"/>
      <c r="E45" s="6">
        <f>E28</f>
        <v>9800000</v>
      </c>
      <c r="I45" s="11" t="s">
        <v>93</v>
      </c>
    </row>
    <row r="46" spans="1:13">
      <c r="B46" s="12" t="s">
        <v>56</v>
      </c>
      <c r="C46" s="13"/>
      <c r="D46" s="13"/>
      <c r="E46" s="14">
        <f>-E45</f>
        <v>-9800000</v>
      </c>
      <c r="I46" s="51" t="s">
        <v>94</v>
      </c>
      <c r="M46" s="3">
        <v>0</v>
      </c>
    </row>
  </sheetData>
  <sheetProtection algorithmName="SHA-512" hashValue="sX9UK7ZqGg2nrf6+sAYm0u5ACWA6l3QzSGgQz2mJ6Or1swMj+UCffjbtFyyxR/kI/E4vkCY7FafjShdW/ktFyg==" saltValue="n17SXT6ILdIXaBbnH5WSs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3088-5633-E047-B2B4-0451D0B97E68}">
  <dimension ref="A1:U67"/>
  <sheetViews>
    <sheetView zoomScale="130" zoomScaleNormal="130" workbookViewId="0"/>
  </sheetViews>
  <sheetFormatPr baseColWidth="10" defaultColWidth="10.875" defaultRowHeight="15.75"/>
  <cols>
    <col min="1" max="3" width="10.875" style="1"/>
    <col min="4" max="4" width="16.5" style="1" customWidth="1"/>
    <col min="5" max="5" width="12.5" style="1" bestFit="1" customWidth="1"/>
    <col min="6" max="6" width="11.125" style="1" bestFit="1" customWidth="1"/>
    <col min="7" max="10" width="10.875" style="1"/>
    <col min="11" max="11" width="12.875" style="1" customWidth="1"/>
    <col min="12" max="12" width="12.5" style="1" bestFit="1" customWidth="1"/>
    <col min="13" max="13" width="10.875" style="1"/>
    <col min="14" max="14" width="11.875" style="1" customWidth="1"/>
    <col min="15" max="16" width="14.5" style="1" customWidth="1"/>
    <col min="17" max="18" width="10.875" style="1"/>
    <col min="19" max="20" width="11.625" style="1" bestFit="1" customWidth="1"/>
    <col min="21" max="16384" width="10.875" style="1"/>
  </cols>
  <sheetData>
    <row r="1" spans="1:12">
      <c r="B1" s="2" t="s">
        <v>0</v>
      </c>
    </row>
    <row r="3" spans="1:12">
      <c r="A3" s="2" t="s">
        <v>95</v>
      </c>
      <c r="B3" s="1" t="s">
        <v>2</v>
      </c>
      <c r="E3" s="1" t="s">
        <v>96</v>
      </c>
    </row>
    <row r="4" spans="1:12">
      <c r="B4" s="1" t="s">
        <v>97</v>
      </c>
      <c r="E4" s="1">
        <v>500000000</v>
      </c>
    </row>
    <row r="5" spans="1:12">
      <c r="B5" s="1" t="s">
        <v>98</v>
      </c>
      <c r="E5" s="1" t="s">
        <v>99</v>
      </c>
    </row>
    <row r="7" spans="1:12">
      <c r="B7" s="2" t="s">
        <v>12</v>
      </c>
      <c r="H7" s="2" t="s">
        <v>13</v>
      </c>
    </row>
    <row r="8" spans="1:12" s="3" customFormat="1">
      <c r="A8" s="3" t="s">
        <v>14</v>
      </c>
      <c r="H8" s="3" t="s">
        <v>14</v>
      </c>
    </row>
    <row r="9" spans="1:12" s="3" customFormat="1">
      <c r="B9" s="2" t="s">
        <v>15</v>
      </c>
      <c r="I9" s="2" t="s">
        <v>15</v>
      </c>
    </row>
    <row r="10" spans="1:12">
      <c r="B10" s="4" t="s">
        <v>16</v>
      </c>
      <c r="C10" s="5"/>
      <c r="D10" s="5"/>
      <c r="E10" s="6"/>
      <c r="I10" s="4" t="s">
        <v>16</v>
      </c>
      <c r="J10" s="5"/>
      <c r="K10" s="5"/>
      <c r="L10" s="6"/>
    </row>
    <row r="11" spans="1:12">
      <c r="B11" s="7" t="s">
        <v>100</v>
      </c>
      <c r="C11" s="8"/>
      <c r="D11" s="8"/>
      <c r="E11" s="9">
        <f>E4</f>
        <v>500000000</v>
      </c>
      <c r="I11" s="7" t="s">
        <v>100</v>
      </c>
      <c r="J11" s="8"/>
      <c r="K11" s="8"/>
      <c r="L11" s="9">
        <f>E11</f>
        <v>500000000</v>
      </c>
    </row>
    <row r="12" spans="1:12">
      <c r="B12" s="12" t="s">
        <v>22</v>
      </c>
      <c r="C12" s="13"/>
      <c r="D12" s="13"/>
      <c r="E12" s="14">
        <f>-E11</f>
        <v>-500000000</v>
      </c>
      <c r="I12" s="12" t="s">
        <v>22</v>
      </c>
      <c r="J12" s="13"/>
      <c r="K12" s="13"/>
      <c r="L12" s="14">
        <f>E12</f>
        <v>-500000000</v>
      </c>
    </row>
    <row r="14" spans="1:12">
      <c r="B14" s="2" t="s">
        <v>101</v>
      </c>
      <c r="G14" s="3" t="s">
        <v>102</v>
      </c>
      <c r="J14" s="3" t="s">
        <v>99</v>
      </c>
    </row>
    <row r="15" spans="1:12">
      <c r="B15" s="1" t="s">
        <v>103</v>
      </c>
      <c r="E15" s="1">
        <v>580000000</v>
      </c>
      <c r="G15" s="1" t="s">
        <v>104</v>
      </c>
      <c r="J15" s="1" t="s">
        <v>105</v>
      </c>
    </row>
    <row r="16" spans="1:12">
      <c r="G16" s="52" t="s">
        <v>106</v>
      </c>
      <c r="J16" s="52" t="s">
        <v>106</v>
      </c>
    </row>
    <row r="17" spans="1:21">
      <c r="G17" s="52" t="s">
        <v>107</v>
      </c>
      <c r="J17" s="52" t="s">
        <v>107</v>
      </c>
    </row>
    <row r="18" spans="1:21">
      <c r="B18" s="2" t="s">
        <v>108</v>
      </c>
      <c r="G18" s="52"/>
      <c r="J18" s="52"/>
    </row>
    <row r="19" spans="1:21">
      <c r="B19" s="4" t="s">
        <v>16</v>
      </c>
      <c r="C19" s="5"/>
      <c r="D19" s="5"/>
      <c r="E19" s="6"/>
      <c r="I19" s="4" t="s">
        <v>53</v>
      </c>
      <c r="J19" s="5"/>
      <c r="K19" s="5"/>
      <c r="L19" s="6"/>
      <c r="M19" s="3" t="s">
        <v>109</v>
      </c>
    </row>
    <row r="20" spans="1:21">
      <c r="B20" s="7" t="s">
        <v>110</v>
      </c>
      <c r="C20" s="8"/>
      <c r="D20" s="8"/>
      <c r="E20" s="9">
        <f>E15-E11</f>
        <v>80000000</v>
      </c>
      <c r="I20" s="10"/>
      <c r="J20" s="8"/>
      <c r="K20" s="8"/>
      <c r="L20" s="9"/>
      <c r="M20" s="3" t="s">
        <v>111</v>
      </c>
    </row>
    <row r="21" spans="1:21">
      <c r="B21" s="7" t="s">
        <v>112</v>
      </c>
      <c r="C21" s="8"/>
      <c r="D21" s="8"/>
      <c r="E21" s="9"/>
      <c r="I21" s="10"/>
      <c r="J21" s="8"/>
      <c r="K21" s="8"/>
      <c r="L21" s="9"/>
    </row>
    <row r="22" spans="1:21">
      <c r="B22" s="17" t="s">
        <v>113</v>
      </c>
      <c r="C22" s="13"/>
      <c r="D22" s="13"/>
      <c r="E22" s="14">
        <f>-E20</f>
        <v>-80000000</v>
      </c>
      <c r="I22" s="12"/>
      <c r="J22" s="13"/>
      <c r="K22" s="13"/>
      <c r="L22" s="36"/>
    </row>
    <row r="24" spans="1:21">
      <c r="A24" s="2" t="s">
        <v>114</v>
      </c>
      <c r="O24" s="1" t="s">
        <v>115</v>
      </c>
    </row>
    <row r="25" spans="1:21">
      <c r="B25" s="1" t="s">
        <v>29</v>
      </c>
      <c r="I25" s="1" t="s">
        <v>29</v>
      </c>
      <c r="N25" s="21" t="s">
        <v>40</v>
      </c>
      <c r="O25" s="21" t="s">
        <v>41</v>
      </c>
      <c r="P25" s="21" t="s">
        <v>42</v>
      </c>
      <c r="Q25" s="21" t="s">
        <v>43</v>
      </c>
      <c r="R25" s="21" t="s">
        <v>44</v>
      </c>
    </row>
    <row r="26" spans="1:21">
      <c r="C26" s="1" t="s">
        <v>116</v>
      </c>
      <c r="E26" s="13">
        <f>E11+E20</f>
        <v>580000000</v>
      </c>
      <c r="J26" s="1" t="s">
        <v>116</v>
      </c>
      <c r="L26" s="13">
        <f>L11</f>
        <v>500000000</v>
      </c>
    </row>
    <row r="27" spans="1:21">
      <c r="E27" s="2">
        <f>SUM(E26:E26)</f>
        <v>580000000</v>
      </c>
      <c r="L27" s="2">
        <f>SUM(L26:L26)</f>
        <v>500000000</v>
      </c>
      <c r="N27" s="26">
        <f>E27-L27</f>
        <v>80000000</v>
      </c>
      <c r="O27" s="48" t="s">
        <v>117</v>
      </c>
      <c r="P27" s="53" t="s">
        <v>76</v>
      </c>
      <c r="Q27" s="54">
        <f>U29</f>
        <v>0.1</v>
      </c>
      <c r="R27" s="55">
        <f>N27*Q27</f>
        <v>8000000</v>
      </c>
    </row>
    <row r="29" spans="1:21">
      <c r="A29" s="3" t="s">
        <v>14</v>
      </c>
      <c r="N29" s="3" t="s">
        <v>118</v>
      </c>
      <c r="O29" s="3"/>
      <c r="P29" s="3"/>
      <c r="Q29" s="3"/>
      <c r="R29" s="3"/>
      <c r="S29" s="56" t="s">
        <v>119</v>
      </c>
      <c r="T29" s="57"/>
      <c r="U29" s="58">
        <v>0.1</v>
      </c>
    </row>
    <row r="30" spans="1:21">
      <c r="B30" s="2" t="s">
        <v>49</v>
      </c>
      <c r="E30" s="21"/>
    </row>
    <row r="31" spans="1:21">
      <c r="B31" s="59" t="s">
        <v>120</v>
      </c>
      <c r="C31" s="60"/>
      <c r="D31" s="60"/>
      <c r="E31" s="61"/>
      <c r="I31" s="62" t="s">
        <v>53</v>
      </c>
      <c r="J31" s="60"/>
      <c r="K31" s="60"/>
      <c r="L31" s="61"/>
    </row>
    <row r="32" spans="1:21">
      <c r="B32" s="63" t="s">
        <v>121</v>
      </c>
      <c r="C32" s="64"/>
      <c r="D32" s="64"/>
      <c r="E32" s="65">
        <f>R27</f>
        <v>8000000</v>
      </c>
      <c r="I32" s="66"/>
      <c r="J32" s="64"/>
      <c r="K32" s="64"/>
      <c r="L32" s="65"/>
    </row>
    <row r="33" spans="1:15">
      <c r="B33" s="67" t="s">
        <v>78</v>
      </c>
      <c r="C33" s="68"/>
      <c r="D33" s="68"/>
      <c r="E33" s="69">
        <f>-E32</f>
        <v>-8000000</v>
      </c>
      <c r="I33" s="67"/>
      <c r="J33" s="68"/>
      <c r="K33" s="68"/>
      <c r="L33" s="70"/>
    </row>
    <row r="35" spans="1:15" ht="5.0999999999999996" customHeight="1"/>
    <row r="36" spans="1:15">
      <c r="B36" s="2" t="s">
        <v>122</v>
      </c>
    </row>
    <row r="37" spans="1:15">
      <c r="B37" s="1" t="s">
        <v>103</v>
      </c>
      <c r="E37" s="1">
        <v>475000000</v>
      </c>
    </row>
    <row r="39" spans="1:15">
      <c r="B39" s="2" t="s">
        <v>108</v>
      </c>
    </row>
    <row r="40" spans="1:15">
      <c r="B40" s="59" t="s">
        <v>120</v>
      </c>
      <c r="C40" s="60"/>
      <c r="D40" s="60"/>
      <c r="E40" s="61"/>
      <c r="I40" s="62" t="s">
        <v>53</v>
      </c>
      <c r="J40" s="60"/>
      <c r="K40" s="60"/>
      <c r="L40" s="61"/>
    </row>
    <row r="41" spans="1:15">
      <c r="B41" s="63" t="s">
        <v>113</v>
      </c>
      <c r="C41" s="64"/>
      <c r="D41" s="64"/>
      <c r="E41" s="65">
        <f>-E22</f>
        <v>80000000</v>
      </c>
      <c r="I41" s="66"/>
      <c r="J41" s="64"/>
      <c r="K41" s="64"/>
      <c r="L41" s="65"/>
    </row>
    <row r="42" spans="1:15">
      <c r="B42" s="63" t="s">
        <v>123</v>
      </c>
      <c r="C42" s="64"/>
      <c r="D42" s="64"/>
      <c r="E42" s="65">
        <f>E27-E37-E41</f>
        <v>25000000</v>
      </c>
      <c r="I42" s="66"/>
      <c r="J42" s="64"/>
      <c r="K42" s="64"/>
      <c r="L42" s="65"/>
    </row>
    <row r="43" spans="1:15">
      <c r="B43" s="66" t="s">
        <v>26</v>
      </c>
      <c r="C43" s="64"/>
      <c r="D43" s="64"/>
      <c r="E43" s="65"/>
      <c r="I43" s="66"/>
      <c r="J43" s="64"/>
      <c r="K43" s="64"/>
      <c r="L43" s="65"/>
    </row>
    <row r="44" spans="1:15">
      <c r="B44" s="71" t="s">
        <v>100</v>
      </c>
      <c r="C44" s="68"/>
      <c r="D44" s="68"/>
      <c r="E44" s="69">
        <f>E37-E27</f>
        <v>-105000000</v>
      </c>
      <c r="I44" s="67"/>
      <c r="J44" s="68"/>
      <c r="K44" s="68"/>
      <c r="L44" s="70"/>
    </row>
    <row r="46" spans="1:15">
      <c r="A46" s="2" t="s">
        <v>124</v>
      </c>
    </row>
    <row r="47" spans="1:15">
      <c r="B47" s="1" t="s">
        <v>29</v>
      </c>
      <c r="E47" s="72"/>
      <c r="I47" s="1" t="s">
        <v>29</v>
      </c>
      <c r="L47" s="72"/>
      <c r="N47" s="21" t="s">
        <v>40</v>
      </c>
      <c r="O47" s="21" t="s">
        <v>41</v>
      </c>
    </row>
    <row r="48" spans="1:15">
      <c r="C48" s="1" t="s">
        <v>116</v>
      </c>
      <c r="E48" s="68">
        <f>E27+E44</f>
        <v>475000000</v>
      </c>
      <c r="J48" s="1" t="s">
        <v>116</v>
      </c>
      <c r="L48" s="68">
        <f>L27</f>
        <v>500000000</v>
      </c>
    </row>
    <row r="49" spans="1:15">
      <c r="E49" s="73">
        <f>SUM(E48:E48)</f>
        <v>475000000</v>
      </c>
      <c r="L49" s="73">
        <f>SUM(L48:L48)</f>
        <v>500000000</v>
      </c>
      <c r="N49" s="74">
        <f>E49-L49</f>
        <v>-25000000</v>
      </c>
      <c r="O49" s="55" t="s">
        <v>125</v>
      </c>
    </row>
    <row r="51" spans="1:15">
      <c r="A51" s="3" t="s">
        <v>126</v>
      </c>
      <c r="L51" s="3" t="s">
        <v>127</v>
      </c>
    </row>
    <row r="52" spans="1:15">
      <c r="B52" s="2" t="s">
        <v>49</v>
      </c>
      <c r="E52" s="21"/>
    </row>
    <row r="53" spans="1:15">
      <c r="B53" s="62" t="s">
        <v>92</v>
      </c>
      <c r="C53" s="60"/>
      <c r="D53" s="60"/>
      <c r="E53" s="61">
        <f>-E33</f>
        <v>8000000</v>
      </c>
      <c r="I53" s="62" t="s">
        <v>53</v>
      </c>
      <c r="J53" s="60"/>
      <c r="K53" s="60"/>
      <c r="L53" s="61"/>
    </row>
    <row r="54" spans="1:15">
      <c r="B54" s="63" t="s">
        <v>112</v>
      </c>
      <c r="C54" s="64"/>
      <c r="D54" s="64"/>
      <c r="E54" s="65"/>
      <c r="I54" s="66"/>
      <c r="J54" s="64"/>
      <c r="K54" s="64"/>
      <c r="L54" s="65"/>
    </row>
    <row r="55" spans="1:15">
      <c r="B55" s="71" t="s">
        <v>121</v>
      </c>
      <c r="C55" s="68"/>
      <c r="D55" s="68"/>
      <c r="E55" s="69">
        <f>-E53</f>
        <v>-8000000</v>
      </c>
      <c r="I55" s="67"/>
      <c r="J55" s="68"/>
      <c r="K55" s="68"/>
      <c r="L55" s="70"/>
    </row>
    <row r="57" spans="1:15">
      <c r="A57" s="3" t="s">
        <v>128</v>
      </c>
    </row>
    <row r="58" spans="1:15">
      <c r="B58" s="1" t="s">
        <v>129</v>
      </c>
    </row>
    <row r="60" spans="1:15">
      <c r="B60" s="2" t="s">
        <v>130</v>
      </c>
      <c r="C60" s="1" t="s">
        <v>131</v>
      </c>
      <c r="E60" s="1">
        <v>460000000</v>
      </c>
      <c r="F60" s="75" t="s">
        <v>132</v>
      </c>
    </row>
    <row r="61" spans="1:15">
      <c r="F61" s="76">
        <f>E49-E60</f>
        <v>15000000</v>
      </c>
    </row>
    <row r="62" spans="1:15">
      <c r="B62" s="1" t="s">
        <v>133</v>
      </c>
      <c r="I62" s="1" t="s">
        <v>134</v>
      </c>
      <c r="L62" s="1">
        <f>L49-E60</f>
        <v>40000000</v>
      </c>
    </row>
    <row r="64" spans="1:15">
      <c r="B64" s="2" t="s">
        <v>135</v>
      </c>
      <c r="C64" s="1" t="s">
        <v>131</v>
      </c>
      <c r="E64" s="1">
        <v>510000000</v>
      </c>
      <c r="F64" s="75" t="s">
        <v>136</v>
      </c>
    </row>
    <row r="65" spans="2:12">
      <c r="F65" s="76">
        <f>E64-E49</f>
        <v>35000000</v>
      </c>
    </row>
    <row r="66" spans="2:12">
      <c r="B66" s="1" t="s">
        <v>137</v>
      </c>
      <c r="I66" s="1" t="s">
        <v>138</v>
      </c>
      <c r="L66" s="1">
        <f>E64-L49</f>
        <v>10000000</v>
      </c>
    </row>
    <row r="67" spans="2:12">
      <c r="I67" s="1" t="s">
        <v>139</v>
      </c>
      <c r="L67" s="1">
        <f>L66*Q27</f>
        <v>1000000</v>
      </c>
    </row>
  </sheetData>
  <sheetProtection algorithmName="SHA-512" hashValue="b+Og9vkpqU5f7dpn2lbULqt9vsQoSQkWJ8dT3xwbtPunPCC6E1zTYe/YtvWNGAHdGruv0z0f+KZbXBD7ezANwA==" saltValue="GGtyFManuLXq11d/OEtYqQ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C8D8C-A02C-EB43-B359-3AFADD899AFE}">
  <dimension ref="A1:U161"/>
  <sheetViews>
    <sheetView zoomScale="130" zoomScaleNormal="130" workbookViewId="0"/>
  </sheetViews>
  <sheetFormatPr baseColWidth="10" defaultColWidth="10.875" defaultRowHeight="15.75"/>
  <cols>
    <col min="1" max="3" width="10.875" style="1"/>
    <col min="4" max="4" width="16.5" style="1" customWidth="1"/>
    <col min="5" max="5" width="12.5" style="1" bestFit="1" customWidth="1"/>
    <col min="6" max="10" width="10.875" style="1"/>
    <col min="11" max="11" width="12.875" style="1" customWidth="1"/>
    <col min="12" max="12" width="12.5" style="1" bestFit="1" customWidth="1"/>
    <col min="13" max="13" width="11.125" style="1" bestFit="1" customWidth="1"/>
    <col min="14" max="14" width="11.875" style="1" customWidth="1"/>
    <col min="15" max="16" width="14.5" style="1" customWidth="1"/>
    <col min="17" max="18" width="10.875" style="1"/>
    <col min="19" max="20" width="11.625" style="1" bestFit="1" customWidth="1"/>
    <col min="21" max="16384" width="10.875" style="1"/>
  </cols>
  <sheetData>
    <row r="1" spans="1:12">
      <c r="B1" s="2" t="s">
        <v>140</v>
      </c>
    </row>
    <row r="3" spans="1:12">
      <c r="A3" s="2" t="s">
        <v>141</v>
      </c>
      <c r="B3" s="1" t="s">
        <v>2</v>
      </c>
      <c r="E3" s="1" t="s">
        <v>96</v>
      </c>
    </row>
    <row r="4" spans="1:12">
      <c r="B4" s="1" t="s">
        <v>142</v>
      </c>
      <c r="E4" s="1">
        <v>300000000</v>
      </c>
    </row>
    <row r="5" spans="1:12">
      <c r="B5" s="1" t="s">
        <v>98</v>
      </c>
      <c r="E5" s="1" t="s">
        <v>143</v>
      </c>
      <c r="H5" s="11" t="s">
        <v>144</v>
      </c>
      <c r="I5" s="11"/>
      <c r="J5" s="11"/>
      <c r="K5" s="77">
        <v>80</v>
      </c>
      <c r="L5" s="11" t="s">
        <v>72</v>
      </c>
    </row>
    <row r="7" spans="1:12">
      <c r="B7" s="2" t="s">
        <v>12</v>
      </c>
      <c r="H7" s="2" t="s">
        <v>13</v>
      </c>
    </row>
    <row r="8" spans="1:12" s="3" customFormat="1">
      <c r="A8" s="3" t="s">
        <v>14</v>
      </c>
      <c r="H8" s="3" t="s">
        <v>14</v>
      </c>
    </row>
    <row r="9" spans="1:12" s="3" customFormat="1">
      <c r="B9" s="2" t="s">
        <v>15</v>
      </c>
      <c r="H9" s="2" t="s">
        <v>15</v>
      </c>
    </row>
    <row r="10" spans="1:12">
      <c r="B10" s="62" t="s">
        <v>145</v>
      </c>
      <c r="C10" s="60"/>
      <c r="D10" s="60"/>
      <c r="E10" s="61"/>
      <c r="H10" s="62" t="s">
        <v>145</v>
      </c>
      <c r="I10" s="60"/>
      <c r="J10" s="60"/>
      <c r="K10" s="61"/>
    </row>
    <row r="11" spans="1:12">
      <c r="B11" s="63" t="s">
        <v>146</v>
      </c>
      <c r="C11" s="64"/>
      <c r="D11" s="64"/>
      <c r="E11" s="65">
        <f>E4</f>
        <v>300000000</v>
      </c>
      <c r="H11" s="63" t="s">
        <v>146</v>
      </c>
      <c r="I11" s="64"/>
      <c r="J11" s="64"/>
      <c r="K11" s="65">
        <f>E11</f>
        <v>300000000</v>
      </c>
    </row>
    <row r="12" spans="1:12">
      <c r="B12" s="67" t="s">
        <v>22</v>
      </c>
      <c r="C12" s="68"/>
      <c r="D12" s="68"/>
      <c r="E12" s="69">
        <f>-E11</f>
        <v>-300000000</v>
      </c>
      <c r="H12" s="67" t="s">
        <v>22</v>
      </c>
      <c r="I12" s="68"/>
      <c r="J12" s="68"/>
      <c r="K12" s="69">
        <f>E12</f>
        <v>-300000000</v>
      </c>
    </row>
    <row r="14" spans="1:12">
      <c r="B14" s="2" t="s">
        <v>101</v>
      </c>
    </row>
    <row r="15" spans="1:12">
      <c r="B15" s="1" t="s">
        <v>103</v>
      </c>
      <c r="E15" s="1">
        <v>380000000</v>
      </c>
    </row>
    <row r="17" spans="1:18">
      <c r="B17" s="2" t="s">
        <v>147</v>
      </c>
    </row>
    <row r="18" spans="1:18">
      <c r="B18" s="62" t="s">
        <v>145</v>
      </c>
      <c r="C18" s="60"/>
      <c r="D18" s="60"/>
      <c r="E18" s="61"/>
      <c r="H18" s="62" t="s">
        <v>53</v>
      </c>
      <c r="I18" s="60"/>
      <c r="J18" s="60"/>
      <c r="K18" s="61"/>
    </row>
    <row r="19" spans="1:18">
      <c r="B19" s="63" t="s">
        <v>146</v>
      </c>
      <c r="C19" s="64"/>
      <c r="D19" s="64"/>
      <c r="E19" s="65">
        <f>E15-E11</f>
        <v>80000000</v>
      </c>
      <c r="H19" s="66"/>
      <c r="I19" s="64"/>
      <c r="J19" s="64"/>
      <c r="K19" s="65"/>
      <c r="M19" s="15" t="s">
        <v>148</v>
      </c>
    </row>
    <row r="20" spans="1:18">
      <c r="B20" s="71" t="s">
        <v>149</v>
      </c>
      <c r="C20" s="68"/>
      <c r="D20" s="68"/>
      <c r="E20" s="69">
        <f>-E19</f>
        <v>-80000000</v>
      </c>
      <c r="H20" s="67"/>
      <c r="I20" s="68"/>
      <c r="J20" s="68"/>
      <c r="K20" s="70"/>
      <c r="M20" s="1">
        <f>$E$4*20%</f>
        <v>60000000</v>
      </c>
    </row>
    <row r="21" spans="1:18">
      <c r="B21" s="52"/>
    </row>
    <row r="22" spans="1:18">
      <c r="B22" s="52"/>
      <c r="H22" s="2" t="s">
        <v>150</v>
      </c>
      <c r="M22" s="15" t="s">
        <v>24</v>
      </c>
    </row>
    <row r="23" spans="1:18">
      <c r="B23" s="62" t="s">
        <v>53</v>
      </c>
      <c r="C23" s="60"/>
      <c r="D23" s="60"/>
      <c r="E23" s="61"/>
      <c r="H23" s="62" t="s">
        <v>25</v>
      </c>
      <c r="I23" s="60"/>
      <c r="J23" s="60"/>
      <c r="K23" s="61">
        <f>(E4-M20)*M23</f>
        <v>3000000</v>
      </c>
      <c r="M23" s="16">
        <f>(100/K5)/100</f>
        <v>1.2500000000000001E-2</v>
      </c>
    </row>
    <row r="24" spans="1:18">
      <c r="B24" s="63"/>
      <c r="C24" s="64"/>
      <c r="D24" s="64"/>
      <c r="E24" s="65"/>
      <c r="H24" s="66" t="s">
        <v>151</v>
      </c>
      <c r="I24" s="64"/>
      <c r="J24" s="64"/>
      <c r="K24" s="65"/>
    </row>
    <row r="25" spans="1:18">
      <c r="B25" s="71"/>
      <c r="C25" s="68"/>
      <c r="D25" s="68"/>
      <c r="E25" s="70"/>
      <c r="H25" s="71" t="s">
        <v>152</v>
      </c>
      <c r="I25" s="68"/>
      <c r="J25" s="68"/>
      <c r="K25" s="69">
        <f>-K23</f>
        <v>-3000000</v>
      </c>
    </row>
    <row r="26" spans="1:18">
      <c r="B26" s="52"/>
    </row>
    <row r="27" spans="1:18">
      <c r="A27" s="2" t="s">
        <v>114</v>
      </c>
    </row>
    <row r="28" spans="1:18">
      <c r="B28" s="1" t="s">
        <v>153</v>
      </c>
      <c r="I28" s="1" t="s">
        <v>153</v>
      </c>
      <c r="N28" s="21" t="s">
        <v>40</v>
      </c>
      <c r="O28" s="21" t="s">
        <v>41</v>
      </c>
      <c r="P28" s="21" t="s">
        <v>42</v>
      </c>
      <c r="Q28" s="21" t="s">
        <v>43</v>
      </c>
      <c r="R28" s="21" t="s">
        <v>44</v>
      </c>
    </row>
    <row r="29" spans="1:18">
      <c r="C29" s="1" t="s">
        <v>154</v>
      </c>
      <c r="E29" s="64">
        <f>E11</f>
        <v>300000000</v>
      </c>
      <c r="J29" s="1" t="s">
        <v>154</v>
      </c>
      <c r="L29" s="72">
        <f>E4</f>
        <v>300000000</v>
      </c>
    </row>
    <row r="30" spans="1:18">
      <c r="E30" s="64"/>
      <c r="L30" s="72"/>
    </row>
    <row r="31" spans="1:18">
      <c r="C31" s="1" t="s">
        <v>31</v>
      </c>
      <c r="E31" s="64">
        <v>0</v>
      </c>
      <c r="F31" s="11" t="s">
        <v>155</v>
      </c>
      <c r="J31" s="1" t="s">
        <v>31</v>
      </c>
      <c r="L31" s="78">
        <f>K25</f>
        <v>-3000000</v>
      </c>
      <c r="N31" s="62">
        <f>E31-L31</f>
        <v>3000000</v>
      </c>
      <c r="O31" s="60" t="s">
        <v>46</v>
      </c>
      <c r="P31" s="60" t="s">
        <v>76</v>
      </c>
      <c r="Q31" s="79">
        <v>0.31</v>
      </c>
      <c r="R31" s="61">
        <f>N31*Q31</f>
        <v>930000</v>
      </c>
    </row>
    <row r="32" spans="1:18">
      <c r="E32" s="64"/>
      <c r="L32" s="72"/>
      <c r="N32" s="66"/>
      <c r="O32" s="80"/>
      <c r="P32" s="80"/>
      <c r="Q32" s="64" t="s">
        <v>48</v>
      </c>
      <c r="R32" s="81"/>
    </row>
    <row r="33" spans="1:21">
      <c r="C33" s="1" t="s">
        <v>156</v>
      </c>
      <c r="E33" s="64">
        <f>+E19</f>
        <v>80000000</v>
      </c>
      <c r="J33" s="1" t="s">
        <v>156</v>
      </c>
      <c r="L33" s="72">
        <v>0</v>
      </c>
      <c r="M33" s="11" t="s">
        <v>155</v>
      </c>
      <c r="N33" s="66">
        <f>E33-L33</f>
        <v>80000000</v>
      </c>
      <c r="O33" s="64" t="s">
        <v>46</v>
      </c>
      <c r="P33" s="64" t="s">
        <v>76</v>
      </c>
      <c r="Q33" s="82">
        <v>0.1</v>
      </c>
      <c r="R33" s="65">
        <f>N33*Q33</f>
        <v>8000000</v>
      </c>
    </row>
    <row r="34" spans="1:21">
      <c r="E34" s="68"/>
      <c r="L34" s="68"/>
      <c r="M34" s="11"/>
      <c r="N34" s="67"/>
      <c r="O34" s="83"/>
      <c r="P34" s="83"/>
      <c r="Q34" s="68" t="s">
        <v>119</v>
      </c>
      <c r="R34" s="84"/>
    </row>
    <row r="35" spans="1:21">
      <c r="E35" s="73">
        <f>SUM(E29:E34)</f>
        <v>380000000</v>
      </c>
      <c r="L35" s="73">
        <f>SUM(L29:L34)</f>
        <v>297000000</v>
      </c>
      <c r="R35" s="3"/>
      <c r="S35" s="3"/>
    </row>
    <row r="36" spans="1:21">
      <c r="L36" s="2"/>
    </row>
    <row r="37" spans="1:21">
      <c r="L37" s="2"/>
      <c r="N37" s="3" t="s">
        <v>157</v>
      </c>
    </row>
    <row r="38" spans="1:21">
      <c r="L38" s="2"/>
      <c r="N38" s="3" t="s">
        <v>158</v>
      </c>
    </row>
    <row r="39" spans="1:21">
      <c r="L39" s="2"/>
      <c r="N39" s="3" t="s">
        <v>159</v>
      </c>
    </row>
    <row r="40" spans="1:21">
      <c r="A40" s="3" t="s">
        <v>14</v>
      </c>
      <c r="O40" s="3"/>
      <c r="P40" s="3"/>
      <c r="T40" s="3"/>
      <c r="U40" s="85">
        <v>0.1</v>
      </c>
    </row>
    <row r="41" spans="1:21">
      <c r="B41" s="2" t="s">
        <v>160</v>
      </c>
      <c r="E41" s="21"/>
    </row>
    <row r="42" spans="1:21">
      <c r="B42" s="62" t="s">
        <v>61</v>
      </c>
      <c r="C42" s="60"/>
      <c r="D42" s="60"/>
      <c r="E42" s="61">
        <f>R31</f>
        <v>930000</v>
      </c>
      <c r="H42" s="62" t="s">
        <v>53</v>
      </c>
      <c r="I42" s="60"/>
      <c r="J42" s="60"/>
      <c r="K42" s="61"/>
    </row>
    <row r="43" spans="1:21">
      <c r="B43" s="67" t="s">
        <v>78</v>
      </c>
      <c r="C43" s="68"/>
      <c r="D43" s="68"/>
      <c r="E43" s="69">
        <f>-E42</f>
        <v>-930000</v>
      </c>
      <c r="H43" s="67"/>
      <c r="I43" s="68"/>
      <c r="J43" s="68"/>
      <c r="K43" s="70"/>
    </row>
    <row r="45" spans="1:21">
      <c r="B45" s="2" t="s">
        <v>161</v>
      </c>
    </row>
    <row r="46" spans="1:21">
      <c r="B46" s="62" t="s">
        <v>61</v>
      </c>
      <c r="C46" s="60"/>
      <c r="D46" s="60"/>
      <c r="E46" s="61">
        <f>R33</f>
        <v>8000000</v>
      </c>
      <c r="H46" s="62" t="s">
        <v>53</v>
      </c>
      <c r="I46" s="60"/>
      <c r="J46" s="60"/>
      <c r="K46" s="61"/>
    </row>
    <row r="47" spans="1:21">
      <c r="B47" s="67" t="s">
        <v>78</v>
      </c>
      <c r="C47" s="68"/>
      <c r="D47" s="68"/>
      <c r="E47" s="69">
        <f>-E46</f>
        <v>-8000000</v>
      </c>
      <c r="H47" s="67"/>
      <c r="I47" s="68"/>
      <c r="J47" s="68"/>
      <c r="K47" s="70"/>
    </row>
    <row r="49" spans="1:18">
      <c r="B49" s="2" t="s">
        <v>122</v>
      </c>
    </row>
    <row r="50" spans="1:18">
      <c r="B50" s="1" t="s">
        <v>103</v>
      </c>
      <c r="E50" s="1">
        <v>415000000</v>
      </c>
    </row>
    <row r="52" spans="1:18">
      <c r="B52" s="2" t="s">
        <v>147</v>
      </c>
    </row>
    <row r="53" spans="1:18">
      <c r="B53" s="62" t="s">
        <v>145</v>
      </c>
      <c r="C53" s="60"/>
      <c r="D53" s="60"/>
      <c r="E53" s="61"/>
      <c r="H53" s="62" t="s">
        <v>53</v>
      </c>
      <c r="I53" s="60"/>
      <c r="J53" s="60"/>
      <c r="K53" s="61"/>
    </row>
    <row r="54" spans="1:18">
      <c r="B54" s="63" t="s">
        <v>146</v>
      </c>
      <c r="C54" s="64"/>
      <c r="D54" s="64"/>
      <c r="E54" s="65">
        <f>E50-E35</f>
        <v>35000000</v>
      </c>
      <c r="H54" s="66"/>
      <c r="I54" s="64"/>
      <c r="J54" s="64"/>
      <c r="K54" s="65"/>
      <c r="M54" s="15" t="s">
        <v>148</v>
      </c>
    </row>
    <row r="55" spans="1:18">
      <c r="B55" s="71" t="s">
        <v>149</v>
      </c>
      <c r="C55" s="68"/>
      <c r="D55" s="68"/>
      <c r="E55" s="69">
        <f>-E54</f>
        <v>-35000000</v>
      </c>
      <c r="H55" s="67"/>
      <c r="I55" s="68"/>
      <c r="J55" s="68"/>
      <c r="K55" s="70"/>
      <c r="M55" s="1">
        <f>$E$4*20%</f>
        <v>60000000</v>
      </c>
    </row>
    <row r="56" spans="1:18">
      <c r="B56" s="52"/>
    </row>
    <row r="57" spans="1:18">
      <c r="B57" s="52"/>
      <c r="H57" s="2" t="s">
        <v>162</v>
      </c>
      <c r="M57" s="15" t="s">
        <v>24</v>
      </c>
    </row>
    <row r="58" spans="1:18">
      <c r="B58" s="62" t="s">
        <v>53</v>
      </c>
      <c r="C58" s="60"/>
      <c r="D58" s="60"/>
      <c r="E58" s="61"/>
      <c r="H58" s="62" t="s">
        <v>25</v>
      </c>
      <c r="I58" s="60"/>
      <c r="J58" s="60"/>
      <c r="K58" s="61">
        <f>(E4-M20)*M23</f>
        <v>3000000</v>
      </c>
      <c r="M58" s="16">
        <f>(100/80)/100</f>
        <v>1.2500000000000001E-2</v>
      </c>
    </row>
    <row r="59" spans="1:18">
      <c r="B59" s="63"/>
      <c r="C59" s="64"/>
      <c r="D59" s="64"/>
      <c r="E59" s="65"/>
      <c r="H59" s="66" t="s">
        <v>151</v>
      </c>
      <c r="I59" s="64"/>
      <c r="J59" s="64"/>
      <c r="K59" s="65"/>
    </row>
    <row r="60" spans="1:18">
      <c r="B60" s="71"/>
      <c r="C60" s="68"/>
      <c r="D60" s="68"/>
      <c r="E60" s="70"/>
      <c r="H60" s="71" t="s">
        <v>152</v>
      </c>
      <c r="I60" s="68"/>
      <c r="J60" s="68"/>
      <c r="K60" s="69">
        <f>-K58</f>
        <v>-3000000</v>
      </c>
    </row>
    <row r="61" spans="1:18">
      <c r="B61" s="52"/>
    </row>
    <row r="62" spans="1:18">
      <c r="A62" s="2" t="s">
        <v>124</v>
      </c>
    </row>
    <row r="63" spans="1:18">
      <c r="B63" s="1" t="s">
        <v>153</v>
      </c>
      <c r="I63" s="1" t="s">
        <v>153</v>
      </c>
      <c r="N63" s="21" t="s">
        <v>40</v>
      </c>
      <c r="O63" s="21" t="s">
        <v>41</v>
      </c>
      <c r="P63" s="21" t="s">
        <v>42</v>
      </c>
      <c r="Q63" s="21" t="s">
        <v>43</v>
      </c>
      <c r="R63" s="21" t="s">
        <v>44</v>
      </c>
    </row>
    <row r="64" spans="1:18">
      <c r="C64" s="1" t="s">
        <v>154</v>
      </c>
      <c r="E64" s="64">
        <f>E11</f>
        <v>300000000</v>
      </c>
      <c r="J64" s="1" t="s">
        <v>154</v>
      </c>
      <c r="L64" s="72">
        <f>E4</f>
        <v>300000000</v>
      </c>
    </row>
    <row r="65" spans="1:21">
      <c r="E65" s="64"/>
      <c r="L65" s="72"/>
    </row>
    <row r="66" spans="1:21">
      <c r="C66" s="1" t="s">
        <v>31</v>
      </c>
      <c r="E66" s="64">
        <v>0</v>
      </c>
      <c r="F66" s="11" t="s">
        <v>155</v>
      </c>
      <c r="J66" s="1" t="s">
        <v>31</v>
      </c>
      <c r="L66" s="78">
        <f>K60+L31</f>
        <v>-6000000</v>
      </c>
      <c r="N66" s="62">
        <f>E66-L66</f>
        <v>6000000</v>
      </c>
      <c r="O66" s="60" t="s">
        <v>46</v>
      </c>
      <c r="P66" s="60" t="s">
        <v>76</v>
      </c>
      <c r="Q66" s="79">
        <v>0.35</v>
      </c>
      <c r="R66" s="61">
        <f>N66*Q66</f>
        <v>2100000</v>
      </c>
    </row>
    <row r="67" spans="1:21">
      <c r="E67" s="64"/>
      <c r="L67" s="72"/>
      <c r="N67" s="66"/>
      <c r="O67" s="64"/>
      <c r="P67" s="64"/>
      <c r="Q67" s="80" t="s">
        <v>48</v>
      </c>
      <c r="R67" s="81"/>
    </row>
    <row r="68" spans="1:21">
      <c r="C68" s="1" t="s">
        <v>156</v>
      </c>
      <c r="E68" s="64">
        <f>+E19+E54</f>
        <v>115000000</v>
      </c>
      <c r="J68" s="1" t="s">
        <v>156</v>
      </c>
      <c r="L68" s="72">
        <v>0</v>
      </c>
      <c r="M68" s="11" t="s">
        <v>155</v>
      </c>
      <c r="N68" s="66">
        <f>E68-L68</f>
        <v>115000000</v>
      </c>
      <c r="O68" s="64" t="s">
        <v>46</v>
      </c>
      <c r="P68" s="64" t="s">
        <v>76</v>
      </c>
      <c r="Q68" s="82">
        <v>0.1</v>
      </c>
      <c r="R68" s="65">
        <f>N68*Q68</f>
        <v>11500000</v>
      </c>
    </row>
    <row r="69" spans="1:21">
      <c r="E69" s="68"/>
      <c r="L69" s="68"/>
      <c r="M69" s="11"/>
      <c r="N69" s="67"/>
      <c r="O69" s="83"/>
      <c r="P69" s="83"/>
      <c r="Q69" s="83" t="s">
        <v>119</v>
      </c>
      <c r="R69" s="84"/>
    </row>
    <row r="70" spans="1:21">
      <c r="E70" s="73">
        <f>SUM(E64:E69)</f>
        <v>415000000</v>
      </c>
      <c r="L70" s="73">
        <f>SUM(L64:L69)</f>
        <v>294000000</v>
      </c>
      <c r="R70" s="3"/>
      <c r="S70" s="3"/>
    </row>
    <row r="71" spans="1:21">
      <c r="L71" s="2"/>
    </row>
    <row r="72" spans="1:21">
      <c r="L72" s="2"/>
      <c r="N72" s="3" t="s">
        <v>157</v>
      </c>
    </row>
    <row r="73" spans="1:21">
      <c r="L73" s="2"/>
      <c r="N73" s="3" t="s">
        <v>158</v>
      </c>
    </row>
    <row r="74" spans="1:21">
      <c r="L74" s="2"/>
      <c r="N74" s="3" t="s">
        <v>163</v>
      </c>
    </row>
    <row r="75" spans="1:21">
      <c r="A75" s="3" t="s">
        <v>14</v>
      </c>
      <c r="O75" s="3"/>
      <c r="P75" s="3"/>
      <c r="T75" s="3"/>
      <c r="U75" s="85">
        <v>0.1</v>
      </c>
    </row>
    <row r="76" spans="1:21">
      <c r="B76" s="2" t="s">
        <v>164</v>
      </c>
      <c r="E76" s="21"/>
    </row>
    <row r="77" spans="1:21">
      <c r="B77" s="62" t="s">
        <v>92</v>
      </c>
      <c r="C77" s="60"/>
      <c r="D77" s="60"/>
      <c r="E77" s="61">
        <f>E42</f>
        <v>930000</v>
      </c>
      <c r="H77" s="62" t="s">
        <v>53</v>
      </c>
      <c r="I77" s="60"/>
      <c r="J77" s="60"/>
      <c r="K77" s="61"/>
    </row>
    <row r="78" spans="1:21">
      <c r="B78" s="67" t="s">
        <v>56</v>
      </c>
      <c r="C78" s="68"/>
      <c r="D78" s="68"/>
      <c r="E78" s="69">
        <f>-E77</f>
        <v>-930000</v>
      </c>
      <c r="H78" s="67"/>
      <c r="I78" s="68"/>
      <c r="J78" s="68"/>
      <c r="K78" s="70"/>
    </row>
    <row r="79" spans="1:21">
      <c r="H79" s="72"/>
      <c r="I79" s="72"/>
      <c r="J79" s="72"/>
      <c r="K79" s="72"/>
    </row>
    <row r="80" spans="1:21">
      <c r="B80" s="2" t="s">
        <v>165</v>
      </c>
      <c r="H80" s="72"/>
      <c r="I80" s="72"/>
      <c r="J80" s="72"/>
      <c r="K80" s="72"/>
    </row>
    <row r="81" spans="1:21">
      <c r="B81" s="62" t="s">
        <v>92</v>
      </c>
      <c r="C81" s="60"/>
      <c r="D81" s="60"/>
      <c r="E81" s="61">
        <f>E46</f>
        <v>8000000</v>
      </c>
      <c r="H81" s="62" t="s">
        <v>53</v>
      </c>
      <c r="I81" s="60"/>
      <c r="J81" s="60"/>
      <c r="K81" s="61"/>
    </row>
    <row r="82" spans="1:21">
      <c r="B82" s="67" t="s">
        <v>56</v>
      </c>
      <c r="C82" s="68"/>
      <c r="D82" s="68"/>
      <c r="E82" s="69">
        <f>-E81</f>
        <v>-8000000</v>
      </c>
      <c r="H82" s="67"/>
      <c r="I82" s="68"/>
      <c r="J82" s="68"/>
      <c r="K82" s="70"/>
    </row>
    <row r="83" spans="1:21">
      <c r="A83" s="3"/>
      <c r="H83" s="72"/>
      <c r="I83" s="72"/>
      <c r="J83" s="72"/>
      <c r="K83" s="72"/>
      <c r="O83" s="3"/>
      <c r="P83" s="3"/>
      <c r="T83" s="3"/>
      <c r="U83" s="85"/>
    </row>
    <row r="84" spans="1:21">
      <c r="B84" s="2" t="s">
        <v>166</v>
      </c>
      <c r="E84" s="21"/>
      <c r="H84" s="72"/>
      <c r="I84" s="72"/>
      <c r="J84" s="72"/>
      <c r="K84" s="72"/>
    </row>
    <row r="85" spans="1:21">
      <c r="B85" s="62" t="s">
        <v>61</v>
      </c>
      <c r="C85" s="60"/>
      <c r="D85" s="60"/>
      <c r="E85" s="61">
        <f>R66</f>
        <v>2100000</v>
      </c>
      <c r="H85" s="62" t="s">
        <v>53</v>
      </c>
      <c r="I85" s="60"/>
      <c r="J85" s="60"/>
      <c r="K85" s="61"/>
    </row>
    <row r="86" spans="1:21">
      <c r="B86" s="67" t="s">
        <v>78</v>
      </c>
      <c r="C86" s="68"/>
      <c r="D86" s="68"/>
      <c r="E86" s="69">
        <f>-E85</f>
        <v>-2100000</v>
      </c>
      <c r="H86" s="67"/>
      <c r="I86" s="68"/>
      <c r="J86" s="68"/>
      <c r="K86" s="70"/>
    </row>
    <row r="87" spans="1:21">
      <c r="H87" s="72"/>
      <c r="I87" s="72"/>
      <c r="J87" s="72"/>
      <c r="K87" s="72"/>
    </row>
    <row r="88" spans="1:21">
      <c r="B88" s="2" t="s">
        <v>167</v>
      </c>
      <c r="H88" s="72"/>
      <c r="I88" s="72"/>
      <c r="J88" s="72"/>
      <c r="K88" s="72"/>
    </row>
    <row r="89" spans="1:21">
      <c r="B89" s="62" t="s">
        <v>61</v>
      </c>
      <c r="C89" s="60"/>
      <c r="D89" s="60"/>
      <c r="E89" s="61">
        <f>R68</f>
        <v>11500000</v>
      </c>
      <c r="H89" s="62" t="s">
        <v>53</v>
      </c>
      <c r="I89" s="60"/>
      <c r="J89" s="60"/>
      <c r="K89" s="61"/>
    </row>
    <row r="90" spans="1:21">
      <c r="B90" s="67" t="s">
        <v>78</v>
      </c>
      <c r="C90" s="68"/>
      <c r="D90" s="68"/>
      <c r="E90" s="69">
        <f>-E89</f>
        <v>-11500000</v>
      </c>
      <c r="H90" s="67"/>
      <c r="I90" s="68"/>
      <c r="J90" s="68"/>
      <c r="K90" s="70"/>
    </row>
    <row r="92" spans="1:21">
      <c r="B92" s="2" t="s">
        <v>168</v>
      </c>
    </row>
    <row r="93" spans="1:21">
      <c r="B93" s="1" t="s">
        <v>103</v>
      </c>
      <c r="E93" s="1">
        <v>380000000</v>
      </c>
    </row>
    <row r="95" spans="1:21">
      <c r="B95" s="2" t="s">
        <v>147</v>
      </c>
    </row>
    <row r="96" spans="1:21">
      <c r="B96" s="59" t="s">
        <v>169</v>
      </c>
      <c r="C96" s="60"/>
      <c r="D96" s="60"/>
      <c r="E96" s="61">
        <f>-E98</f>
        <v>35000000</v>
      </c>
      <c r="H96" s="62" t="s">
        <v>53</v>
      </c>
      <c r="I96" s="60"/>
      <c r="J96" s="60"/>
      <c r="K96" s="61"/>
    </row>
    <row r="97" spans="1:18">
      <c r="B97" s="66" t="s">
        <v>151</v>
      </c>
      <c r="C97" s="64"/>
      <c r="D97" s="64"/>
      <c r="E97" s="65"/>
      <c r="H97" s="66"/>
      <c r="I97" s="64"/>
      <c r="J97" s="64"/>
      <c r="K97" s="65"/>
      <c r="M97" s="15" t="s">
        <v>148</v>
      </c>
    </row>
    <row r="98" spans="1:18">
      <c r="B98" s="71" t="s">
        <v>146</v>
      </c>
      <c r="C98" s="68"/>
      <c r="D98" s="68"/>
      <c r="E98" s="69">
        <f>E93-E70</f>
        <v>-35000000</v>
      </c>
      <c r="H98" s="67"/>
      <c r="I98" s="68"/>
      <c r="J98" s="68"/>
      <c r="K98" s="70"/>
      <c r="M98" s="1">
        <f>$E$4*20%</f>
        <v>60000000</v>
      </c>
    </row>
    <row r="100" spans="1:18">
      <c r="H100" s="2" t="s">
        <v>23</v>
      </c>
      <c r="M100" s="15" t="s">
        <v>24</v>
      </c>
    </row>
    <row r="101" spans="1:18">
      <c r="B101" s="62" t="s">
        <v>53</v>
      </c>
      <c r="C101" s="60"/>
      <c r="D101" s="60"/>
      <c r="E101" s="61"/>
      <c r="H101" s="62" t="s">
        <v>25</v>
      </c>
      <c r="I101" s="60"/>
      <c r="J101" s="60"/>
      <c r="K101" s="61">
        <f>(E4-M20)*M23</f>
        <v>3000000</v>
      </c>
      <c r="M101" s="16">
        <f>(100/80)/100</f>
        <v>1.2500000000000001E-2</v>
      </c>
    </row>
    <row r="102" spans="1:18">
      <c r="B102" s="63"/>
      <c r="C102" s="64"/>
      <c r="D102" s="64"/>
      <c r="E102" s="65"/>
      <c r="H102" s="66" t="s">
        <v>151</v>
      </c>
      <c r="I102" s="64"/>
      <c r="J102" s="64"/>
      <c r="K102" s="65"/>
    </row>
    <row r="103" spans="1:18">
      <c r="B103" s="71"/>
      <c r="C103" s="68"/>
      <c r="D103" s="68"/>
      <c r="E103" s="70"/>
      <c r="H103" s="71" t="s">
        <v>152</v>
      </c>
      <c r="I103" s="68"/>
      <c r="J103" s="68"/>
      <c r="K103" s="69">
        <f>-K101</f>
        <v>-3000000</v>
      </c>
    </row>
    <row r="104" spans="1:18">
      <c r="B104" s="52"/>
    </row>
    <row r="105" spans="1:18">
      <c r="B105" s="52"/>
      <c r="H105" s="2" t="s">
        <v>170</v>
      </c>
      <c r="M105" s="15" t="s">
        <v>171</v>
      </c>
    </row>
    <row r="106" spans="1:18">
      <c r="B106" s="52"/>
      <c r="M106" s="1">
        <v>355000000</v>
      </c>
    </row>
    <row r="107" spans="1:18">
      <c r="B107" s="52"/>
      <c r="H107" s="62" t="s">
        <v>145</v>
      </c>
      <c r="I107" s="60"/>
      <c r="J107" s="60"/>
      <c r="K107" s="61">
        <f>M106-L64</f>
        <v>55000000</v>
      </c>
    </row>
    <row r="108" spans="1:18">
      <c r="B108" s="52"/>
      <c r="H108" s="86" t="s">
        <v>172</v>
      </c>
      <c r="I108" s="87"/>
      <c r="J108" s="87"/>
      <c r="K108" s="88">
        <f>-K107</f>
        <v>-55000000</v>
      </c>
    </row>
    <row r="109" spans="1:18">
      <c r="B109" s="52"/>
    </row>
    <row r="110" spans="1:18">
      <c r="B110" s="52"/>
    </row>
    <row r="111" spans="1:18">
      <c r="A111" s="2" t="s">
        <v>28</v>
      </c>
    </row>
    <row r="112" spans="1:18">
      <c r="B112" s="1" t="s">
        <v>153</v>
      </c>
      <c r="I112" s="1" t="s">
        <v>153</v>
      </c>
      <c r="N112" s="21" t="s">
        <v>40</v>
      </c>
      <c r="O112" s="21" t="s">
        <v>41</v>
      </c>
      <c r="P112" s="21" t="s">
        <v>42</v>
      </c>
      <c r="Q112" s="21" t="s">
        <v>43</v>
      </c>
      <c r="R112" s="21" t="s">
        <v>44</v>
      </c>
    </row>
    <row r="113" spans="1:21">
      <c r="C113" s="1" t="s">
        <v>154</v>
      </c>
      <c r="E113" s="64">
        <f>E11</f>
        <v>300000000</v>
      </c>
      <c r="J113" s="1" t="s">
        <v>154</v>
      </c>
      <c r="L113" s="72">
        <f>E4</f>
        <v>300000000</v>
      </c>
    </row>
    <row r="114" spans="1:21">
      <c r="E114" s="64"/>
      <c r="L114" s="72"/>
    </row>
    <row r="115" spans="1:21">
      <c r="C115" s="1" t="s">
        <v>31</v>
      </c>
      <c r="E115" s="64">
        <v>0</v>
      </c>
      <c r="F115" s="11" t="s">
        <v>155</v>
      </c>
      <c r="J115" s="1" t="s">
        <v>31</v>
      </c>
      <c r="L115" s="78">
        <f>K60+L31+K103</f>
        <v>-9000000</v>
      </c>
      <c r="N115" s="62">
        <f>E115-L115</f>
        <v>9000000</v>
      </c>
      <c r="O115" s="60" t="s">
        <v>46</v>
      </c>
      <c r="P115" s="60" t="s">
        <v>76</v>
      </c>
      <c r="Q115" s="79">
        <v>0.35</v>
      </c>
      <c r="R115" s="61">
        <f>N115*Q115</f>
        <v>3150000</v>
      </c>
    </row>
    <row r="116" spans="1:21">
      <c r="E116" s="64"/>
      <c r="L116" s="72"/>
      <c r="N116" s="66"/>
      <c r="O116" s="64"/>
      <c r="P116" s="64"/>
      <c r="Q116" s="64" t="s">
        <v>48</v>
      </c>
      <c r="R116" s="65"/>
    </row>
    <row r="117" spans="1:21">
      <c r="C117" s="1" t="s">
        <v>156</v>
      </c>
      <c r="E117" s="64">
        <f>+E19+E54+E98</f>
        <v>80000000</v>
      </c>
      <c r="J117" s="1" t="s">
        <v>173</v>
      </c>
      <c r="L117" s="72">
        <f>K107</f>
        <v>55000000</v>
      </c>
      <c r="M117" s="11"/>
      <c r="N117" s="66">
        <f>E117-L117</f>
        <v>25000000</v>
      </c>
      <c r="O117" s="64" t="s">
        <v>46</v>
      </c>
      <c r="P117" s="64" t="s">
        <v>76</v>
      </c>
      <c r="Q117" s="82">
        <v>0.1</v>
      </c>
      <c r="R117" s="65">
        <f>N117*Q117</f>
        <v>2500000</v>
      </c>
    </row>
    <row r="118" spans="1:21">
      <c r="E118" s="68"/>
      <c r="F118" s="33"/>
      <c r="G118" s="33"/>
      <c r="H118" s="33"/>
      <c r="I118" s="33"/>
      <c r="J118" s="33"/>
      <c r="K118" s="33"/>
      <c r="L118" s="68"/>
      <c r="M118" s="11"/>
      <c r="N118" s="67"/>
      <c r="O118" s="68"/>
      <c r="P118" s="68"/>
      <c r="Q118" s="68" t="s">
        <v>119</v>
      </c>
      <c r="R118" s="70"/>
    </row>
    <row r="119" spans="1:21">
      <c r="E119" s="73">
        <f>SUM(E113:E118)</f>
        <v>380000000</v>
      </c>
      <c r="L119" s="73">
        <f>SUM(L113:L118)</f>
        <v>346000000</v>
      </c>
      <c r="M119" s="3" t="s">
        <v>174</v>
      </c>
      <c r="R119" s="3"/>
      <c r="S119" s="3"/>
    </row>
    <row r="120" spans="1:21">
      <c r="L120" s="2"/>
    </row>
    <row r="121" spans="1:21">
      <c r="L121" s="2"/>
      <c r="N121" s="3" t="s">
        <v>157</v>
      </c>
    </row>
    <row r="122" spans="1:21">
      <c r="L122" s="2"/>
      <c r="N122" s="3" t="s">
        <v>158</v>
      </c>
    </row>
    <row r="123" spans="1:21">
      <c r="L123" s="2"/>
      <c r="N123" s="3" t="s">
        <v>163</v>
      </c>
    </row>
    <row r="124" spans="1:21">
      <c r="A124" s="3" t="s">
        <v>14</v>
      </c>
      <c r="O124" s="3"/>
      <c r="P124" s="3"/>
      <c r="T124" s="3"/>
      <c r="U124" s="85">
        <v>0.1</v>
      </c>
    </row>
    <row r="125" spans="1:21">
      <c r="B125" s="2" t="s">
        <v>175</v>
      </c>
      <c r="E125" s="21"/>
    </row>
    <row r="126" spans="1:21">
      <c r="B126" s="62" t="s">
        <v>92</v>
      </c>
      <c r="C126" s="60"/>
      <c r="D126" s="60"/>
      <c r="E126" s="61">
        <f>E85</f>
        <v>2100000</v>
      </c>
      <c r="H126" s="62" t="s">
        <v>53</v>
      </c>
      <c r="I126" s="60"/>
      <c r="J126" s="60"/>
      <c r="K126" s="61"/>
    </row>
    <row r="127" spans="1:21">
      <c r="B127" s="67" t="s">
        <v>56</v>
      </c>
      <c r="C127" s="68"/>
      <c r="D127" s="68"/>
      <c r="E127" s="69">
        <f>-E126</f>
        <v>-2100000</v>
      </c>
      <c r="H127" s="67"/>
      <c r="I127" s="68"/>
      <c r="J127" s="68"/>
      <c r="K127" s="70"/>
    </row>
    <row r="128" spans="1:21">
      <c r="H128" s="72"/>
      <c r="I128" s="72"/>
      <c r="J128" s="72"/>
      <c r="K128" s="72"/>
    </row>
    <row r="129" spans="1:21">
      <c r="B129" s="2" t="s">
        <v>176</v>
      </c>
      <c r="H129" s="72"/>
      <c r="I129" s="72"/>
      <c r="J129" s="72"/>
      <c r="K129" s="72"/>
    </row>
    <row r="130" spans="1:21">
      <c r="B130" s="62" t="s">
        <v>92</v>
      </c>
      <c r="C130" s="60"/>
      <c r="D130" s="60"/>
      <c r="E130" s="61">
        <f>E89</f>
        <v>11500000</v>
      </c>
      <c r="H130" s="62" t="s">
        <v>53</v>
      </c>
      <c r="I130" s="60"/>
      <c r="J130" s="60"/>
      <c r="K130" s="61"/>
    </row>
    <row r="131" spans="1:21">
      <c r="B131" s="67" t="s">
        <v>56</v>
      </c>
      <c r="C131" s="68"/>
      <c r="D131" s="68"/>
      <c r="E131" s="69">
        <f>-E130</f>
        <v>-11500000</v>
      </c>
      <c r="H131" s="67"/>
      <c r="I131" s="68"/>
      <c r="J131" s="68"/>
      <c r="K131" s="70"/>
    </row>
    <row r="132" spans="1:21">
      <c r="A132" s="3"/>
      <c r="H132" s="72"/>
      <c r="I132" s="72"/>
      <c r="J132" s="72"/>
      <c r="K132" s="72"/>
      <c r="O132" s="3"/>
      <c r="P132" s="3"/>
      <c r="T132" s="3"/>
      <c r="U132" s="85"/>
    </row>
    <row r="133" spans="1:21">
      <c r="B133" s="2" t="s">
        <v>177</v>
      </c>
      <c r="E133" s="21"/>
      <c r="H133" s="72"/>
      <c r="I133" s="72"/>
      <c r="J133" s="72"/>
      <c r="K133" s="72"/>
    </row>
    <row r="134" spans="1:21">
      <c r="B134" s="62" t="s">
        <v>61</v>
      </c>
      <c r="C134" s="60"/>
      <c r="D134" s="60"/>
      <c r="E134" s="61">
        <f>R115</f>
        <v>3150000</v>
      </c>
      <c r="H134" s="62" t="s">
        <v>53</v>
      </c>
      <c r="I134" s="60"/>
      <c r="J134" s="60"/>
      <c r="K134" s="61"/>
    </row>
    <row r="135" spans="1:21">
      <c r="B135" s="67" t="s">
        <v>78</v>
      </c>
      <c r="C135" s="68"/>
      <c r="D135" s="68"/>
      <c r="E135" s="69">
        <f>-E134</f>
        <v>-3150000</v>
      </c>
      <c r="H135" s="67"/>
      <c r="I135" s="68"/>
      <c r="J135" s="68"/>
      <c r="K135" s="70"/>
    </row>
    <row r="136" spans="1:21">
      <c r="H136" s="72"/>
      <c r="I136" s="72"/>
      <c r="J136" s="72"/>
      <c r="K136" s="72"/>
    </row>
    <row r="137" spans="1:21">
      <c r="B137" s="2" t="s">
        <v>178</v>
      </c>
      <c r="H137" s="72"/>
      <c r="I137" s="72"/>
      <c r="J137" s="72"/>
      <c r="K137" s="72"/>
    </row>
    <row r="138" spans="1:21">
      <c r="B138" s="62" t="s">
        <v>61</v>
      </c>
      <c r="C138" s="60"/>
      <c r="D138" s="60"/>
      <c r="E138" s="61">
        <f>R117</f>
        <v>2500000</v>
      </c>
      <c r="H138" s="62" t="s">
        <v>53</v>
      </c>
      <c r="I138" s="60"/>
      <c r="J138" s="60"/>
      <c r="K138" s="61"/>
    </row>
    <row r="139" spans="1:21">
      <c r="B139" s="67" t="s">
        <v>78</v>
      </c>
      <c r="C139" s="68"/>
      <c r="D139" s="68"/>
      <c r="E139" s="69">
        <f>-E138</f>
        <v>-2500000</v>
      </c>
      <c r="H139" s="67"/>
      <c r="I139" s="68"/>
      <c r="J139" s="68"/>
      <c r="K139" s="70"/>
    </row>
    <row r="141" spans="1:21">
      <c r="A141" s="3" t="s">
        <v>128</v>
      </c>
    </row>
    <row r="142" spans="1:21">
      <c r="B142" s="1" t="s">
        <v>179</v>
      </c>
    </row>
    <row r="144" spans="1:21">
      <c r="B144" s="2" t="s">
        <v>130</v>
      </c>
      <c r="C144" s="1" t="s">
        <v>131</v>
      </c>
      <c r="E144" s="1">
        <v>340000000</v>
      </c>
    </row>
    <row r="146" spans="2:12">
      <c r="B146" s="1" t="s">
        <v>180</v>
      </c>
      <c r="I146" s="1" t="s">
        <v>134</v>
      </c>
      <c r="L146" s="1">
        <f>L119-E144</f>
        <v>6000000</v>
      </c>
    </row>
    <row r="148" spans="2:12">
      <c r="B148" s="2" t="s">
        <v>135</v>
      </c>
      <c r="C148" s="1" t="s">
        <v>131</v>
      </c>
      <c r="E148" s="1">
        <v>353000000</v>
      </c>
    </row>
    <row r="149" spans="2:12">
      <c r="B149" s="2"/>
    </row>
    <row r="150" spans="2:12">
      <c r="B150" s="1" t="s">
        <v>180</v>
      </c>
      <c r="I150" s="1" t="s">
        <v>181</v>
      </c>
      <c r="L150" s="43">
        <f>E148-L119</f>
        <v>7000000</v>
      </c>
    </row>
    <row r="151" spans="2:12">
      <c r="B151" s="2"/>
      <c r="I151" s="1" t="s">
        <v>182</v>
      </c>
      <c r="L151" s="1">
        <v>7000000</v>
      </c>
    </row>
    <row r="152" spans="2:12">
      <c r="B152" s="2"/>
      <c r="I152" s="1" t="s">
        <v>138</v>
      </c>
      <c r="L152" s="1">
        <f>L150-L151</f>
        <v>0</v>
      </c>
    </row>
    <row r="153" spans="2:12">
      <c r="B153" s="2"/>
    </row>
    <row r="154" spans="2:12">
      <c r="B154" s="2" t="s">
        <v>183</v>
      </c>
      <c r="C154" s="1" t="s">
        <v>131</v>
      </c>
      <c r="E154" s="1">
        <v>400000000</v>
      </c>
    </row>
    <row r="156" spans="2:12">
      <c r="B156" s="1" t="s">
        <v>184</v>
      </c>
      <c r="I156" s="1" t="s">
        <v>181</v>
      </c>
      <c r="L156" s="43">
        <f>E154-L119</f>
        <v>54000000</v>
      </c>
    </row>
    <row r="157" spans="2:12">
      <c r="I157" s="1" t="s">
        <v>182</v>
      </c>
      <c r="L157" s="1">
        <f>-L115</f>
        <v>9000000</v>
      </c>
    </row>
    <row r="158" spans="2:12">
      <c r="I158" s="1" t="s">
        <v>138</v>
      </c>
      <c r="L158" s="1">
        <f>L156-L157</f>
        <v>45000000</v>
      </c>
    </row>
    <row r="160" spans="2:12">
      <c r="I160" s="3" t="s">
        <v>185</v>
      </c>
    </row>
    <row r="161" spans="9:9">
      <c r="I161" s="3" t="s">
        <v>186</v>
      </c>
    </row>
  </sheetData>
  <sheetProtection algorithmName="SHA-512" hashValue="5D4M40m7PW3hEg8L3hYD8kihKB4lJI+jxqP+8CF3+stS9F8o0LI6F3ILgFpjODIONd6Gs+KBcG4c7HIizk+Egg==" saltValue="zdshz/KTkeEVHGQtYA1Q2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Ejercicio 1</vt:lpstr>
      <vt:lpstr>Ejercicio 2</vt:lpstr>
      <vt:lpstr>Ejercicio 3</vt:lpstr>
      <vt:lpstr>Ejercicio 4</vt:lpstr>
      <vt:lpstr>Ejercicio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ACCOUNTER03</cp:lastModifiedBy>
  <dcterms:created xsi:type="dcterms:W3CDTF">2022-09-17T04:26:21Z</dcterms:created>
  <dcterms:modified xsi:type="dcterms:W3CDTF">2022-09-20T12:55:56Z</dcterms:modified>
</cp:coreProperties>
</file>