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Desktop\ADJUNTOS EVENTOS\"/>
    </mc:Choice>
  </mc:AlternateContent>
  <xr:revisionPtr revIDLastSave="0" documentId="8_{A2E8BDB5-A9D3-42D1-B1A5-0B65F9680B74}" xr6:coauthVersionLast="46" xr6:coauthVersionMax="46" xr10:uidLastSave="{00000000-0000-0000-0000-000000000000}"/>
  <bookViews>
    <workbookView xWindow="1950" yWindow="780" windowWidth="14400" windowHeight="15420" activeTab="3" xr2:uid="{F511F89B-B959-4A4A-9C74-B373612B51E2}"/>
  </bookViews>
  <sheets>
    <sheet name="ORI" sheetId="45" r:id="rId1"/>
    <sheet name="HW PYMES" sheetId="5" r:id="rId2"/>
    <sheet name="ESF_ERI_PYMES" sheetId="4" r:id="rId3"/>
    <sheet name="EST FIN" sheetId="32" r:id="rId4"/>
    <sheet name="EFE" sheetId="44" r:id="rId5"/>
    <sheet name="Efect y Equiv" sheetId="11" r:id="rId6"/>
    <sheet name="Act Fin" sheetId="16" r:id="rId7"/>
    <sheet name="CXC y Otras" sheetId="12" r:id="rId8"/>
    <sheet name="Ant y Avan" sheetId="13" r:id="rId9"/>
    <sheet name="Act Imp Cts" sheetId="14" r:id="rId10"/>
    <sheet name="Pas Imp Cts" sheetId="15" r:id="rId11"/>
    <sheet name="Inv MP &amp; PS" sheetId="17" r:id="rId12"/>
    <sheet name="P, Pl y Eq 2020" sheetId="20" r:id="rId13"/>
    <sheet name="P, Pl y Eq 2021" sheetId="37" r:id="rId14"/>
    <sheet name="Arrendam" sheetId="23" r:id="rId15"/>
    <sheet name="Int y Dif" sheetId="22" r:id="rId16"/>
    <sheet name="Pas Finan" sheetId="25" r:id="rId17"/>
    <sheet name="CXP y Otras Dic20" sheetId="28" r:id="rId18"/>
    <sheet name="CXP y Otras Dic21" sheetId="39" r:id="rId19"/>
    <sheet name="Obl Lab" sheetId="29" r:id="rId20"/>
    <sheet name="Patrim_Imp Dif" sheetId="30" r:id="rId21"/>
    <sheet name="PPEQ" sheetId="33" r:id="rId22"/>
    <sheet name="Notas" sheetId="43" r:id="rId23"/>
  </sheets>
  <externalReferences>
    <externalReference r:id="rId24"/>
  </externalReferences>
  <definedNames>
    <definedName name="_xlnm._FilterDatabase" localSheetId="1" hidden="1">'HW PYMES'!$A$4:$P$197</definedName>
    <definedName name="_xlnm._FilterDatabase" localSheetId="13" hidden="1">'P, Pl y Eq 2021'!$A$28:$AG$342</definedName>
    <definedName name="D" localSheetId="6">[1]Hoja1!$A$2:$A$6</definedName>
    <definedName name="D">[1]Hoja1!$A$2:$A$6</definedName>
    <definedName name="ExportarAExcel" localSheetId="6">#REF!</definedName>
    <definedName name="ExportarAExcel" localSheetId="9">#REF!</definedName>
    <definedName name="ExportarAExcel" localSheetId="8">#REF!</definedName>
    <definedName name="ExportarAExcel" localSheetId="7">#REF!</definedName>
    <definedName name="ExportarAExcel" localSheetId="17">#REF!</definedName>
    <definedName name="ExportarAExcel" localSheetId="18">#REF!</definedName>
    <definedName name="ExportarAExcel" localSheetId="3">#REF!</definedName>
    <definedName name="ExportarAExcel" localSheetId="15">#REF!</definedName>
    <definedName name="ExportarAExcel" localSheetId="11">#REF!</definedName>
    <definedName name="ExportarAExcel" localSheetId="19">#REF!</definedName>
    <definedName name="ExportarAExcel" localSheetId="12">#REF!</definedName>
    <definedName name="ExportarAExcel" localSheetId="13">#REF!</definedName>
    <definedName name="ExportarAExcel" localSheetId="16">#REF!</definedName>
    <definedName name="ExportarAExcel" localSheetId="10">#REF!</definedName>
    <definedName name="ExportarAExcel" localSheetId="20">#REF!</definedName>
    <definedName name="ExportarAExcel" localSheetId="21">#REF!</definedName>
    <definedName name="ExportarAExcel">#REF!</definedName>
  </definedNames>
  <calcPr calcId="191029"/>
  <pivotCaches>
    <pivotCache cacheId="0" r:id="rId2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45" l="1"/>
  <c r="H10" i="45"/>
  <c r="M6" i="45"/>
  <c r="C52" i="45"/>
  <c r="C46" i="45"/>
  <c r="H52" i="45" s="1"/>
  <c r="J24" i="45"/>
  <c r="C29" i="45"/>
  <c r="E22" i="45" s="1"/>
  <c r="H24" i="45" s="1"/>
  <c r="H12" i="45"/>
  <c r="H32" i="45" s="1"/>
  <c r="H35" i="45" s="1"/>
  <c r="E11" i="45"/>
  <c r="E4" i="45"/>
  <c r="L6" i="45" s="1"/>
  <c r="N6" i="45" s="1"/>
  <c r="C11" i="45"/>
  <c r="C10" i="45"/>
  <c r="W6" i="45" l="1"/>
  <c r="W7" i="45" s="1"/>
  <c r="X9" i="45" s="1"/>
  <c r="O6" i="45"/>
  <c r="O9" i="45" s="1"/>
  <c r="O10" i="45" s="1"/>
  <c r="O14" i="45" s="1"/>
  <c r="O15" i="45" s="1"/>
  <c r="T14" i="45" s="1"/>
  <c r="C47" i="45"/>
  <c r="C30" i="45"/>
  <c r="E30" i="45" s="1"/>
  <c r="H27" i="45" s="1"/>
  <c r="H38" i="45" s="1"/>
  <c r="H40" i="45" s="1"/>
  <c r="I47" i="44"/>
  <c r="I20" i="44"/>
  <c r="D56" i="45" l="1"/>
  <c r="T13" i="45"/>
  <c r="T15" i="45" s="1"/>
  <c r="X10" i="45"/>
  <c r="O12" i="45"/>
  <c r="H14" i="45" s="1"/>
  <c r="H16" i="45" s="1"/>
  <c r="X192" i="32"/>
  <c r="X127" i="32"/>
  <c r="I11" i="44"/>
  <c r="W38" i="44"/>
  <c r="AC23" i="44"/>
  <c r="W270" i="20"/>
  <c r="W269" i="20"/>
  <c r="H60" i="45" l="1"/>
  <c r="H63" i="45" s="1"/>
  <c r="D57" i="45"/>
  <c r="H55" i="45" s="1"/>
  <c r="W288" i="20"/>
  <c r="R44" i="23" l="1"/>
  <c r="R43" i="23"/>
  <c r="M66" i="23"/>
  <c r="O66" i="23" s="1"/>
  <c r="M65" i="23"/>
  <c r="O65" i="23" s="1"/>
  <c r="E7" i="23"/>
  <c r="AA301" i="20"/>
  <c r="H23" i="13"/>
  <c r="E195" i="5"/>
  <c r="N76" i="5"/>
  <c r="G35" i="32" s="1"/>
  <c r="G46" i="32"/>
  <c r="F241" i="43" l="1"/>
  <c r="D241" i="43"/>
  <c r="F217" i="43"/>
  <c r="D217" i="43"/>
  <c r="F216" i="43"/>
  <c r="D216" i="43"/>
  <c r="D201" i="43"/>
  <c r="D198" i="43"/>
  <c r="E181" i="43"/>
  <c r="E182" i="43"/>
  <c r="Y56" i="43" l="1"/>
  <c r="S56" i="43"/>
  <c r="C190" i="43"/>
  <c r="C182" i="43"/>
  <c r="S51" i="43" s="1"/>
  <c r="Y51" i="43"/>
  <c r="S55" i="43"/>
  <c r="Y50" i="43"/>
  <c r="S50" i="43"/>
  <c r="J147" i="43"/>
  <c r="J148" i="43" s="1"/>
  <c r="I148" i="43"/>
  <c r="I147" i="43"/>
  <c r="F67" i="43"/>
  <c r="F66" i="43"/>
  <c r="F71" i="43"/>
  <c r="F70" i="43"/>
  <c r="D101" i="43"/>
  <c r="F94" i="43"/>
  <c r="D94" i="43"/>
  <c r="C89" i="43"/>
  <c r="U23" i="43"/>
  <c r="X57" i="43"/>
  <c r="X53" i="43"/>
  <c r="W53" i="43" s="1"/>
  <c r="X48" i="43"/>
  <c r="W57" i="43" s="1"/>
  <c r="X46" i="43"/>
  <c r="Q21" i="43"/>
  <c r="Q20" i="43"/>
  <c r="Q19" i="43"/>
  <c r="Q18" i="43"/>
  <c r="Z29" i="43"/>
  <c r="Y29" i="43"/>
  <c r="X29" i="43"/>
  <c r="Z28" i="43"/>
  <c r="Y28" i="43"/>
  <c r="X28" i="43"/>
  <c r="Y27" i="43"/>
  <c r="Z27" i="43"/>
  <c r="X27" i="43"/>
  <c r="AC22" i="43"/>
  <c r="AB22" i="43"/>
  <c r="AA22" i="43"/>
  <c r="AA21" i="43"/>
  <c r="AA19" i="43"/>
  <c r="AA18" i="43"/>
  <c r="AA17" i="43"/>
  <c r="AC20" i="43"/>
  <c r="AB20" i="43"/>
  <c r="AA20" i="43"/>
  <c r="AC14" i="43"/>
  <c r="AB14" i="43"/>
  <c r="AA14" i="43"/>
  <c r="AA13" i="43"/>
  <c r="AA11" i="43"/>
  <c r="AA10" i="43"/>
  <c r="AA9" i="43"/>
  <c r="AC12" i="43"/>
  <c r="AB12" i="43"/>
  <c r="AA12" i="43"/>
  <c r="F77" i="43"/>
  <c r="D77" i="43"/>
  <c r="U57" i="43" l="1"/>
  <c r="U53" i="43"/>
  <c r="Q48" i="43"/>
  <c r="Q46" i="43"/>
  <c r="U46" i="43"/>
  <c r="U48" i="43"/>
  <c r="U16" i="43"/>
  <c r="U10" i="43"/>
  <c r="R57" i="43"/>
  <c r="R53" i="43"/>
  <c r="Q16" i="43"/>
  <c r="Q15" i="43"/>
  <c r="Q14" i="43"/>
  <c r="Q13" i="43"/>
  <c r="Q12" i="43"/>
  <c r="Q11" i="43"/>
  <c r="Q10" i="43"/>
  <c r="Q9" i="43"/>
  <c r="P42" i="43"/>
  <c r="P41" i="43"/>
  <c r="P40" i="43"/>
  <c r="F76" i="43" l="1"/>
  <c r="T57" i="43"/>
  <c r="T53" i="43"/>
  <c r="D76" i="43"/>
  <c r="U11" i="43"/>
  <c r="U24" i="43"/>
  <c r="Q57" i="43"/>
  <c r="Q53" i="43"/>
  <c r="U18" i="43"/>
  <c r="Q36" i="43"/>
  <c r="O42" i="43"/>
  <c r="N42" i="43"/>
  <c r="M42" i="43"/>
  <c r="L42" i="43"/>
  <c r="K42" i="43"/>
  <c r="J42" i="43"/>
  <c r="I42" i="43"/>
  <c r="O41" i="43"/>
  <c r="N41" i="43"/>
  <c r="M41" i="43"/>
  <c r="L41" i="43"/>
  <c r="K41" i="43"/>
  <c r="J41" i="43"/>
  <c r="I41" i="43"/>
  <c r="O40" i="43"/>
  <c r="N40" i="43"/>
  <c r="M40" i="43"/>
  <c r="L40" i="43"/>
  <c r="K40" i="43"/>
  <c r="J40" i="43"/>
  <c r="I40" i="43"/>
  <c r="O31" i="43"/>
  <c r="N31" i="43"/>
  <c r="M31" i="43"/>
  <c r="L31" i="43"/>
  <c r="K31" i="43"/>
  <c r="J31" i="43"/>
  <c r="O30" i="43"/>
  <c r="N30" i="43"/>
  <c r="M30" i="43"/>
  <c r="L30" i="43"/>
  <c r="K30" i="43"/>
  <c r="J30" i="43"/>
  <c r="I31" i="43"/>
  <c r="I30" i="43"/>
  <c r="O18" i="43"/>
  <c r="N18" i="43"/>
  <c r="M18" i="43"/>
  <c r="L18" i="43"/>
  <c r="K18" i="43"/>
  <c r="J18" i="43"/>
  <c r="O17" i="43"/>
  <c r="N17" i="43"/>
  <c r="M17" i="43"/>
  <c r="L17" i="43"/>
  <c r="K17" i="43"/>
  <c r="J17" i="43"/>
  <c r="I18" i="43"/>
  <c r="I17" i="43"/>
  <c r="Q38" i="43"/>
  <c r="Q34" i="43"/>
  <c r="Q29" i="43"/>
  <c r="Q28" i="43"/>
  <c r="Q27" i="43"/>
  <c r="Q26" i="43"/>
  <c r="Q25" i="43"/>
  <c r="Q24" i="43"/>
  <c r="Q23" i="43"/>
  <c r="C38" i="43"/>
  <c r="F48" i="43"/>
  <c r="E48" i="43"/>
  <c r="F49" i="43" s="1"/>
  <c r="C48" i="43"/>
  <c r="B48" i="43"/>
  <c r="E36" i="43"/>
  <c r="C36" i="43"/>
  <c r="F101" i="43"/>
  <c r="F7" i="43"/>
  <c r="F6" i="43"/>
  <c r="D7" i="43"/>
  <c r="D6" i="43"/>
  <c r="U25" i="43" l="1"/>
  <c r="C49" i="43"/>
  <c r="E242" i="43" l="1"/>
  <c r="C242" i="43"/>
  <c r="E236" i="43"/>
  <c r="C236" i="43"/>
  <c r="E223" i="43"/>
  <c r="C223" i="43"/>
  <c r="E219" i="43"/>
  <c r="C219" i="43"/>
  <c r="E208" i="43"/>
  <c r="C208" i="43"/>
  <c r="C209" i="43" s="1"/>
  <c r="E203" i="43"/>
  <c r="C203" i="43"/>
  <c r="E174" i="43"/>
  <c r="E191" i="43" s="1"/>
  <c r="C174" i="43"/>
  <c r="C191" i="43" s="1"/>
  <c r="E162" i="43"/>
  <c r="C162" i="43"/>
  <c r="E145" i="43"/>
  <c r="C145" i="43"/>
  <c r="E137" i="43"/>
  <c r="C137" i="43"/>
  <c r="E124" i="43"/>
  <c r="C124" i="43"/>
  <c r="E113" i="43"/>
  <c r="C113" i="43"/>
  <c r="D114" i="43" s="1"/>
  <c r="E105" i="43"/>
  <c r="C105" i="43"/>
  <c r="E91" i="43"/>
  <c r="C91" i="43"/>
  <c r="C92" i="43" s="1"/>
  <c r="E89" i="43"/>
  <c r="E92" i="43" s="1"/>
  <c r="C68" i="43"/>
  <c r="D68" i="43" s="1"/>
  <c r="E59" i="43"/>
  <c r="C59" i="43"/>
  <c r="E49" i="43"/>
  <c r="B49" i="43"/>
  <c r="E24" i="43"/>
  <c r="C24" i="43"/>
  <c r="E15" i="43"/>
  <c r="C15" i="43"/>
  <c r="E8" i="43"/>
  <c r="C8" i="43"/>
  <c r="D124" i="43" l="1"/>
  <c r="E209" i="43"/>
  <c r="F114" i="43"/>
  <c r="F124" i="43"/>
  <c r="C224" i="43"/>
  <c r="C225" i="43" s="1"/>
  <c r="C71" i="43"/>
  <c r="D71" i="43" s="1"/>
  <c r="E224" i="43"/>
  <c r="E225" i="43" s="1"/>
  <c r="AA425" i="39" l="1"/>
  <c r="AA424" i="39"/>
  <c r="AA423" i="39"/>
  <c r="AA422" i="39"/>
  <c r="AA420" i="39"/>
  <c r="AA418" i="39"/>
  <c r="Z419" i="39"/>
  <c r="AA419" i="39" s="1"/>
  <c r="Z421" i="39"/>
  <c r="AA421" i="39" s="1"/>
  <c r="O151" i="32" l="1"/>
  <c r="Q9" i="33"/>
  <c r="X166" i="32" s="1"/>
  <c r="AC10" i="43" s="1"/>
  <c r="R33" i="33"/>
  <c r="N12" i="33"/>
  <c r="B33" i="33"/>
  <c r="I33" i="33"/>
  <c r="H33" i="33"/>
  <c r="J20" i="33"/>
  <c r="B32" i="33"/>
  <c r="H32" i="33"/>
  <c r="I32" i="33"/>
  <c r="J11" i="33"/>
  <c r="J10" i="33"/>
  <c r="D21" i="29" l="1"/>
  <c r="D20" i="29"/>
  <c r="D19" i="29"/>
  <c r="D31" i="29"/>
  <c r="G29" i="29"/>
  <c r="G28" i="29"/>
  <c r="G27" i="29"/>
  <c r="C22" i="29"/>
  <c r="C23" i="29" s="1"/>
  <c r="M387" i="39"/>
  <c r="M384" i="39"/>
  <c r="M382" i="39"/>
  <c r="M378" i="39"/>
  <c r="M375" i="39"/>
  <c r="M374" i="39"/>
  <c r="M371" i="39"/>
  <c r="M368" i="39"/>
  <c r="M366" i="39"/>
  <c r="M362" i="39"/>
  <c r="M359" i="39"/>
  <c r="M389" i="39"/>
  <c r="J389" i="39"/>
  <c r="K389" i="39" s="1"/>
  <c r="L389" i="39" s="1"/>
  <c r="M388" i="39"/>
  <c r="J388" i="39"/>
  <c r="K388" i="39" s="1"/>
  <c r="L388" i="39" s="1"/>
  <c r="J387" i="39"/>
  <c r="K387" i="39" s="1"/>
  <c r="L387" i="39" s="1"/>
  <c r="M386" i="39"/>
  <c r="J386" i="39"/>
  <c r="K386" i="39" s="1"/>
  <c r="L386" i="39" s="1"/>
  <c r="M385" i="39"/>
  <c r="J385" i="39"/>
  <c r="K385" i="39" s="1"/>
  <c r="L385" i="39" s="1"/>
  <c r="J384" i="39"/>
  <c r="K384" i="39" s="1"/>
  <c r="L384" i="39" s="1"/>
  <c r="M383" i="39"/>
  <c r="J383" i="39"/>
  <c r="K383" i="39" s="1"/>
  <c r="L383" i="39" s="1"/>
  <c r="J382" i="39"/>
  <c r="K382" i="39" s="1"/>
  <c r="L382" i="39" s="1"/>
  <c r="M381" i="39"/>
  <c r="J381" i="39"/>
  <c r="K381" i="39" s="1"/>
  <c r="L381" i="39" s="1"/>
  <c r="M380" i="39"/>
  <c r="J380" i="39"/>
  <c r="K380" i="39" s="1"/>
  <c r="L380" i="39" s="1"/>
  <c r="M379" i="39"/>
  <c r="J379" i="39"/>
  <c r="K379" i="39" s="1"/>
  <c r="L379" i="39" s="1"/>
  <c r="J378" i="39"/>
  <c r="K378" i="39" s="1"/>
  <c r="L378" i="39" s="1"/>
  <c r="M377" i="39"/>
  <c r="J377" i="39"/>
  <c r="K377" i="39" s="1"/>
  <c r="L377" i="39" s="1"/>
  <c r="M376" i="39"/>
  <c r="J376" i="39"/>
  <c r="K376" i="39" s="1"/>
  <c r="L376" i="39" s="1"/>
  <c r="J375" i="39"/>
  <c r="K375" i="39" s="1"/>
  <c r="L375" i="39" s="1"/>
  <c r="J374" i="39"/>
  <c r="K374" i="39" s="1"/>
  <c r="L374" i="39" s="1"/>
  <c r="M373" i="39"/>
  <c r="J373" i="39"/>
  <c r="M372" i="39"/>
  <c r="J372" i="39"/>
  <c r="K372" i="39" s="1"/>
  <c r="L372" i="39" s="1"/>
  <c r="J371" i="39"/>
  <c r="K371" i="39" s="1"/>
  <c r="L371" i="39" s="1"/>
  <c r="M370" i="39"/>
  <c r="J370" i="39"/>
  <c r="K370" i="39" s="1"/>
  <c r="L370" i="39" s="1"/>
  <c r="M369" i="39"/>
  <c r="J369" i="39"/>
  <c r="K369" i="39" s="1"/>
  <c r="L369" i="39" s="1"/>
  <c r="J368" i="39"/>
  <c r="K368" i="39" s="1"/>
  <c r="L368" i="39" s="1"/>
  <c r="M367" i="39"/>
  <c r="J367" i="39"/>
  <c r="K367" i="39" s="1"/>
  <c r="L367" i="39" s="1"/>
  <c r="J366" i="39"/>
  <c r="K366" i="39" s="1"/>
  <c r="L366" i="39" s="1"/>
  <c r="M365" i="39"/>
  <c r="J365" i="39"/>
  <c r="M364" i="39"/>
  <c r="J364" i="39"/>
  <c r="K364" i="39" s="1"/>
  <c r="L364" i="39" s="1"/>
  <c r="M363" i="39"/>
  <c r="J363" i="39"/>
  <c r="K363" i="39" s="1"/>
  <c r="L363" i="39" s="1"/>
  <c r="J362" i="39"/>
  <c r="K362" i="39" s="1"/>
  <c r="L362" i="39" s="1"/>
  <c r="M361" i="39"/>
  <c r="J361" i="39"/>
  <c r="K361" i="39" s="1"/>
  <c r="L361" i="39" s="1"/>
  <c r="M360" i="39"/>
  <c r="J360" i="39"/>
  <c r="K360" i="39" s="1"/>
  <c r="L360" i="39" s="1"/>
  <c r="J359" i="39"/>
  <c r="K359" i="39" s="1"/>
  <c r="L359" i="39" s="1"/>
  <c r="M358" i="39"/>
  <c r="J358" i="39"/>
  <c r="K358" i="39" s="1"/>
  <c r="L358" i="39" s="1"/>
  <c r="M413" i="39"/>
  <c r="M401" i="39"/>
  <c r="M397" i="39"/>
  <c r="M394" i="39"/>
  <c r="M393" i="39"/>
  <c r="M414" i="39"/>
  <c r="J414" i="39"/>
  <c r="J413" i="39"/>
  <c r="K413" i="39" s="1"/>
  <c r="L413" i="39" s="1"/>
  <c r="M412" i="39"/>
  <c r="J412" i="39"/>
  <c r="K412" i="39" s="1"/>
  <c r="L412" i="39" s="1"/>
  <c r="M411" i="39"/>
  <c r="J411" i="39"/>
  <c r="J401" i="39"/>
  <c r="M400" i="39"/>
  <c r="J400" i="39"/>
  <c r="K400" i="39" s="1"/>
  <c r="L400" i="39" s="1"/>
  <c r="M399" i="39"/>
  <c r="J399" i="39"/>
  <c r="K399" i="39" s="1"/>
  <c r="L399" i="39" s="1"/>
  <c r="M398" i="39"/>
  <c r="J398" i="39"/>
  <c r="K398" i="39" s="1"/>
  <c r="L398" i="39" s="1"/>
  <c r="J397" i="39"/>
  <c r="M396" i="39"/>
  <c r="J396" i="39"/>
  <c r="K396" i="39" s="1"/>
  <c r="L396" i="39" s="1"/>
  <c r="M395" i="39"/>
  <c r="J395" i="39"/>
  <c r="K395" i="39" s="1"/>
  <c r="L395" i="39" s="1"/>
  <c r="J394" i="39"/>
  <c r="K394" i="39" s="1"/>
  <c r="L394" i="39" s="1"/>
  <c r="J393" i="39"/>
  <c r="M392" i="39"/>
  <c r="J392" i="39"/>
  <c r="K392" i="39" s="1"/>
  <c r="L392" i="39" s="1"/>
  <c r="M391" i="39"/>
  <c r="J391" i="39"/>
  <c r="K391" i="39" s="1"/>
  <c r="L391" i="39" s="1"/>
  <c r="N362" i="39" l="1"/>
  <c r="K373" i="39"/>
  <c r="L373" i="39" s="1"/>
  <c r="N361" i="39"/>
  <c r="K365" i="39"/>
  <c r="L365" i="39" s="1"/>
  <c r="N385" i="39"/>
  <c r="N389" i="39"/>
  <c r="N369" i="39"/>
  <c r="N377" i="39"/>
  <c r="N381" i="39"/>
  <c r="N358" i="39"/>
  <c r="N366" i="39"/>
  <c r="N370" i="39"/>
  <c r="N374" i="39"/>
  <c r="N378" i="39"/>
  <c r="N382" i="39"/>
  <c r="N386" i="39"/>
  <c r="N359" i="39"/>
  <c r="N363" i="39"/>
  <c r="N367" i="39"/>
  <c r="N371" i="39"/>
  <c r="N375" i="39"/>
  <c r="N379" i="39"/>
  <c r="N383" i="39"/>
  <c r="N387" i="39"/>
  <c r="N360" i="39"/>
  <c r="N364" i="39"/>
  <c r="N368" i="39"/>
  <c r="N372" i="39"/>
  <c r="N376" i="39"/>
  <c r="N380" i="39"/>
  <c r="N384" i="39"/>
  <c r="N388" i="39"/>
  <c r="K397" i="39"/>
  <c r="L397" i="39" s="1"/>
  <c r="K401" i="39"/>
  <c r="L401" i="39" s="1"/>
  <c r="K414" i="39"/>
  <c r="L414" i="39" s="1"/>
  <c r="K393" i="39"/>
  <c r="L393" i="39" s="1"/>
  <c r="K411" i="39"/>
  <c r="L411" i="39" s="1"/>
  <c r="N413" i="39"/>
  <c r="N412" i="39"/>
  <c r="N394" i="39"/>
  <c r="N398" i="39"/>
  <c r="N391" i="39"/>
  <c r="N395" i="39"/>
  <c r="N399" i="39"/>
  <c r="N392" i="39"/>
  <c r="N396" i="39"/>
  <c r="N400" i="39"/>
  <c r="N373" i="39" l="1"/>
  <c r="N365" i="39"/>
  <c r="N393" i="39"/>
  <c r="N414" i="39"/>
  <c r="N401" i="39"/>
  <c r="N411" i="39"/>
  <c r="N397" i="39"/>
  <c r="H439" i="39"/>
  <c r="H438" i="39"/>
  <c r="H437" i="39"/>
  <c r="H436" i="39"/>
  <c r="H433" i="39"/>
  <c r="M433" i="39" s="1"/>
  <c r="J433" i="39"/>
  <c r="H434" i="39"/>
  <c r="H432" i="39"/>
  <c r="H431" i="39"/>
  <c r="H430" i="39"/>
  <c r="M425" i="39"/>
  <c r="M422" i="39"/>
  <c r="M426" i="39"/>
  <c r="J428" i="39"/>
  <c r="M428" i="39"/>
  <c r="J427" i="39"/>
  <c r="K427" i="39" s="1"/>
  <c r="L427" i="39" s="1"/>
  <c r="M427" i="39"/>
  <c r="J426" i="39"/>
  <c r="J425" i="39"/>
  <c r="K425" i="39" s="1"/>
  <c r="L425" i="39" s="1"/>
  <c r="J424" i="39"/>
  <c r="M424" i="39"/>
  <c r="J423" i="39"/>
  <c r="K423" i="39" s="1"/>
  <c r="L423" i="39" s="1"/>
  <c r="M423" i="39"/>
  <c r="J422" i="39"/>
  <c r="K422" i="39" s="1"/>
  <c r="L422" i="39" s="1"/>
  <c r="J421" i="39"/>
  <c r="K421" i="39" s="1"/>
  <c r="L421" i="39" s="1"/>
  <c r="M421" i="39"/>
  <c r="J420" i="39"/>
  <c r="M420" i="39"/>
  <c r="J419" i="39"/>
  <c r="K419" i="39" s="1"/>
  <c r="L419" i="39" s="1"/>
  <c r="M419" i="39"/>
  <c r="M356" i="39"/>
  <c r="J356" i="39"/>
  <c r="M355" i="39"/>
  <c r="J355" i="39"/>
  <c r="K355" i="39" s="1"/>
  <c r="L355" i="39" s="1"/>
  <c r="M354" i="39"/>
  <c r="J354" i="39"/>
  <c r="K354" i="39" s="1"/>
  <c r="L354" i="39" s="1"/>
  <c r="M353" i="39"/>
  <c r="J353" i="39"/>
  <c r="K353" i="39" s="1"/>
  <c r="L353" i="39" s="1"/>
  <c r="M352" i="39"/>
  <c r="J352" i="39"/>
  <c r="M351" i="39"/>
  <c r="J351" i="39"/>
  <c r="K351" i="39" s="1"/>
  <c r="L351" i="39" s="1"/>
  <c r="M350" i="39"/>
  <c r="J350" i="39"/>
  <c r="K350" i="39" s="1"/>
  <c r="L350" i="39" s="1"/>
  <c r="M349" i="39"/>
  <c r="J349" i="39"/>
  <c r="K349" i="39" s="1"/>
  <c r="L349" i="39" s="1"/>
  <c r="M348" i="39"/>
  <c r="J348" i="39"/>
  <c r="K348" i="39" s="1"/>
  <c r="L348" i="39" s="1"/>
  <c r="M347" i="39"/>
  <c r="J347" i="39"/>
  <c r="K347" i="39" s="1"/>
  <c r="L347" i="39" s="1"/>
  <c r="M346" i="39"/>
  <c r="J346" i="39"/>
  <c r="K346" i="39" s="1"/>
  <c r="L346" i="39" s="1"/>
  <c r="M345" i="39"/>
  <c r="J345" i="39"/>
  <c r="K345" i="39" s="1"/>
  <c r="L345" i="39" s="1"/>
  <c r="M344" i="39"/>
  <c r="J344" i="39"/>
  <c r="M343" i="39"/>
  <c r="J343" i="39"/>
  <c r="K343" i="39" s="1"/>
  <c r="L343" i="39" s="1"/>
  <c r="M342" i="39"/>
  <c r="J342" i="39"/>
  <c r="K342" i="39" s="1"/>
  <c r="L342" i="39" s="1"/>
  <c r="M341" i="39"/>
  <c r="J341" i="39"/>
  <c r="K341" i="39" s="1"/>
  <c r="L341" i="39" s="1"/>
  <c r="M340" i="39"/>
  <c r="J340" i="39"/>
  <c r="K340" i="39" s="1"/>
  <c r="L340" i="39" s="1"/>
  <c r="M339" i="39"/>
  <c r="J339" i="39"/>
  <c r="K339" i="39" s="1"/>
  <c r="L339" i="39" s="1"/>
  <c r="M338" i="39"/>
  <c r="J338" i="39"/>
  <c r="M337" i="39"/>
  <c r="J337" i="39"/>
  <c r="M336" i="39"/>
  <c r="J336" i="39"/>
  <c r="M335" i="39"/>
  <c r="J335" i="39"/>
  <c r="K335" i="39" s="1"/>
  <c r="L335" i="39" s="1"/>
  <c r="M334" i="39"/>
  <c r="J334" i="39"/>
  <c r="K334" i="39" s="1"/>
  <c r="L334" i="39" s="1"/>
  <c r="M333" i="39"/>
  <c r="J333" i="39"/>
  <c r="K333" i="39" s="1"/>
  <c r="M332" i="39"/>
  <c r="J332" i="39"/>
  <c r="M331" i="39"/>
  <c r="J331" i="39"/>
  <c r="K331" i="39" s="1"/>
  <c r="L331" i="39" s="1"/>
  <c r="M330" i="39"/>
  <c r="J330" i="39"/>
  <c r="K330" i="39" s="1"/>
  <c r="L330" i="39" s="1"/>
  <c r="M329" i="39"/>
  <c r="J329" i="39"/>
  <c r="M328" i="39"/>
  <c r="J328" i="39"/>
  <c r="K328" i="39" s="1"/>
  <c r="M327" i="39"/>
  <c r="J327" i="39"/>
  <c r="K327" i="39" s="1"/>
  <c r="L327" i="39" s="1"/>
  <c r="M326" i="39"/>
  <c r="J326" i="39"/>
  <c r="M325" i="39"/>
  <c r="J325" i="39"/>
  <c r="K325" i="39" s="1"/>
  <c r="L325" i="39" s="1"/>
  <c r="M324" i="39"/>
  <c r="J324" i="39"/>
  <c r="K324" i="39" s="1"/>
  <c r="L324" i="39" s="1"/>
  <c r="M323" i="39"/>
  <c r="J323" i="39"/>
  <c r="K323" i="39" s="1"/>
  <c r="L323" i="39" s="1"/>
  <c r="M322" i="39"/>
  <c r="J322" i="39"/>
  <c r="M321" i="39"/>
  <c r="J321" i="39"/>
  <c r="M320" i="39"/>
  <c r="J320" i="39"/>
  <c r="K320" i="39" s="1"/>
  <c r="L320" i="39" s="1"/>
  <c r="M319" i="39"/>
  <c r="J319" i="39"/>
  <c r="K319" i="39" s="1"/>
  <c r="L319" i="39" s="1"/>
  <c r="M318" i="39"/>
  <c r="J318" i="39"/>
  <c r="M317" i="39"/>
  <c r="J317" i="39"/>
  <c r="K317" i="39" s="1"/>
  <c r="M316" i="39"/>
  <c r="J316" i="39"/>
  <c r="K316" i="39" s="1"/>
  <c r="L316" i="39" s="1"/>
  <c r="M315" i="39"/>
  <c r="J315" i="39"/>
  <c r="M314" i="39"/>
  <c r="J314" i="39"/>
  <c r="M313" i="39"/>
  <c r="J313" i="39"/>
  <c r="M312" i="39"/>
  <c r="J312" i="39"/>
  <c r="M311" i="39"/>
  <c r="J311" i="39"/>
  <c r="K311" i="39" s="1"/>
  <c r="L311" i="39" s="1"/>
  <c r="M310" i="39"/>
  <c r="J310" i="39"/>
  <c r="M309" i="39"/>
  <c r="J309" i="39"/>
  <c r="M308" i="39"/>
  <c r="J308" i="39"/>
  <c r="K308" i="39" s="1"/>
  <c r="L308" i="39" s="1"/>
  <c r="M307" i="39"/>
  <c r="J307" i="39"/>
  <c r="K307" i="39" s="1"/>
  <c r="L307" i="39" s="1"/>
  <c r="M306" i="39"/>
  <c r="J306" i="39"/>
  <c r="M305" i="39"/>
  <c r="J305" i="39"/>
  <c r="M304" i="39"/>
  <c r="J304" i="39"/>
  <c r="K304" i="39" s="1"/>
  <c r="L304" i="39" s="1"/>
  <c r="M303" i="39"/>
  <c r="J303" i="39"/>
  <c r="K303" i="39" s="1"/>
  <c r="L303" i="39" s="1"/>
  <c r="M302" i="39"/>
  <c r="J302" i="39"/>
  <c r="M301" i="39"/>
  <c r="J301" i="39"/>
  <c r="K301" i="39" s="1"/>
  <c r="M300" i="39"/>
  <c r="J300" i="39"/>
  <c r="M299" i="39"/>
  <c r="J299" i="39"/>
  <c r="M298" i="39"/>
  <c r="J298" i="39"/>
  <c r="M297" i="39"/>
  <c r="J297" i="39"/>
  <c r="K297" i="39" s="1"/>
  <c r="L297" i="39" s="1"/>
  <c r="M296" i="39"/>
  <c r="J296" i="39"/>
  <c r="K296" i="39" s="1"/>
  <c r="M295" i="39"/>
  <c r="J295" i="39"/>
  <c r="K295" i="39" s="1"/>
  <c r="L295" i="39" s="1"/>
  <c r="M294" i="39"/>
  <c r="J294" i="39"/>
  <c r="M293" i="39"/>
  <c r="J293" i="39"/>
  <c r="M292" i="39"/>
  <c r="J292" i="39"/>
  <c r="M291" i="39"/>
  <c r="J291" i="39"/>
  <c r="K291" i="39" s="1"/>
  <c r="L291" i="39" s="1"/>
  <c r="M290" i="39"/>
  <c r="J290" i="39"/>
  <c r="M289" i="39"/>
  <c r="J289" i="39"/>
  <c r="K289" i="39" s="1"/>
  <c r="L289" i="39" s="1"/>
  <c r="M288" i="39"/>
  <c r="J288" i="39"/>
  <c r="K288" i="39" s="1"/>
  <c r="L288" i="39" s="1"/>
  <c r="M287" i="39"/>
  <c r="J287" i="39"/>
  <c r="K287" i="39" s="1"/>
  <c r="L287" i="39" s="1"/>
  <c r="M286" i="39"/>
  <c r="J286" i="39"/>
  <c r="K286" i="39" s="1"/>
  <c r="L286" i="39" s="1"/>
  <c r="M285" i="39"/>
  <c r="J285" i="39"/>
  <c r="K285" i="39" s="1"/>
  <c r="M284" i="39"/>
  <c r="J284" i="39"/>
  <c r="M283" i="39"/>
  <c r="J283" i="39"/>
  <c r="M282" i="39"/>
  <c r="J282" i="39"/>
  <c r="M281" i="39"/>
  <c r="J281" i="39"/>
  <c r="M280" i="39"/>
  <c r="J280" i="39"/>
  <c r="K280" i="39" s="1"/>
  <c r="L280" i="39" s="1"/>
  <c r="M279" i="39"/>
  <c r="J279" i="39"/>
  <c r="K279" i="39" s="1"/>
  <c r="L279" i="39" s="1"/>
  <c r="M278" i="39"/>
  <c r="J278" i="39"/>
  <c r="M277" i="39"/>
  <c r="J277" i="39"/>
  <c r="M276" i="39"/>
  <c r="J276" i="39"/>
  <c r="M275" i="39"/>
  <c r="J275" i="39"/>
  <c r="K275" i="39" s="1"/>
  <c r="L275" i="39" s="1"/>
  <c r="M274" i="39"/>
  <c r="J274" i="39"/>
  <c r="M273" i="39"/>
  <c r="J273" i="39"/>
  <c r="M272" i="39"/>
  <c r="J272" i="39"/>
  <c r="K272" i="39" s="1"/>
  <c r="L272" i="39" s="1"/>
  <c r="M271" i="39"/>
  <c r="J271" i="39"/>
  <c r="K271" i="39" s="1"/>
  <c r="L271" i="39" s="1"/>
  <c r="M270" i="39"/>
  <c r="J270" i="39"/>
  <c r="M269" i="39"/>
  <c r="J269" i="39"/>
  <c r="M268" i="39"/>
  <c r="J268" i="39"/>
  <c r="M267" i="39"/>
  <c r="J267" i="39"/>
  <c r="M266" i="39"/>
  <c r="J266" i="39"/>
  <c r="M265" i="39"/>
  <c r="J265" i="39"/>
  <c r="K265" i="39" s="1"/>
  <c r="L265" i="39" s="1"/>
  <c r="M264" i="39"/>
  <c r="J264" i="39"/>
  <c r="K264" i="39" s="1"/>
  <c r="M263" i="39"/>
  <c r="J263" i="39"/>
  <c r="K263" i="39" s="1"/>
  <c r="L263" i="39" s="1"/>
  <c r="M262" i="39"/>
  <c r="J262" i="39"/>
  <c r="M261" i="39"/>
  <c r="J261" i="39"/>
  <c r="K261" i="39" s="1"/>
  <c r="L261" i="39" s="1"/>
  <c r="M260" i="39"/>
  <c r="J260" i="39"/>
  <c r="K260" i="39" s="1"/>
  <c r="L260" i="39" s="1"/>
  <c r="M259" i="39"/>
  <c r="J259" i="39"/>
  <c r="K259" i="39" s="1"/>
  <c r="L259" i="39" s="1"/>
  <c r="M258" i="39"/>
  <c r="J258" i="39"/>
  <c r="M257" i="39"/>
  <c r="J257" i="39"/>
  <c r="M256" i="39"/>
  <c r="J256" i="39"/>
  <c r="K256" i="39" s="1"/>
  <c r="L256" i="39" s="1"/>
  <c r="M255" i="39"/>
  <c r="J255" i="39"/>
  <c r="K255" i="39" s="1"/>
  <c r="L255" i="39" s="1"/>
  <c r="M254" i="39"/>
  <c r="J254" i="39"/>
  <c r="K254" i="39" s="1"/>
  <c r="L254" i="39" s="1"/>
  <c r="M253" i="39"/>
  <c r="J253" i="39"/>
  <c r="M252" i="39"/>
  <c r="J252" i="39"/>
  <c r="M251" i="39"/>
  <c r="J251" i="39"/>
  <c r="M250" i="39"/>
  <c r="J250" i="39"/>
  <c r="K250" i="39" s="1"/>
  <c r="L250" i="39" s="1"/>
  <c r="M249" i="39"/>
  <c r="J249" i="39"/>
  <c r="M248" i="39"/>
  <c r="J248" i="39"/>
  <c r="K248" i="39" s="1"/>
  <c r="M247" i="39"/>
  <c r="J247" i="39"/>
  <c r="M246" i="39"/>
  <c r="J246" i="39"/>
  <c r="M245" i="39"/>
  <c r="J245" i="39"/>
  <c r="K245" i="39" s="1"/>
  <c r="L245" i="39" s="1"/>
  <c r="M244" i="39"/>
  <c r="J244" i="39"/>
  <c r="K244" i="39" s="1"/>
  <c r="L244" i="39" s="1"/>
  <c r="M243" i="39"/>
  <c r="J243" i="39"/>
  <c r="K243" i="39" s="1"/>
  <c r="L243" i="39" s="1"/>
  <c r="M242" i="39"/>
  <c r="J242" i="39"/>
  <c r="M241" i="39"/>
  <c r="J241" i="39"/>
  <c r="M240" i="39"/>
  <c r="J240" i="39"/>
  <c r="K240" i="39" s="1"/>
  <c r="L240" i="39" s="1"/>
  <c r="M239" i="39"/>
  <c r="J239" i="39"/>
  <c r="K239" i="39" s="1"/>
  <c r="L239" i="39" s="1"/>
  <c r="M238" i="39"/>
  <c r="J238" i="39"/>
  <c r="K238" i="39" s="1"/>
  <c r="L238" i="39" s="1"/>
  <c r="M237" i="39"/>
  <c r="J237" i="39"/>
  <c r="K237" i="39" s="1"/>
  <c r="M236" i="39"/>
  <c r="J236" i="39"/>
  <c r="M235" i="39"/>
  <c r="J235" i="39"/>
  <c r="M234" i="39"/>
  <c r="J234" i="39"/>
  <c r="M233" i="39"/>
  <c r="J233" i="39"/>
  <c r="M232" i="39"/>
  <c r="J232" i="39"/>
  <c r="K232" i="39" s="1"/>
  <c r="M231" i="39"/>
  <c r="J231" i="39"/>
  <c r="K231" i="39" s="1"/>
  <c r="L231" i="39" s="1"/>
  <c r="M230" i="39"/>
  <c r="J230" i="39"/>
  <c r="M229" i="39"/>
  <c r="J229" i="39"/>
  <c r="K229" i="39" s="1"/>
  <c r="L229" i="39" s="1"/>
  <c r="M228" i="39"/>
  <c r="J228" i="39"/>
  <c r="K228" i="39" s="1"/>
  <c r="L228" i="39" s="1"/>
  <c r="M227" i="39"/>
  <c r="J227" i="39"/>
  <c r="K227" i="39" s="1"/>
  <c r="L227" i="39" s="1"/>
  <c r="M226" i="39"/>
  <c r="J226" i="39"/>
  <c r="K226" i="39" s="1"/>
  <c r="L226" i="39" s="1"/>
  <c r="M225" i="39"/>
  <c r="J225" i="39"/>
  <c r="M224" i="39"/>
  <c r="J224" i="39"/>
  <c r="K224" i="39" s="1"/>
  <c r="M223" i="39"/>
  <c r="J223" i="39"/>
  <c r="K223" i="39" s="1"/>
  <c r="L223" i="39" s="1"/>
  <c r="M222" i="39"/>
  <c r="J222" i="39"/>
  <c r="M221" i="39"/>
  <c r="J221" i="39"/>
  <c r="M220" i="39"/>
  <c r="J220" i="39"/>
  <c r="M219" i="39"/>
  <c r="J219" i="39"/>
  <c r="M218" i="39"/>
  <c r="J218" i="39"/>
  <c r="M217" i="39"/>
  <c r="J217" i="39"/>
  <c r="M216" i="39"/>
  <c r="J216" i="39"/>
  <c r="M215" i="39"/>
  <c r="J215" i="39"/>
  <c r="K215" i="39" s="1"/>
  <c r="L215" i="39" s="1"/>
  <c r="M214" i="39"/>
  <c r="J214" i="39"/>
  <c r="K214" i="39" s="1"/>
  <c r="L214" i="39" s="1"/>
  <c r="M213" i="39"/>
  <c r="J213" i="39"/>
  <c r="M212" i="39"/>
  <c r="J212" i="39"/>
  <c r="M211" i="39"/>
  <c r="J211" i="39"/>
  <c r="K211" i="39" s="1"/>
  <c r="L211" i="39" s="1"/>
  <c r="M210" i="39"/>
  <c r="J210" i="39"/>
  <c r="K210" i="39" s="1"/>
  <c r="L210" i="39" s="1"/>
  <c r="M209" i="39"/>
  <c r="J209" i="39"/>
  <c r="M208" i="39"/>
  <c r="J208" i="39"/>
  <c r="K208" i="39" s="1"/>
  <c r="M207" i="39"/>
  <c r="J207" i="39"/>
  <c r="M206" i="39"/>
  <c r="J206" i="39"/>
  <c r="M205" i="39"/>
  <c r="J205" i="39"/>
  <c r="M204" i="39"/>
  <c r="J204" i="39"/>
  <c r="K204" i="39" s="1"/>
  <c r="L204" i="39" s="1"/>
  <c r="M203" i="39"/>
  <c r="J203" i="39"/>
  <c r="M202" i="39"/>
  <c r="J202" i="39"/>
  <c r="K202" i="39" s="1"/>
  <c r="L202" i="39" s="1"/>
  <c r="M201" i="39"/>
  <c r="J201" i="39"/>
  <c r="M200" i="39"/>
  <c r="J200" i="39"/>
  <c r="M199" i="39"/>
  <c r="J199" i="39"/>
  <c r="M198" i="39"/>
  <c r="J198" i="39"/>
  <c r="K198" i="39" s="1"/>
  <c r="L198" i="39" s="1"/>
  <c r="M197" i="39"/>
  <c r="J197" i="39"/>
  <c r="M196" i="39"/>
  <c r="J196" i="39"/>
  <c r="K196" i="39" s="1"/>
  <c r="L196" i="39" s="1"/>
  <c r="M195" i="39"/>
  <c r="J195" i="39"/>
  <c r="K195" i="39" s="1"/>
  <c r="L195" i="39" s="1"/>
  <c r="M194" i="39"/>
  <c r="J194" i="39"/>
  <c r="K194" i="39" s="1"/>
  <c r="L194" i="39" s="1"/>
  <c r="M193" i="39"/>
  <c r="J193" i="39"/>
  <c r="M192" i="39"/>
  <c r="J192" i="39"/>
  <c r="M191" i="39"/>
  <c r="J191" i="39"/>
  <c r="M190" i="39"/>
  <c r="J190" i="39"/>
  <c r="K190" i="39" s="1"/>
  <c r="L190" i="39" s="1"/>
  <c r="M189" i="39"/>
  <c r="J189" i="39"/>
  <c r="M188" i="39"/>
  <c r="J188" i="39"/>
  <c r="K188" i="39" s="1"/>
  <c r="L188" i="39" s="1"/>
  <c r="M187" i="39"/>
  <c r="J187" i="39"/>
  <c r="K187" i="39" s="1"/>
  <c r="M186" i="39"/>
  <c r="J186" i="39"/>
  <c r="K186" i="39" s="1"/>
  <c r="L186" i="39" s="1"/>
  <c r="M185" i="39"/>
  <c r="J185" i="39"/>
  <c r="M184" i="39"/>
  <c r="J184" i="39"/>
  <c r="M183" i="39"/>
  <c r="J183" i="39"/>
  <c r="M182" i="39"/>
  <c r="J182" i="39"/>
  <c r="K182" i="39" s="1"/>
  <c r="L182" i="39" s="1"/>
  <c r="M181" i="39"/>
  <c r="J181" i="39"/>
  <c r="M180" i="39"/>
  <c r="J180" i="39"/>
  <c r="M179" i="39"/>
  <c r="J179" i="39"/>
  <c r="M178" i="39"/>
  <c r="J178" i="39"/>
  <c r="K178" i="39" s="1"/>
  <c r="L178" i="39" s="1"/>
  <c r="M177" i="39"/>
  <c r="J177" i="39"/>
  <c r="K177" i="39" s="1"/>
  <c r="L177" i="39" s="1"/>
  <c r="M176" i="39"/>
  <c r="J176" i="39"/>
  <c r="K176" i="39" s="1"/>
  <c r="M175" i="39"/>
  <c r="J175" i="39"/>
  <c r="M174" i="39"/>
  <c r="J174" i="39"/>
  <c r="M173" i="39"/>
  <c r="J173" i="39"/>
  <c r="M172" i="39"/>
  <c r="J172" i="39"/>
  <c r="M171" i="39"/>
  <c r="J171" i="39"/>
  <c r="K171" i="39" s="1"/>
  <c r="M170" i="39"/>
  <c r="J170" i="39"/>
  <c r="M169" i="39"/>
  <c r="J169" i="39"/>
  <c r="M168" i="39"/>
  <c r="J168" i="39"/>
  <c r="K168" i="39" s="1"/>
  <c r="L168" i="39" s="1"/>
  <c r="M167" i="39"/>
  <c r="J167" i="39"/>
  <c r="K167" i="39" s="1"/>
  <c r="L167" i="39" s="1"/>
  <c r="M166" i="39"/>
  <c r="J166" i="39"/>
  <c r="K166" i="39" s="1"/>
  <c r="L166" i="39" s="1"/>
  <c r="M165" i="39"/>
  <c r="J165" i="39"/>
  <c r="M164" i="39"/>
  <c r="J164" i="39"/>
  <c r="M163" i="39"/>
  <c r="J163" i="39"/>
  <c r="M162" i="39"/>
  <c r="J162" i="39"/>
  <c r="K162" i="39" s="1"/>
  <c r="L162" i="39" s="1"/>
  <c r="M161" i="39"/>
  <c r="J161" i="39"/>
  <c r="K161" i="39" s="1"/>
  <c r="L161" i="39" s="1"/>
  <c r="M160" i="39"/>
  <c r="J160" i="39"/>
  <c r="K160" i="39" s="1"/>
  <c r="M159" i="39"/>
  <c r="J159" i="39"/>
  <c r="M158" i="39"/>
  <c r="J158" i="39"/>
  <c r="K158" i="39" s="1"/>
  <c r="L158" i="39" s="1"/>
  <c r="M157" i="39"/>
  <c r="J157" i="39"/>
  <c r="M156" i="39"/>
  <c r="J156" i="39"/>
  <c r="K156" i="39" s="1"/>
  <c r="L156" i="39" s="1"/>
  <c r="M155" i="39"/>
  <c r="J155" i="39"/>
  <c r="K155" i="39" s="1"/>
  <c r="M154" i="39"/>
  <c r="J154" i="39"/>
  <c r="M153" i="39"/>
  <c r="J153" i="39"/>
  <c r="M152" i="39"/>
  <c r="J152" i="39"/>
  <c r="K152" i="39" s="1"/>
  <c r="L152" i="39" s="1"/>
  <c r="M151" i="39"/>
  <c r="J151" i="39"/>
  <c r="M150" i="39"/>
  <c r="J150" i="39"/>
  <c r="K150" i="39" s="1"/>
  <c r="L150" i="39" s="1"/>
  <c r="M149" i="39"/>
  <c r="J149" i="39"/>
  <c r="K149" i="39" s="1"/>
  <c r="L149" i="39" s="1"/>
  <c r="M148" i="39"/>
  <c r="J148" i="39"/>
  <c r="K148" i="39" s="1"/>
  <c r="M147" i="39"/>
  <c r="J147" i="39"/>
  <c r="M146" i="39"/>
  <c r="J146" i="39"/>
  <c r="M145" i="39"/>
  <c r="J145" i="39"/>
  <c r="M144" i="39"/>
  <c r="J144" i="39"/>
  <c r="K144" i="39" s="1"/>
  <c r="L144" i="39" s="1"/>
  <c r="M143" i="39"/>
  <c r="J143" i="39"/>
  <c r="M142" i="39"/>
  <c r="J142" i="39"/>
  <c r="K142" i="39" s="1"/>
  <c r="L142" i="39" s="1"/>
  <c r="M141" i="39"/>
  <c r="J141" i="39"/>
  <c r="K141" i="39" s="1"/>
  <c r="L141" i="39" s="1"/>
  <c r="M140" i="39"/>
  <c r="J140" i="39"/>
  <c r="K140" i="39" s="1"/>
  <c r="M139" i="39"/>
  <c r="J139" i="39"/>
  <c r="K139" i="39" s="1"/>
  <c r="L139" i="39" s="1"/>
  <c r="M138" i="39"/>
  <c r="J138" i="39"/>
  <c r="M137" i="39"/>
  <c r="J137" i="39"/>
  <c r="M136" i="39"/>
  <c r="J136" i="39"/>
  <c r="M135" i="39"/>
  <c r="J135" i="39"/>
  <c r="K135" i="39" s="1"/>
  <c r="L135" i="39" s="1"/>
  <c r="M134" i="39"/>
  <c r="J134" i="39"/>
  <c r="K134" i="39" s="1"/>
  <c r="L134" i="39" s="1"/>
  <c r="M133" i="39"/>
  <c r="J133" i="39"/>
  <c r="K133" i="39" s="1"/>
  <c r="L133" i="39" s="1"/>
  <c r="M132" i="39"/>
  <c r="J132" i="39"/>
  <c r="K132" i="39" s="1"/>
  <c r="M131" i="39"/>
  <c r="J131" i="39"/>
  <c r="M130" i="39"/>
  <c r="J130" i="39"/>
  <c r="M129" i="39"/>
  <c r="J129" i="39"/>
  <c r="M128" i="39"/>
  <c r="J128" i="39"/>
  <c r="M127" i="39"/>
  <c r="J127" i="39"/>
  <c r="K127" i="39" s="1"/>
  <c r="L127" i="39" s="1"/>
  <c r="M126" i="39"/>
  <c r="J126" i="39"/>
  <c r="K126" i="39" s="1"/>
  <c r="L126" i="39" s="1"/>
  <c r="M125" i="39"/>
  <c r="J125" i="39"/>
  <c r="K125" i="39" s="1"/>
  <c r="L125" i="39" s="1"/>
  <c r="M124" i="39"/>
  <c r="J124" i="39"/>
  <c r="K124" i="39" s="1"/>
  <c r="M123" i="39"/>
  <c r="J123" i="39"/>
  <c r="K123" i="39" s="1"/>
  <c r="L123" i="39" s="1"/>
  <c r="M122" i="39"/>
  <c r="J122" i="39"/>
  <c r="K122" i="39" s="1"/>
  <c r="L122" i="39" s="1"/>
  <c r="M121" i="39"/>
  <c r="J121" i="39"/>
  <c r="M120" i="39"/>
  <c r="J120" i="39"/>
  <c r="K120" i="39" s="1"/>
  <c r="L120" i="39" s="1"/>
  <c r="M119" i="39"/>
  <c r="J119" i="39"/>
  <c r="M118" i="39"/>
  <c r="J118" i="39"/>
  <c r="K118" i="39" s="1"/>
  <c r="L118" i="39" s="1"/>
  <c r="M117" i="39"/>
  <c r="J117" i="39"/>
  <c r="K117" i="39" s="1"/>
  <c r="L117" i="39" s="1"/>
  <c r="M116" i="39"/>
  <c r="J116" i="39"/>
  <c r="K116" i="39" s="1"/>
  <c r="M115" i="39"/>
  <c r="J115" i="39"/>
  <c r="M114" i="39"/>
  <c r="J114" i="39"/>
  <c r="M113" i="39"/>
  <c r="J113" i="39"/>
  <c r="M112" i="39"/>
  <c r="J112" i="39"/>
  <c r="M111" i="39"/>
  <c r="J111" i="39"/>
  <c r="K111" i="39" s="1"/>
  <c r="L111" i="39" s="1"/>
  <c r="M110" i="39"/>
  <c r="J110" i="39"/>
  <c r="K110" i="39" s="1"/>
  <c r="L110" i="39" s="1"/>
  <c r="M109" i="39"/>
  <c r="J109" i="39"/>
  <c r="M108" i="39"/>
  <c r="J108" i="39"/>
  <c r="K108" i="39" s="1"/>
  <c r="M107" i="39"/>
  <c r="J107" i="39"/>
  <c r="K107" i="39" s="1"/>
  <c r="L107" i="39" s="1"/>
  <c r="M106" i="39"/>
  <c r="J106" i="39"/>
  <c r="K106" i="39" s="1"/>
  <c r="L106" i="39" s="1"/>
  <c r="M105" i="39"/>
  <c r="J105" i="39"/>
  <c r="M104" i="39"/>
  <c r="J104" i="39"/>
  <c r="M103" i="39"/>
  <c r="J103" i="39"/>
  <c r="K103" i="39" s="1"/>
  <c r="L103" i="39" s="1"/>
  <c r="M102" i="39"/>
  <c r="J102" i="39"/>
  <c r="K102" i="39" s="1"/>
  <c r="L102" i="39" s="1"/>
  <c r="M101" i="39"/>
  <c r="J101" i="39"/>
  <c r="M100" i="39"/>
  <c r="J100" i="39"/>
  <c r="M99" i="39"/>
  <c r="J99" i="39"/>
  <c r="K99" i="39" s="1"/>
  <c r="L99" i="39" s="1"/>
  <c r="M98" i="39"/>
  <c r="J98" i="39"/>
  <c r="K98" i="39" s="1"/>
  <c r="L98" i="39" s="1"/>
  <c r="M97" i="39"/>
  <c r="J97" i="39"/>
  <c r="K97" i="39" s="1"/>
  <c r="L97" i="39" s="1"/>
  <c r="M96" i="39"/>
  <c r="J96" i="39"/>
  <c r="K96" i="39" s="1"/>
  <c r="M95" i="39"/>
  <c r="J95" i="39"/>
  <c r="K95" i="39" s="1"/>
  <c r="L95" i="39" s="1"/>
  <c r="M94" i="39"/>
  <c r="J94" i="39"/>
  <c r="M93" i="39"/>
  <c r="J93" i="39"/>
  <c r="M92" i="39"/>
  <c r="J92" i="39"/>
  <c r="K92" i="39" s="1"/>
  <c r="L92" i="39" s="1"/>
  <c r="M91" i="39"/>
  <c r="J91" i="39"/>
  <c r="K91" i="39" s="1"/>
  <c r="L91" i="39" s="1"/>
  <c r="M90" i="39"/>
  <c r="J90" i="39"/>
  <c r="M89" i="39"/>
  <c r="J89" i="39"/>
  <c r="K89" i="39" s="1"/>
  <c r="L89" i="39" s="1"/>
  <c r="M88" i="39"/>
  <c r="J88" i="39"/>
  <c r="K88" i="39" s="1"/>
  <c r="L88" i="39" s="1"/>
  <c r="M87" i="39"/>
  <c r="J87" i="39"/>
  <c r="K87" i="39" s="1"/>
  <c r="M86" i="39"/>
  <c r="J86" i="39"/>
  <c r="K86" i="39" s="1"/>
  <c r="L86" i="39" s="1"/>
  <c r="M85" i="39"/>
  <c r="J85" i="39"/>
  <c r="M84" i="39"/>
  <c r="J84" i="39"/>
  <c r="M83" i="39"/>
  <c r="J83" i="39"/>
  <c r="K83" i="39" s="1"/>
  <c r="L83" i="39" s="1"/>
  <c r="M82" i="39"/>
  <c r="J82" i="39"/>
  <c r="K82" i="39" s="1"/>
  <c r="L82" i="39" s="1"/>
  <c r="M81" i="39"/>
  <c r="J81" i="39"/>
  <c r="K81" i="39" s="1"/>
  <c r="M80" i="39"/>
  <c r="J80" i="39"/>
  <c r="M79" i="39"/>
  <c r="J79" i="39"/>
  <c r="K79" i="39" s="1"/>
  <c r="L79" i="39" s="1"/>
  <c r="M78" i="39"/>
  <c r="J78" i="39"/>
  <c r="K78" i="39" s="1"/>
  <c r="L78" i="39" s="1"/>
  <c r="M77" i="39"/>
  <c r="J77" i="39"/>
  <c r="M76" i="39"/>
  <c r="J76" i="39"/>
  <c r="M75" i="39"/>
  <c r="J75" i="39"/>
  <c r="K75" i="39" s="1"/>
  <c r="L75" i="39" s="1"/>
  <c r="M74" i="39"/>
  <c r="J74" i="39"/>
  <c r="K74" i="39" s="1"/>
  <c r="L74" i="39" s="1"/>
  <c r="M73" i="39"/>
  <c r="J73" i="39"/>
  <c r="K73" i="39" s="1"/>
  <c r="M72" i="39"/>
  <c r="J72" i="39"/>
  <c r="M71" i="39"/>
  <c r="J71" i="39"/>
  <c r="K71" i="39" s="1"/>
  <c r="L71" i="39" s="1"/>
  <c r="M70" i="39"/>
  <c r="J70" i="39"/>
  <c r="K70" i="39" s="1"/>
  <c r="L70" i="39" s="1"/>
  <c r="M69" i="39"/>
  <c r="J69" i="39"/>
  <c r="M68" i="39"/>
  <c r="J68" i="39"/>
  <c r="K68" i="39" s="1"/>
  <c r="L68" i="39" s="1"/>
  <c r="M67" i="39"/>
  <c r="J67" i="39"/>
  <c r="K67" i="39" s="1"/>
  <c r="L67" i="39" s="1"/>
  <c r="M66" i="39"/>
  <c r="J66" i="39"/>
  <c r="K66" i="39" s="1"/>
  <c r="L66" i="39" s="1"/>
  <c r="M65" i="39"/>
  <c r="J65" i="39"/>
  <c r="K65" i="39" s="1"/>
  <c r="M64" i="39"/>
  <c r="J64" i="39"/>
  <c r="M63" i="39"/>
  <c r="J63" i="39"/>
  <c r="K63" i="39" s="1"/>
  <c r="L63" i="39" s="1"/>
  <c r="M62" i="39"/>
  <c r="J62" i="39"/>
  <c r="K62" i="39" s="1"/>
  <c r="L62" i="39" s="1"/>
  <c r="M61" i="39"/>
  <c r="J61" i="39"/>
  <c r="M60" i="39"/>
  <c r="J60" i="39"/>
  <c r="M59" i="39"/>
  <c r="J59" i="39"/>
  <c r="K59" i="39" s="1"/>
  <c r="L59" i="39" s="1"/>
  <c r="M58" i="39"/>
  <c r="J58" i="39"/>
  <c r="M57" i="39"/>
  <c r="J57" i="39"/>
  <c r="K57" i="39" s="1"/>
  <c r="M56" i="39"/>
  <c r="J56" i="39"/>
  <c r="K56" i="39" s="1"/>
  <c r="L56" i="39" s="1"/>
  <c r="M55" i="39"/>
  <c r="J55" i="39"/>
  <c r="K55" i="39" s="1"/>
  <c r="L55" i="39" s="1"/>
  <c r="M54" i="39"/>
  <c r="J54" i="39"/>
  <c r="K54" i="39" s="1"/>
  <c r="L54" i="39" s="1"/>
  <c r="M53" i="39"/>
  <c r="J53" i="39"/>
  <c r="M52" i="39"/>
  <c r="J52" i="39"/>
  <c r="M51" i="39"/>
  <c r="J51" i="39"/>
  <c r="K51" i="39" s="1"/>
  <c r="L51" i="39" s="1"/>
  <c r="M50" i="39"/>
  <c r="J50" i="39"/>
  <c r="K50" i="39" s="1"/>
  <c r="L50" i="39" s="1"/>
  <c r="M49" i="39"/>
  <c r="J49" i="39"/>
  <c r="M48" i="39"/>
  <c r="J48" i="39"/>
  <c r="K48" i="39" s="1"/>
  <c r="L48" i="39" s="1"/>
  <c r="M47" i="39"/>
  <c r="J47" i="39"/>
  <c r="K47" i="39" s="1"/>
  <c r="L47" i="39" s="1"/>
  <c r="M46" i="39"/>
  <c r="J46" i="39"/>
  <c r="K46" i="39" s="1"/>
  <c r="M45" i="39"/>
  <c r="J45" i="39"/>
  <c r="K45" i="39" s="1"/>
  <c r="L45" i="39" s="1"/>
  <c r="M44" i="39"/>
  <c r="J44" i="39"/>
  <c r="M43" i="39"/>
  <c r="J43" i="39"/>
  <c r="K43" i="39" s="1"/>
  <c r="L43" i="39" s="1"/>
  <c r="M42" i="39"/>
  <c r="J42" i="39"/>
  <c r="M41" i="39"/>
  <c r="J41" i="39"/>
  <c r="M40" i="39"/>
  <c r="J40" i="39"/>
  <c r="K40" i="39" s="1"/>
  <c r="L40" i="39" s="1"/>
  <c r="M39" i="39"/>
  <c r="J39" i="39"/>
  <c r="K39" i="39" s="1"/>
  <c r="L39" i="39" s="1"/>
  <c r="M38" i="39"/>
  <c r="J38" i="39"/>
  <c r="K38" i="39" s="1"/>
  <c r="L38" i="39" s="1"/>
  <c r="M37" i="39"/>
  <c r="J37" i="39"/>
  <c r="K37" i="39" s="1"/>
  <c r="L37" i="39" s="1"/>
  <c r="M36" i="39"/>
  <c r="J36" i="39"/>
  <c r="M35" i="39"/>
  <c r="J35" i="39"/>
  <c r="K35" i="39" s="1"/>
  <c r="L35" i="39" s="1"/>
  <c r="M34" i="39"/>
  <c r="J34" i="39"/>
  <c r="K34" i="39" s="1"/>
  <c r="N117" i="39" l="1"/>
  <c r="N35" i="39"/>
  <c r="N223" i="39"/>
  <c r="N39" i="39"/>
  <c r="K433" i="39"/>
  <c r="L433" i="39" s="1"/>
  <c r="N133" i="39"/>
  <c r="N144" i="39"/>
  <c r="N177" i="39"/>
  <c r="N334" i="39"/>
  <c r="N66" i="39"/>
  <c r="N91" i="39"/>
  <c r="N125" i="39"/>
  <c r="N156" i="39"/>
  <c r="N286" i="39"/>
  <c r="N82" i="39"/>
  <c r="N149" i="39"/>
  <c r="N316" i="39"/>
  <c r="K424" i="39"/>
  <c r="L424" i="39" s="1"/>
  <c r="K426" i="39"/>
  <c r="L426" i="39" s="1"/>
  <c r="K420" i="39"/>
  <c r="L420" i="39" s="1"/>
  <c r="N422" i="39"/>
  <c r="K428" i="39"/>
  <c r="L428" i="39" s="1"/>
  <c r="N419" i="39"/>
  <c r="N421" i="39"/>
  <c r="N423" i="39"/>
  <c r="N425" i="39"/>
  <c r="N427" i="39"/>
  <c r="N330" i="39"/>
  <c r="N88" i="39"/>
  <c r="N141" i="39"/>
  <c r="N250" i="39"/>
  <c r="N265" i="39"/>
  <c r="N297" i="39"/>
  <c r="N74" i="39"/>
  <c r="N161" i="39"/>
  <c r="N188" i="39"/>
  <c r="N204" i="39"/>
  <c r="N238" i="39"/>
  <c r="N254" i="39"/>
  <c r="K80" i="39"/>
  <c r="L80" i="39" s="1"/>
  <c r="K119" i="39"/>
  <c r="L119" i="39" s="1"/>
  <c r="L155" i="39"/>
  <c r="N155" i="39"/>
  <c r="K172" i="39"/>
  <c r="L172" i="39" s="1"/>
  <c r="K174" i="39"/>
  <c r="L174" i="39" s="1"/>
  <c r="K253" i="39"/>
  <c r="L253" i="39" s="1"/>
  <c r="K266" i="39"/>
  <c r="L266" i="39" s="1"/>
  <c r="K276" i="39"/>
  <c r="L276" i="39" s="1"/>
  <c r="K281" i="39"/>
  <c r="L281" i="39" s="1"/>
  <c r="K283" i="39"/>
  <c r="L283" i="39" s="1"/>
  <c r="K313" i="39"/>
  <c r="L313" i="39" s="1"/>
  <c r="K352" i="39"/>
  <c r="L352" i="39" s="1"/>
  <c r="K58" i="39"/>
  <c r="L58" i="39" s="1"/>
  <c r="K60" i="39"/>
  <c r="L60" i="39" s="1"/>
  <c r="K72" i="39"/>
  <c r="L72" i="39" s="1"/>
  <c r="K146" i="39"/>
  <c r="L146" i="39" s="1"/>
  <c r="K151" i="39"/>
  <c r="L151" i="39" s="1"/>
  <c r="K154" i="39"/>
  <c r="L154" i="39" s="1"/>
  <c r="L176" i="39"/>
  <c r="N176" i="39"/>
  <c r="K189" i="39"/>
  <c r="L189" i="39" s="1"/>
  <c r="K192" i="39"/>
  <c r="L192" i="39" s="1"/>
  <c r="K219" i="39"/>
  <c r="L219" i="39" s="1"/>
  <c r="K270" i="39"/>
  <c r="L270" i="39" s="1"/>
  <c r="K292" i="39"/>
  <c r="L292" i="39" s="1"/>
  <c r="K302" i="39"/>
  <c r="L302" i="39" s="1"/>
  <c r="K44" i="39"/>
  <c r="L44" i="39" s="1"/>
  <c r="N47" i="39"/>
  <c r="N50" i="39"/>
  <c r="K52" i="39"/>
  <c r="L52" i="39" s="1"/>
  <c r="K64" i="39"/>
  <c r="L64" i="39" s="1"/>
  <c r="K84" i="39"/>
  <c r="L84" i="39" s="1"/>
  <c r="N92" i="39"/>
  <c r="K94" i="39"/>
  <c r="L94" i="39" s="1"/>
  <c r="K112" i="39"/>
  <c r="L112" i="39" s="1"/>
  <c r="K114" i="39"/>
  <c r="L114" i="39" s="1"/>
  <c r="K143" i="39"/>
  <c r="L143" i="39" s="1"/>
  <c r="K159" i="39"/>
  <c r="L159" i="39" s="1"/>
  <c r="K175" i="39"/>
  <c r="L175" i="39" s="1"/>
  <c r="K209" i="39"/>
  <c r="L209" i="39" s="1"/>
  <c r="L232" i="39"/>
  <c r="N232" i="39"/>
  <c r="K252" i="39"/>
  <c r="L252" i="39" s="1"/>
  <c r="K329" i="39"/>
  <c r="L329" i="39" s="1"/>
  <c r="K41" i="39"/>
  <c r="L41" i="39" s="1"/>
  <c r="K76" i="39"/>
  <c r="L76" i="39" s="1"/>
  <c r="K90" i="39"/>
  <c r="L90" i="39" s="1"/>
  <c r="N97" i="39"/>
  <c r="N99" i="39"/>
  <c r="K109" i="39"/>
  <c r="L109" i="39" s="1"/>
  <c r="K128" i="39"/>
  <c r="L128" i="39" s="1"/>
  <c r="K130" i="39"/>
  <c r="L130" i="39" s="1"/>
  <c r="N158" i="39"/>
  <c r="K163" i="39"/>
  <c r="L163" i="39" s="1"/>
  <c r="K183" i="39"/>
  <c r="L183" i="39" s="1"/>
  <c r="K203" i="39"/>
  <c r="L203" i="39" s="1"/>
  <c r="K206" i="39"/>
  <c r="L206" i="39" s="1"/>
  <c r="K220" i="39"/>
  <c r="L220" i="39" s="1"/>
  <c r="K222" i="39"/>
  <c r="L222" i="39" s="1"/>
  <c r="K225" i="39"/>
  <c r="L225" i="39" s="1"/>
  <c r="K249" i="39"/>
  <c r="L249" i="39" s="1"/>
  <c r="N256" i="39"/>
  <c r="K267" i="39"/>
  <c r="L267" i="39" s="1"/>
  <c r="K269" i="39"/>
  <c r="L269" i="39" s="1"/>
  <c r="N280" i="39"/>
  <c r="L296" i="39"/>
  <c r="N296" i="39"/>
  <c r="K299" i="39"/>
  <c r="L299" i="39" s="1"/>
  <c r="K318" i="39"/>
  <c r="L318" i="39" s="1"/>
  <c r="K36" i="39"/>
  <c r="L36" i="39" s="1"/>
  <c r="L333" i="39"/>
  <c r="N333" i="39"/>
  <c r="K191" i="39"/>
  <c r="L191" i="39" s="1"/>
  <c r="K218" i="39"/>
  <c r="L218" i="39" s="1"/>
  <c r="K251" i="39"/>
  <c r="L251" i="39" s="1"/>
  <c r="K93" i="39"/>
  <c r="L93" i="39" s="1"/>
  <c r="N102" i="39"/>
  <c r="N122" i="39"/>
  <c r="N135" i="39"/>
  <c r="K138" i="39"/>
  <c r="L138" i="39" s="1"/>
  <c r="K170" i="39"/>
  <c r="L170" i="39" s="1"/>
  <c r="K173" i="39"/>
  <c r="L173" i="39" s="1"/>
  <c r="K179" i="39"/>
  <c r="L179" i="39" s="1"/>
  <c r="N190" i="39"/>
  <c r="K193" i="39"/>
  <c r="L193" i="39" s="1"/>
  <c r="K199" i="39"/>
  <c r="L199" i="39" s="1"/>
  <c r="K233" i="39"/>
  <c r="L233" i="39" s="1"/>
  <c r="K235" i="39"/>
  <c r="L235" i="39" s="1"/>
  <c r="K247" i="39"/>
  <c r="L247" i="39" s="1"/>
  <c r="K268" i="39"/>
  <c r="L268" i="39" s="1"/>
  <c r="N311" i="39"/>
  <c r="K312" i="39"/>
  <c r="L312" i="39" s="1"/>
  <c r="K315" i="39"/>
  <c r="L315" i="39" s="1"/>
  <c r="K336" i="39"/>
  <c r="L336" i="39" s="1"/>
  <c r="N340" i="39"/>
  <c r="K356" i="39"/>
  <c r="L356" i="39" s="1"/>
  <c r="K344" i="39"/>
  <c r="L344" i="39" s="1"/>
  <c r="N48" i="39"/>
  <c r="N56" i="39"/>
  <c r="N68" i="39"/>
  <c r="N106" i="39"/>
  <c r="N195" i="39"/>
  <c r="N228" i="39"/>
  <c r="N272" i="39"/>
  <c r="N320" i="39"/>
  <c r="N331" i="39"/>
  <c r="N348" i="39"/>
  <c r="N341" i="39"/>
  <c r="N345" i="39"/>
  <c r="N349" i="39"/>
  <c r="N353" i="39"/>
  <c r="N342" i="39"/>
  <c r="N346" i="39"/>
  <c r="N350" i="39"/>
  <c r="N354" i="39"/>
  <c r="N339" i="39"/>
  <c r="N343" i="39"/>
  <c r="N347" i="39"/>
  <c r="N351" i="39"/>
  <c r="N355" i="39"/>
  <c r="L34" i="39"/>
  <c r="N34" i="39"/>
  <c r="L73" i="39"/>
  <c r="N73" i="39"/>
  <c r="L87" i="39"/>
  <c r="N87" i="39"/>
  <c r="L57" i="39"/>
  <c r="N57" i="39"/>
  <c r="L65" i="39"/>
  <c r="N65" i="39"/>
  <c r="L46" i="39"/>
  <c r="N46" i="39"/>
  <c r="L81" i="39"/>
  <c r="N81" i="39"/>
  <c r="K85" i="39"/>
  <c r="L85" i="39" s="1"/>
  <c r="L96" i="39"/>
  <c r="N96" i="39"/>
  <c r="L108" i="39"/>
  <c r="N108" i="39"/>
  <c r="K131" i="39"/>
  <c r="L131" i="39" s="1"/>
  <c r="L132" i="39"/>
  <c r="N132" i="39"/>
  <c r="K165" i="39"/>
  <c r="L165" i="39" s="1"/>
  <c r="K207" i="39"/>
  <c r="L207" i="39" s="1"/>
  <c r="L208" i="39"/>
  <c r="N208" i="39"/>
  <c r="K284" i="39"/>
  <c r="L284" i="39" s="1"/>
  <c r="K61" i="39"/>
  <c r="L61" i="39" s="1"/>
  <c r="K69" i="39"/>
  <c r="L69" i="39" s="1"/>
  <c r="K77" i="39"/>
  <c r="L77" i="39" s="1"/>
  <c r="K101" i="39"/>
  <c r="L101" i="39" s="1"/>
  <c r="L116" i="39"/>
  <c r="N116" i="39"/>
  <c r="K145" i="39"/>
  <c r="L145" i="39" s="1"/>
  <c r="K201" i="39"/>
  <c r="L201" i="39" s="1"/>
  <c r="L224" i="39"/>
  <c r="N224" i="39"/>
  <c r="L317" i="39"/>
  <c r="N317" i="39"/>
  <c r="K321" i="39"/>
  <c r="L321" i="39" s="1"/>
  <c r="N37" i="39"/>
  <c r="N38" i="39"/>
  <c r="K49" i="39"/>
  <c r="L49" i="39" s="1"/>
  <c r="N78" i="39"/>
  <c r="N127" i="39"/>
  <c r="K129" i="39"/>
  <c r="L129" i="39" s="1"/>
  <c r="L140" i="39"/>
  <c r="N140" i="39"/>
  <c r="L160" i="39"/>
  <c r="N160" i="39"/>
  <c r="K164" i="39"/>
  <c r="L164" i="39" s="1"/>
  <c r="K180" i="39"/>
  <c r="L180" i="39" s="1"/>
  <c r="K205" i="39"/>
  <c r="L205" i="39" s="1"/>
  <c r="K213" i="39"/>
  <c r="L213" i="39" s="1"/>
  <c r="K221" i="39"/>
  <c r="L221" i="39" s="1"/>
  <c r="K257" i="39"/>
  <c r="L257" i="39" s="1"/>
  <c r="K262" i="39"/>
  <c r="L262" i="39" s="1"/>
  <c r="K273" i="39"/>
  <c r="L273" i="39" s="1"/>
  <c r="K282" i="39"/>
  <c r="L282" i="39" s="1"/>
  <c r="K298" i="39"/>
  <c r="L298" i="39" s="1"/>
  <c r="K306" i="39"/>
  <c r="L306" i="39" s="1"/>
  <c r="K314" i="39"/>
  <c r="L314" i="39" s="1"/>
  <c r="N45" i="39"/>
  <c r="L171" i="39"/>
  <c r="N171" i="39"/>
  <c r="N229" i="39"/>
  <c r="K234" i="39"/>
  <c r="L234" i="39" s="1"/>
  <c r="L285" i="39"/>
  <c r="N285" i="39"/>
  <c r="K42" i="39"/>
  <c r="L42" i="39" s="1"/>
  <c r="K53" i="39"/>
  <c r="L53" i="39" s="1"/>
  <c r="K115" i="39"/>
  <c r="L115" i="39" s="1"/>
  <c r="N120" i="39"/>
  <c r="K136" i="39"/>
  <c r="L136" i="39" s="1"/>
  <c r="K185" i="39"/>
  <c r="L185" i="39" s="1"/>
  <c r="K278" i="39"/>
  <c r="L278" i="39" s="1"/>
  <c r="K294" i="39"/>
  <c r="L294" i="39" s="1"/>
  <c r="N54" i="39"/>
  <c r="N62" i="39"/>
  <c r="N70" i="39"/>
  <c r="N40" i="39"/>
  <c r="N43" i="39"/>
  <c r="N86" i="39"/>
  <c r="N89" i="39"/>
  <c r="K100" i="39"/>
  <c r="L100" i="39" s="1"/>
  <c r="N103" i="39"/>
  <c r="K104" i="39"/>
  <c r="L104" i="39" s="1"/>
  <c r="N111" i="39"/>
  <c r="K113" i="39"/>
  <c r="L113" i="39" s="1"/>
  <c r="L124" i="39"/>
  <c r="N124" i="39"/>
  <c r="K147" i="39"/>
  <c r="L147" i="39" s="1"/>
  <c r="L148" i="39"/>
  <c r="N148" i="39"/>
  <c r="N152" i="39"/>
  <c r="K157" i="39"/>
  <c r="L157" i="39" s="1"/>
  <c r="N186" i="39"/>
  <c r="L187" i="39"/>
  <c r="N187" i="39"/>
  <c r="K200" i="39"/>
  <c r="L200" i="39" s="1"/>
  <c r="N215" i="39"/>
  <c r="K216" i="39"/>
  <c r="L216" i="39" s="1"/>
  <c r="K242" i="39"/>
  <c r="L242" i="39" s="1"/>
  <c r="L248" i="39"/>
  <c r="N248" i="39"/>
  <c r="K290" i="39"/>
  <c r="L290" i="39" s="1"/>
  <c r="K293" i="39"/>
  <c r="L293" i="39" s="1"/>
  <c r="N308" i="39"/>
  <c r="K309" i="39"/>
  <c r="L309" i="39" s="1"/>
  <c r="K322" i="39"/>
  <c r="L322" i="39" s="1"/>
  <c r="N327" i="39"/>
  <c r="L328" i="39"/>
  <c r="N328" i="39"/>
  <c r="K332" i="39"/>
  <c r="L332" i="39" s="1"/>
  <c r="K337" i="39"/>
  <c r="L337" i="39" s="1"/>
  <c r="N51" i="39"/>
  <c r="N55" i="39"/>
  <c r="N59" i="39"/>
  <c r="N63" i="39"/>
  <c r="N67" i="39"/>
  <c r="N71" i="39"/>
  <c r="N75" i="39"/>
  <c r="N79" i="39"/>
  <c r="N83" i="39"/>
  <c r="N95" i="39"/>
  <c r="N107" i="39"/>
  <c r="N123" i="39"/>
  <c r="N139" i="39"/>
  <c r="K169" i="39"/>
  <c r="L169" i="39" s="1"/>
  <c r="K197" i="39"/>
  <c r="L197" i="39" s="1"/>
  <c r="K236" i="39"/>
  <c r="L236" i="39" s="1"/>
  <c r="L237" i="39"/>
  <c r="N237" i="39"/>
  <c r="K241" i="39"/>
  <c r="L241" i="39" s="1"/>
  <c r="K277" i="39"/>
  <c r="L277" i="39" s="1"/>
  <c r="K326" i="39"/>
  <c r="L326" i="39" s="1"/>
  <c r="N98" i="39"/>
  <c r="K105" i="39"/>
  <c r="L105" i="39" s="1"/>
  <c r="N110" i="39"/>
  <c r="K121" i="39"/>
  <c r="L121" i="39" s="1"/>
  <c r="N126" i="39"/>
  <c r="K137" i="39"/>
  <c r="L137" i="39" s="1"/>
  <c r="N142" i="39"/>
  <c r="K153" i="39"/>
  <c r="L153" i="39" s="1"/>
  <c r="N167" i="39"/>
  <c r="N168" i="39"/>
  <c r="K181" i="39"/>
  <c r="L181" i="39" s="1"/>
  <c r="K184" i="39"/>
  <c r="L184" i="39" s="1"/>
  <c r="N196" i="39"/>
  <c r="N202" i="39"/>
  <c r="N211" i="39"/>
  <c r="K212" i="39"/>
  <c r="L212" i="39" s="1"/>
  <c r="K217" i="39"/>
  <c r="L217" i="39" s="1"/>
  <c r="K230" i="39"/>
  <c r="L230" i="39" s="1"/>
  <c r="N244" i="39"/>
  <c r="N245" i="39"/>
  <c r="K258" i="39"/>
  <c r="L258" i="39" s="1"/>
  <c r="N263" i="39"/>
  <c r="L264" i="39"/>
  <c r="N264" i="39"/>
  <c r="N279" i="39"/>
  <c r="N288" i="39"/>
  <c r="K300" i="39"/>
  <c r="L300" i="39" s="1"/>
  <c r="L301" i="39"/>
  <c r="N301" i="39"/>
  <c r="K305" i="39"/>
  <c r="L305" i="39" s="1"/>
  <c r="N118" i="39"/>
  <c r="N134" i="39"/>
  <c r="N150" i="39"/>
  <c r="N166" i="39"/>
  <c r="N182" i="39"/>
  <c r="N198" i="39"/>
  <c r="N214" i="39"/>
  <c r="N231" i="39"/>
  <c r="N240" i="39"/>
  <c r="K246" i="39"/>
  <c r="L246" i="39" s="1"/>
  <c r="N260" i="39"/>
  <c r="N261" i="39"/>
  <c r="K274" i="39"/>
  <c r="L274" i="39" s="1"/>
  <c r="N289" i="39"/>
  <c r="N295" i="39"/>
  <c r="N304" i="39"/>
  <c r="K310" i="39"/>
  <c r="L310" i="39" s="1"/>
  <c r="N324" i="39"/>
  <c r="N325" i="39"/>
  <c r="K338" i="39"/>
  <c r="L338" i="39" s="1"/>
  <c r="N162" i="39"/>
  <c r="N178" i="39"/>
  <c r="N194" i="39"/>
  <c r="N210" i="39"/>
  <c r="N226" i="39"/>
  <c r="N227" i="39"/>
  <c r="N243" i="39"/>
  <c r="N259" i="39"/>
  <c r="N275" i="39"/>
  <c r="N291" i="39"/>
  <c r="N307" i="39"/>
  <c r="N323" i="39"/>
  <c r="N239" i="39"/>
  <c r="N255" i="39"/>
  <c r="N271" i="39"/>
  <c r="N287" i="39"/>
  <c r="N303" i="39"/>
  <c r="N319" i="39"/>
  <c r="N335" i="39"/>
  <c r="Q31" i="39"/>
  <c r="J31" i="39"/>
  <c r="K31" i="39" s="1"/>
  <c r="L31" i="39" s="1"/>
  <c r="H31" i="39"/>
  <c r="G31" i="39" s="1"/>
  <c r="J30" i="39"/>
  <c r="K30" i="39" s="1"/>
  <c r="L30" i="39" s="1"/>
  <c r="J29" i="39"/>
  <c r="K29" i="39" s="1"/>
  <c r="L29" i="39" s="1"/>
  <c r="J28" i="39"/>
  <c r="K28" i="39" s="1"/>
  <c r="L28" i="39" s="1"/>
  <c r="J27" i="39"/>
  <c r="K27" i="39" s="1"/>
  <c r="L27" i="39" s="1"/>
  <c r="J26" i="39"/>
  <c r="K26" i="39" s="1"/>
  <c r="L26" i="39" s="1"/>
  <c r="J25" i="39"/>
  <c r="K25" i="39" s="1"/>
  <c r="L25" i="39" s="1"/>
  <c r="J24" i="39"/>
  <c r="K24" i="39" s="1"/>
  <c r="L24" i="39" s="1"/>
  <c r="J23" i="39"/>
  <c r="H30" i="39"/>
  <c r="G30" i="39" s="1"/>
  <c r="H29" i="39"/>
  <c r="G29" i="39" s="1"/>
  <c r="H28" i="39"/>
  <c r="G28" i="39" s="1"/>
  <c r="H27" i="39"/>
  <c r="G27" i="39" s="1"/>
  <c r="H26" i="39"/>
  <c r="G26" i="39" s="1"/>
  <c r="H25" i="39"/>
  <c r="G25" i="39" s="1"/>
  <c r="H24" i="39"/>
  <c r="G24" i="39" s="1"/>
  <c r="H23" i="39"/>
  <c r="D13" i="43" s="1"/>
  <c r="Q30" i="39"/>
  <c r="Q29" i="39"/>
  <c r="Q28" i="39"/>
  <c r="Q27" i="39"/>
  <c r="Q26" i="39"/>
  <c r="Q25" i="39"/>
  <c r="Q24" i="39"/>
  <c r="N201" i="39" l="1"/>
  <c r="N268" i="39"/>
  <c r="N233" i="39"/>
  <c r="N93" i="39"/>
  <c r="N191" i="39"/>
  <c r="N220" i="39"/>
  <c r="N128" i="39"/>
  <c r="N270" i="39"/>
  <c r="N189" i="39"/>
  <c r="N253" i="39"/>
  <c r="N428" i="39"/>
  <c r="N205" i="39"/>
  <c r="N165" i="39"/>
  <c r="N131" i="39"/>
  <c r="N262" i="39"/>
  <c r="N213" i="39"/>
  <c r="N266" i="39"/>
  <c r="N420" i="39"/>
  <c r="N164" i="39"/>
  <c r="N284" i="39"/>
  <c r="N207" i="39"/>
  <c r="N85" i="39"/>
  <c r="N433" i="39"/>
  <c r="N225" i="39"/>
  <c r="N252" i="39"/>
  <c r="N209" i="39"/>
  <c r="N159" i="39"/>
  <c r="N104" i="39"/>
  <c r="N180" i="39"/>
  <c r="N169" i="39"/>
  <c r="N129" i="39"/>
  <c r="N145" i="39"/>
  <c r="N101" i="39"/>
  <c r="N249" i="39"/>
  <c r="N175" i="39"/>
  <c r="N143" i="39"/>
  <c r="N302" i="39"/>
  <c r="N58" i="39"/>
  <c r="N426" i="39"/>
  <c r="N424" i="39"/>
  <c r="N338" i="39"/>
  <c r="N310" i="39"/>
  <c r="N326" i="39"/>
  <c r="N322" i="39"/>
  <c r="N313" i="39"/>
  <c r="N337" i="39"/>
  <c r="N309" i="39"/>
  <c r="N136" i="39"/>
  <c r="N41" i="39"/>
  <c r="N300" i="39"/>
  <c r="N121" i="39"/>
  <c r="N212" i="39"/>
  <c r="N290" i="39"/>
  <c r="N242" i="39"/>
  <c r="N147" i="39"/>
  <c r="N113" i="39"/>
  <c r="N193" i="39"/>
  <c r="N356" i="39"/>
  <c r="N318" i="39"/>
  <c r="N109" i="39"/>
  <c r="N329" i="39"/>
  <c r="N203" i="39"/>
  <c r="N112" i="39"/>
  <c r="N281" i="39"/>
  <c r="N172" i="39"/>
  <c r="N119" i="39"/>
  <c r="N267" i="39"/>
  <c r="N344" i="39"/>
  <c r="N235" i="39"/>
  <c r="N199" i="39"/>
  <c r="N336" i="39"/>
  <c r="N251" i="39"/>
  <c r="N130" i="39"/>
  <c r="N90" i="39"/>
  <c r="N183" i="39"/>
  <c r="N114" i="39"/>
  <c r="N64" i="39"/>
  <c r="N292" i="39"/>
  <c r="N146" i="39"/>
  <c r="N72" i="39"/>
  <c r="N352" i="39"/>
  <c r="N283" i="39"/>
  <c r="N276" i="39"/>
  <c r="N174" i="39"/>
  <c r="N53" i="39"/>
  <c r="N61" i="39"/>
  <c r="N179" i="39"/>
  <c r="N315" i="39"/>
  <c r="N170" i="39"/>
  <c r="N163" i="39"/>
  <c r="N94" i="39"/>
  <c r="N52" i="39"/>
  <c r="N219" i="39"/>
  <c r="N154" i="39"/>
  <c r="N181" i="39"/>
  <c r="N153" i="39"/>
  <c r="N236" i="39"/>
  <c r="N184" i="39"/>
  <c r="N314" i="39"/>
  <c r="N77" i="39"/>
  <c r="N247" i="39"/>
  <c r="N173" i="39"/>
  <c r="N312" i="39"/>
  <c r="N218" i="39"/>
  <c r="N138" i="39"/>
  <c r="N36" i="39"/>
  <c r="N269" i="39"/>
  <c r="N222" i="39"/>
  <c r="N299" i="39"/>
  <c r="N206" i="39"/>
  <c r="N76" i="39"/>
  <c r="N84" i="39"/>
  <c r="N60" i="39"/>
  <c r="N44" i="39"/>
  <c r="N192" i="39"/>
  <c r="N151" i="39"/>
  <c r="N80" i="39"/>
  <c r="N274" i="39"/>
  <c r="N246" i="39"/>
  <c r="N305" i="39"/>
  <c r="N217" i="39"/>
  <c r="N105" i="39"/>
  <c r="N241" i="39"/>
  <c r="N293" i="39"/>
  <c r="N294" i="39"/>
  <c r="N185" i="39"/>
  <c r="N115" i="39"/>
  <c r="N306" i="39"/>
  <c r="N282" i="39"/>
  <c r="N216" i="39"/>
  <c r="N100" i="39"/>
  <c r="N42" i="39"/>
  <c r="N273" i="39"/>
  <c r="N69" i="39"/>
  <c r="N258" i="39"/>
  <c r="N230" i="39"/>
  <c r="N137" i="39"/>
  <c r="N277" i="39"/>
  <c r="N197" i="39"/>
  <c r="N332" i="39"/>
  <c r="N200" i="39"/>
  <c r="N157" i="39"/>
  <c r="N278" i="39"/>
  <c r="N234" i="39"/>
  <c r="N298" i="39"/>
  <c r="N221" i="39"/>
  <c r="N321" i="39"/>
  <c r="N257" i="39"/>
  <c r="N49" i="39"/>
  <c r="M31" i="39"/>
  <c r="N31" i="39"/>
  <c r="M24" i="39"/>
  <c r="M25" i="39"/>
  <c r="M26" i="39"/>
  <c r="M27" i="39"/>
  <c r="M28" i="39"/>
  <c r="M29" i="39"/>
  <c r="M30" i="39"/>
  <c r="N24" i="39"/>
  <c r="N25" i="39"/>
  <c r="N26" i="39"/>
  <c r="N27" i="39"/>
  <c r="N28" i="39"/>
  <c r="N29" i="39"/>
  <c r="N30" i="39"/>
  <c r="C15" i="39"/>
  <c r="M439" i="39"/>
  <c r="J439" i="39"/>
  <c r="J438" i="39"/>
  <c r="K438" i="39" s="1"/>
  <c r="L438" i="39" s="1"/>
  <c r="M438" i="39"/>
  <c r="M437" i="39"/>
  <c r="J437" i="39"/>
  <c r="K437" i="39" s="1"/>
  <c r="L437" i="39" s="1"/>
  <c r="M436" i="39"/>
  <c r="J436" i="39"/>
  <c r="K436" i="39" s="1"/>
  <c r="L436" i="39" s="1"/>
  <c r="M434" i="39"/>
  <c r="J434" i="39"/>
  <c r="M432" i="39"/>
  <c r="J432" i="39"/>
  <c r="J431" i="39"/>
  <c r="M431" i="39"/>
  <c r="M430" i="39"/>
  <c r="J430" i="39"/>
  <c r="K430" i="39" s="1"/>
  <c r="L430" i="39" s="1"/>
  <c r="J418" i="39"/>
  <c r="M418" i="39"/>
  <c r="M416" i="39"/>
  <c r="J416" i="39"/>
  <c r="K416" i="39" s="1"/>
  <c r="L416" i="39" s="1"/>
  <c r="M415" i="39"/>
  <c r="J415" i="39"/>
  <c r="M410" i="39"/>
  <c r="J410" i="39"/>
  <c r="K410" i="39" s="1"/>
  <c r="L410" i="39" s="1"/>
  <c r="M409" i="39"/>
  <c r="J409" i="39"/>
  <c r="M408" i="39"/>
  <c r="J408" i="39"/>
  <c r="K408" i="39" s="1"/>
  <c r="L408" i="39" s="1"/>
  <c r="M407" i="39"/>
  <c r="J407" i="39"/>
  <c r="M406" i="39"/>
  <c r="J406" i="39"/>
  <c r="M405" i="39"/>
  <c r="J405" i="39"/>
  <c r="M404" i="39"/>
  <c r="J404" i="39"/>
  <c r="M403" i="39"/>
  <c r="J403" i="39"/>
  <c r="K403" i="39" s="1"/>
  <c r="L403" i="39" s="1"/>
  <c r="M402" i="39"/>
  <c r="J402" i="39"/>
  <c r="M33" i="39"/>
  <c r="J33" i="39"/>
  <c r="K33" i="39" s="1"/>
  <c r="L33" i="39" s="1"/>
  <c r="Q23" i="39"/>
  <c r="K23" i="39"/>
  <c r="G23" i="39"/>
  <c r="Q21" i="39"/>
  <c r="K21" i="39"/>
  <c r="H21" i="39"/>
  <c r="G21" i="39" l="1"/>
  <c r="D14" i="43"/>
  <c r="D4" i="39"/>
  <c r="N410" i="39"/>
  <c r="N416" i="39"/>
  <c r="M21" i="39"/>
  <c r="M23" i="39"/>
  <c r="K434" i="39"/>
  <c r="L434" i="39" s="1"/>
  <c r="K439" i="39"/>
  <c r="L439" i="39" s="1"/>
  <c r="N33" i="39"/>
  <c r="K409" i="39"/>
  <c r="L409" i="39" s="1"/>
  <c r="D11" i="39"/>
  <c r="K404" i="39"/>
  <c r="L404" i="39" s="1"/>
  <c r="K407" i="39"/>
  <c r="L407" i="39" s="1"/>
  <c r="K415" i="39"/>
  <c r="L415" i="39" s="1"/>
  <c r="N438" i="39"/>
  <c r="L21" i="39"/>
  <c r="N21" i="39"/>
  <c r="L23" i="39"/>
  <c r="N23" i="39"/>
  <c r="K406" i="39"/>
  <c r="L406" i="39" s="1"/>
  <c r="K431" i="39"/>
  <c r="L431" i="39" s="1"/>
  <c r="D6" i="39"/>
  <c r="D9" i="39"/>
  <c r="N408" i="39"/>
  <c r="N436" i="39"/>
  <c r="N437" i="39"/>
  <c r="D14" i="39"/>
  <c r="K402" i="39"/>
  <c r="L402" i="39" s="1"/>
  <c r="K405" i="39"/>
  <c r="L405" i="39" s="1"/>
  <c r="K418" i="39"/>
  <c r="L418" i="39" s="1"/>
  <c r="K432" i="39"/>
  <c r="L432" i="39" s="1"/>
  <c r="N403" i="39"/>
  <c r="N430" i="39"/>
  <c r="N406" i="39" l="1"/>
  <c r="N404" i="39"/>
  <c r="N439" i="39"/>
  <c r="N432" i="39"/>
  <c r="N407" i="39"/>
  <c r="N434" i="39"/>
  <c r="D12" i="39"/>
  <c r="D5" i="39"/>
  <c r="D3" i="39"/>
  <c r="D7" i="39"/>
  <c r="G441" i="39"/>
  <c r="C16" i="39" s="1"/>
  <c r="N418" i="39"/>
  <c r="N402" i="39"/>
  <c r="N415" i="39"/>
  <c r="N409" i="39"/>
  <c r="D8" i="39"/>
  <c r="D13" i="39"/>
  <c r="D10" i="39"/>
  <c r="N405" i="39"/>
  <c r="N431" i="39"/>
  <c r="G48" i="25"/>
  <c r="F65" i="25"/>
  <c r="D64" i="25"/>
  <c r="F63" i="25"/>
  <c r="D62" i="25"/>
  <c r="F61" i="25"/>
  <c r="D60" i="25"/>
  <c r="F59" i="25"/>
  <c r="D58" i="25"/>
  <c r="F57" i="25"/>
  <c r="O49" i="25"/>
  <c r="K49" i="25"/>
  <c r="L49" i="25" s="1"/>
  <c r="K48" i="25"/>
  <c r="L48" i="25" s="1"/>
  <c r="P47" i="25"/>
  <c r="K47" i="25"/>
  <c r="L47" i="25" s="1"/>
  <c r="C39" i="25"/>
  <c r="H63" i="22"/>
  <c r="H62" i="22"/>
  <c r="H61" i="22"/>
  <c r="H60" i="22"/>
  <c r="P63" i="22"/>
  <c r="L63" i="22"/>
  <c r="M63" i="22" s="1"/>
  <c r="N63" i="22"/>
  <c r="P62" i="22"/>
  <c r="L62" i="22"/>
  <c r="N62" i="22"/>
  <c r="L61" i="22"/>
  <c r="M61" i="22" s="1"/>
  <c r="P61" i="22"/>
  <c r="L60" i="22"/>
  <c r="M60" i="22" s="1"/>
  <c r="L59" i="22"/>
  <c r="M59" i="22" s="1"/>
  <c r="L48" i="22"/>
  <c r="M48" i="22" s="1"/>
  <c r="L47" i="22"/>
  <c r="M47" i="22" s="1"/>
  <c r="L51" i="22"/>
  <c r="M51" i="22" s="1"/>
  <c r="L50" i="22"/>
  <c r="M50" i="22" s="1"/>
  <c r="L49" i="22"/>
  <c r="M49" i="22" s="1"/>
  <c r="L53" i="22"/>
  <c r="L54" i="22"/>
  <c r="L55" i="22"/>
  <c r="L56" i="22"/>
  <c r="L57" i="22"/>
  <c r="L58" i="22"/>
  <c r="N47" i="22"/>
  <c r="P65" i="22"/>
  <c r="N65" i="22"/>
  <c r="M65" i="22"/>
  <c r="L65" i="22"/>
  <c r="H65" i="22"/>
  <c r="H59" i="22"/>
  <c r="C59" i="22"/>
  <c r="P59" i="22" s="1"/>
  <c r="P58" i="22"/>
  <c r="N58" i="22"/>
  <c r="M58" i="22"/>
  <c r="H58" i="22"/>
  <c r="C58" i="22"/>
  <c r="P57" i="22"/>
  <c r="N57" i="22"/>
  <c r="O57" i="22" s="1"/>
  <c r="Q57" i="22" s="1"/>
  <c r="M57" i="22"/>
  <c r="H57" i="22"/>
  <c r="C57" i="22"/>
  <c r="P56" i="22"/>
  <c r="N56" i="22"/>
  <c r="M56" i="22"/>
  <c r="H56" i="22"/>
  <c r="C56" i="22"/>
  <c r="P55" i="22"/>
  <c r="N55" i="22"/>
  <c r="M55" i="22"/>
  <c r="H55" i="22"/>
  <c r="C55" i="22"/>
  <c r="P54" i="22"/>
  <c r="N54" i="22"/>
  <c r="M54" i="22"/>
  <c r="H54" i="22"/>
  <c r="C54" i="22"/>
  <c r="P53" i="22"/>
  <c r="N53" i="22"/>
  <c r="M53" i="22"/>
  <c r="H53" i="22"/>
  <c r="C53" i="22"/>
  <c r="P51" i="22"/>
  <c r="N51" i="22"/>
  <c r="H51" i="22"/>
  <c r="P50" i="22"/>
  <c r="N50" i="22"/>
  <c r="H50" i="22"/>
  <c r="P49" i="22"/>
  <c r="N49" i="22"/>
  <c r="H49" i="22"/>
  <c r="P48" i="22"/>
  <c r="N48" i="22"/>
  <c r="H48" i="22"/>
  <c r="P47" i="22"/>
  <c r="H47" i="22"/>
  <c r="C38" i="22"/>
  <c r="D35" i="25" l="1"/>
  <c r="D38" i="25"/>
  <c r="H48" i="25"/>
  <c r="D36" i="22"/>
  <c r="N59" i="22"/>
  <c r="O59" i="22" s="1"/>
  <c r="Q59" i="22" s="1"/>
  <c r="T59" i="22" s="1"/>
  <c r="D35" i="22"/>
  <c r="O53" i="22"/>
  <c r="Q53" i="22" s="1"/>
  <c r="O51" i="22"/>
  <c r="Q51" i="22" s="1"/>
  <c r="O63" i="22"/>
  <c r="Q63" i="22" s="1"/>
  <c r="T63" i="22" s="1"/>
  <c r="O62" i="22"/>
  <c r="Q62" i="22" s="1"/>
  <c r="T62" i="22" s="1"/>
  <c r="N60" i="22"/>
  <c r="O60" i="22" s="1"/>
  <c r="Q60" i="22" s="1"/>
  <c r="T60" i="22" s="1"/>
  <c r="C66" i="22"/>
  <c r="N61" i="22"/>
  <c r="O61" i="22" s="1"/>
  <c r="Q61" i="22" s="1"/>
  <c r="M62" i="22"/>
  <c r="P60" i="22"/>
  <c r="O54" i="22"/>
  <c r="Q54" i="22" s="1"/>
  <c r="R54" i="22" s="1"/>
  <c r="O58" i="22"/>
  <c r="Q58" i="22" s="1"/>
  <c r="R58" i="22" s="1"/>
  <c r="O65" i="22"/>
  <c r="Q65" i="22" s="1"/>
  <c r="R65" i="22" s="1"/>
  <c r="O49" i="22"/>
  <c r="Q49" i="22" s="1"/>
  <c r="O50" i="22"/>
  <c r="Q50" i="22" s="1"/>
  <c r="O55" i="22"/>
  <c r="Q55" i="22" s="1"/>
  <c r="R55" i="22" s="1"/>
  <c r="R57" i="22"/>
  <c r="O56" i="22"/>
  <c r="Q56" i="22" s="1"/>
  <c r="R56" i="22" s="1"/>
  <c r="O48" i="22"/>
  <c r="Q48" i="22" s="1"/>
  <c r="O47" i="22"/>
  <c r="R53" i="22"/>
  <c r="W299" i="37"/>
  <c r="W320" i="37"/>
  <c r="W319" i="37"/>
  <c r="W318" i="37"/>
  <c r="W317" i="37"/>
  <c r="W314" i="37"/>
  <c r="W304" i="37"/>
  <c r="W303" i="37"/>
  <c r="W260" i="37"/>
  <c r="W224" i="37"/>
  <c r="W223" i="37"/>
  <c r="W210" i="37"/>
  <c r="W192" i="37"/>
  <c r="W191" i="37"/>
  <c r="W190" i="37"/>
  <c r="W189" i="37"/>
  <c r="W188" i="37"/>
  <c r="W187" i="37"/>
  <c r="W116" i="37"/>
  <c r="W115" i="37"/>
  <c r="W114" i="37"/>
  <c r="W113" i="37"/>
  <c r="W112" i="37"/>
  <c r="W111" i="37"/>
  <c r="W110" i="37"/>
  <c r="W109" i="37"/>
  <c r="W108" i="37"/>
  <c r="W107" i="37"/>
  <c r="W106" i="37"/>
  <c r="W105" i="37"/>
  <c r="W104" i="37"/>
  <c r="W103" i="37"/>
  <c r="W102" i="37"/>
  <c r="W99" i="37"/>
  <c r="R60" i="22" l="1"/>
  <c r="R62" i="22"/>
  <c r="D36" i="25"/>
  <c r="O48" i="25"/>
  <c r="H51" i="25"/>
  <c r="C40" i="25" s="1"/>
  <c r="D37" i="25"/>
  <c r="R59" i="22"/>
  <c r="R49" i="22"/>
  <c r="R51" i="22"/>
  <c r="R48" i="22"/>
  <c r="R50" i="22"/>
  <c r="R61" i="22"/>
  <c r="T61" i="22"/>
  <c r="R63" i="22"/>
  <c r="P66" i="22"/>
  <c r="P67" i="22" s="1"/>
  <c r="D37" i="22"/>
  <c r="Q47" i="22"/>
  <c r="Y332" i="37"/>
  <c r="W332" i="37"/>
  <c r="X332" i="37" s="1"/>
  <c r="L332" i="37"/>
  <c r="K332" i="37" s="1"/>
  <c r="O332" i="37" s="1"/>
  <c r="AH332" i="37" s="1"/>
  <c r="Y331" i="37"/>
  <c r="W331" i="37"/>
  <c r="X331" i="37" s="1"/>
  <c r="L331" i="37"/>
  <c r="K331" i="37" s="1"/>
  <c r="O331" i="37" s="1"/>
  <c r="AH331" i="37" s="1"/>
  <c r="Y330" i="37"/>
  <c r="W330" i="37"/>
  <c r="X330" i="37" s="1"/>
  <c r="L330" i="37"/>
  <c r="K330" i="37" s="1"/>
  <c r="O330" i="37" s="1"/>
  <c r="AH330" i="37" s="1"/>
  <c r="Y329" i="37"/>
  <c r="W329" i="37"/>
  <c r="X329" i="37" s="1"/>
  <c r="L329" i="37"/>
  <c r="K329" i="37" s="1"/>
  <c r="O329" i="37" s="1"/>
  <c r="AH329" i="37" s="1"/>
  <c r="Y328" i="37"/>
  <c r="W328" i="37"/>
  <c r="X328" i="37" s="1"/>
  <c r="L328" i="37"/>
  <c r="K328" i="37" s="1"/>
  <c r="O328" i="37" s="1"/>
  <c r="AH328" i="37" s="1"/>
  <c r="Y327" i="37"/>
  <c r="W327" i="37"/>
  <c r="X327" i="37" s="1"/>
  <c r="L327" i="37"/>
  <c r="K327" i="37" s="1"/>
  <c r="O327" i="37" s="1"/>
  <c r="AH327" i="37" s="1"/>
  <c r="Y326" i="37"/>
  <c r="W326" i="37"/>
  <c r="X326" i="37" s="1"/>
  <c r="L326" i="37"/>
  <c r="K326" i="37" s="1"/>
  <c r="O326" i="37" s="1"/>
  <c r="AH326" i="37" s="1"/>
  <c r="Y325" i="37"/>
  <c r="W325" i="37"/>
  <c r="X325" i="37" s="1"/>
  <c r="L325" i="37"/>
  <c r="K325" i="37" s="1"/>
  <c r="O325" i="37" s="1"/>
  <c r="AH325" i="37" s="1"/>
  <c r="Y324" i="37"/>
  <c r="W324" i="37"/>
  <c r="X324" i="37" s="1"/>
  <c r="L324" i="37"/>
  <c r="K324" i="37" s="1"/>
  <c r="O324" i="37" s="1"/>
  <c r="AH324" i="37" s="1"/>
  <c r="Y323" i="37"/>
  <c r="W323" i="37"/>
  <c r="X323" i="37" s="1"/>
  <c r="L323" i="37"/>
  <c r="Y290" i="37"/>
  <c r="W290" i="37"/>
  <c r="X290" i="37" s="1"/>
  <c r="L290" i="37"/>
  <c r="K290" i="37" s="1"/>
  <c r="O290" i="37" s="1"/>
  <c r="AH290" i="37" s="1"/>
  <c r="Y289" i="37"/>
  <c r="W289" i="37"/>
  <c r="X289" i="37" s="1"/>
  <c r="L289" i="37"/>
  <c r="K289" i="37" s="1"/>
  <c r="O289" i="37" s="1"/>
  <c r="AH289" i="37" s="1"/>
  <c r="Y288" i="37"/>
  <c r="W288" i="37"/>
  <c r="X288" i="37" s="1"/>
  <c r="L288" i="37"/>
  <c r="K288" i="37" s="1"/>
  <c r="O288" i="37" s="1"/>
  <c r="AH288" i="37" s="1"/>
  <c r="Y287" i="37"/>
  <c r="W287" i="37"/>
  <c r="X287" i="37" s="1"/>
  <c r="L287" i="37"/>
  <c r="K287" i="37" s="1"/>
  <c r="O287" i="37" s="1"/>
  <c r="AH287" i="37" s="1"/>
  <c r="Y285" i="37"/>
  <c r="W285" i="37"/>
  <c r="X285" i="37" s="1"/>
  <c r="L285" i="37"/>
  <c r="K285" i="37" s="1"/>
  <c r="O285" i="37" s="1"/>
  <c r="Y284" i="37"/>
  <c r="W284" i="37"/>
  <c r="X284" i="37" s="1"/>
  <c r="L284" i="37"/>
  <c r="K284" i="37" s="1"/>
  <c r="O284" i="37" s="1"/>
  <c r="Y283" i="37"/>
  <c r="W283" i="37"/>
  <c r="X283" i="37" s="1"/>
  <c r="L283" i="37"/>
  <c r="K283" i="37" s="1"/>
  <c r="O283" i="37" s="1"/>
  <c r="AH283" i="37" s="1"/>
  <c r="Y282" i="37"/>
  <c r="W282" i="37"/>
  <c r="X282" i="37" s="1"/>
  <c r="L282" i="37"/>
  <c r="K282" i="37" s="1"/>
  <c r="Y281" i="37"/>
  <c r="W281" i="37"/>
  <c r="X281" i="37" s="1"/>
  <c r="L281" i="37"/>
  <c r="K281" i="37" s="1"/>
  <c r="O281" i="37" s="1"/>
  <c r="Y280" i="37"/>
  <c r="W280" i="37"/>
  <c r="X280" i="37" s="1"/>
  <c r="L280" i="37"/>
  <c r="K280" i="37" s="1"/>
  <c r="O280" i="37" s="1"/>
  <c r="Y276" i="37"/>
  <c r="W276" i="37"/>
  <c r="X276" i="37" s="1"/>
  <c r="L276" i="37"/>
  <c r="K276" i="37" s="1"/>
  <c r="O276" i="37" s="1"/>
  <c r="Y275" i="37"/>
  <c r="W275" i="37"/>
  <c r="X275" i="37" s="1"/>
  <c r="L275" i="37"/>
  <c r="K275" i="37" s="1"/>
  <c r="Y274" i="37"/>
  <c r="W274" i="37"/>
  <c r="X274" i="37" s="1"/>
  <c r="L274" i="37"/>
  <c r="K274" i="37" s="1"/>
  <c r="O274" i="37" s="1"/>
  <c r="Y273" i="37"/>
  <c r="W273" i="37"/>
  <c r="X273" i="37" s="1"/>
  <c r="L273" i="37"/>
  <c r="K273" i="37" s="1"/>
  <c r="O273" i="37" s="1"/>
  <c r="AH273" i="37" s="1"/>
  <c r="Y272" i="37"/>
  <c r="W272" i="37"/>
  <c r="X272" i="37" s="1"/>
  <c r="L272" i="37"/>
  <c r="K272" i="37" s="1"/>
  <c r="O272" i="37" s="1"/>
  <c r="Y271" i="37"/>
  <c r="W271" i="37"/>
  <c r="X271" i="37" s="1"/>
  <c r="L271" i="37"/>
  <c r="K271" i="37" s="1"/>
  <c r="O271" i="37" s="1"/>
  <c r="Y277" i="37"/>
  <c r="W277" i="37"/>
  <c r="X277" i="37" s="1"/>
  <c r="L277" i="37"/>
  <c r="K277" i="37" s="1"/>
  <c r="O277" i="37" s="1"/>
  <c r="Y270" i="37"/>
  <c r="W270" i="37"/>
  <c r="X270" i="37" s="1"/>
  <c r="L270" i="37"/>
  <c r="K270" i="37" s="1"/>
  <c r="O270" i="37" s="1"/>
  <c r="Y269" i="37"/>
  <c r="W269" i="37"/>
  <c r="X269" i="37" s="1"/>
  <c r="L269" i="37"/>
  <c r="K269" i="37" s="1"/>
  <c r="O269" i="37" s="1"/>
  <c r="Y268" i="37"/>
  <c r="W268" i="37"/>
  <c r="X268" i="37" s="1"/>
  <c r="L268" i="37"/>
  <c r="K268" i="37" s="1"/>
  <c r="O268" i="37" s="1"/>
  <c r="Y265" i="37"/>
  <c r="W265" i="37"/>
  <c r="X265" i="37" s="1"/>
  <c r="L265" i="37"/>
  <c r="K265" i="37" s="1"/>
  <c r="O265" i="37" s="1"/>
  <c r="Y264" i="37"/>
  <c r="W264" i="37"/>
  <c r="X264" i="37" s="1"/>
  <c r="L264" i="37"/>
  <c r="K264" i="37" s="1"/>
  <c r="O264" i="37" s="1"/>
  <c r="Y279" i="37"/>
  <c r="W279" i="37"/>
  <c r="X279" i="37" s="1"/>
  <c r="L279" i="37"/>
  <c r="K279" i="37" s="1"/>
  <c r="O279" i="37" s="1"/>
  <c r="AH279" i="37" s="1"/>
  <c r="Y263" i="37"/>
  <c r="W263" i="37"/>
  <c r="X263" i="37" s="1"/>
  <c r="L263" i="37"/>
  <c r="K263" i="37" s="1"/>
  <c r="O263" i="37" s="1"/>
  <c r="Y267" i="37"/>
  <c r="W267" i="37"/>
  <c r="X267" i="37" s="1"/>
  <c r="L267" i="37"/>
  <c r="K267" i="37" s="1"/>
  <c r="O267" i="37" s="1"/>
  <c r="AH267" i="37" s="1"/>
  <c r="Y266" i="37"/>
  <c r="W266" i="37"/>
  <c r="X266" i="37" s="1"/>
  <c r="L266" i="37"/>
  <c r="K266" i="37" s="1"/>
  <c r="O266" i="37" s="1"/>
  <c r="Y278" i="37"/>
  <c r="W278" i="37"/>
  <c r="X278" i="37" s="1"/>
  <c r="L278" i="37"/>
  <c r="K278" i="37" s="1"/>
  <c r="O278" i="37" s="1"/>
  <c r="AH278" i="37" s="1"/>
  <c r="Y262" i="37"/>
  <c r="W262" i="37"/>
  <c r="X262" i="37" s="1"/>
  <c r="L262" i="37"/>
  <c r="K262" i="37" s="1"/>
  <c r="O262" i="37" s="1"/>
  <c r="Y261" i="37"/>
  <c r="W261" i="37"/>
  <c r="X261" i="37" s="1"/>
  <c r="L261" i="37"/>
  <c r="K261" i="37" s="1"/>
  <c r="O261" i="37" s="1"/>
  <c r="AH261" i="37" s="1"/>
  <c r="Y260" i="37"/>
  <c r="X260" i="37"/>
  <c r="L260" i="37"/>
  <c r="K260" i="37" s="1"/>
  <c r="O260" i="37" s="1"/>
  <c r="Y42" i="37"/>
  <c r="W42" i="37"/>
  <c r="X42" i="37" s="1"/>
  <c r="L42" i="37"/>
  <c r="K42" i="37" s="1"/>
  <c r="O42" i="37" s="1"/>
  <c r="U268" i="37" l="1"/>
  <c r="AH268" i="37"/>
  <c r="U260" i="37"/>
  <c r="AH260" i="37"/>
  <c r="U266" i="37"/>
  <c r="AH266" i="37"/>
  <c r="U264" i="37"/>
  <c r="AH264" i="37"/>
  <c r="U270" i="37"/>
  <c r="AH270" i="37"/>
  <c r="T280" i="37"/>
  <c r="AH280" i="37"/>
  <c r="T284" i="37"/>
  <c r="AH284" i="37"/>
  <c r="U265" i="37"/>
  <c r="AH265" i="37"/>
  <c r="U42" i="37"/>
  <c r="AH42" i="37"/>
  <c r="U269" i="37"/>
  <c r="AH269" i="37"/>
  <c r="T272" i="37"/>
  <c r="AH272" i="37"/>
  <c r="T276" i="37"/>
  <c r="AH276" i="37"/>
  <c r="U262" i="37"/>
  <c r="AH262" i="37"/>
  <c r="U263" i="37"/>
  <c r="AH263" i="37"/>
  <c r="U271" i="37"/>
  <c r="AH271" i="37"/>
  <c r="U277" i="37"/>
  <c r="AH277" i="37"/>
  <c r="U274" i="37"/>
  <c r="AH274" i="37"/>
  <c r="U281" i="37"/>
  <c r="AH281" i="37"/>
  <c r="U285" i="37"/>
  <c r="AH285" i="37"/>
  <c r="Q66" i="22"/>
  <c r="Q67" i="22" s="1"/>
  <c r="R47" i="22"/>
  <c r="R66" i="22" s="1"/>
  <c r="C39" i="22" s="1"/>
  <c r="K323" i="37"/>
  <c r="O323" i="37" s="1"/>
  <c r="T324" i="37"/>
  <c r="U324" i="37"/>
  <c r="T325" i="37"/>
  <c r="U325" i="37"/>
  <c r="T326" i="37"/>
  <c r="U326" i="37"/>
  <c r="T327" i="37"/>
  <c r="U327" i="37"/>
  <c r="T328" i="37"/>
  <c r="U328" i="37"/>
  <c r="T329" i="37"/>
  <c r="U329" i="37"/>
  <c r="T330" i="37"/>
  <c r="U330" i="37"/>
  <c r="T331" i="37"/>
  <c r="U331" i="37"/>
  <c r="T332" i="37"/>
  <c r="U332" i="37"/>
  <c r="U287" i="37"/>
  <c r="T287" i="37"/>
  <c r="U288" i="37"/>
  <c r="T288" i="37"/>
  <c r="U289" i="37"/>
  <c r="T289" i="37"/>
  <c r="U290" i="37"/>
  <c r="T290" i="37"/>
  <c r="T261" i="37"/>
  <c r="U261" i="37"/>
  <c r="T267" i="37"/>
  <c r="U267" i="37"/>
  <c r="T273" i="37"/>
  <c r="U273" i="37"/>
  <c r="O282" i="37"/>
  <c r="T278" i="37"/>
  <c r="U278" i="37"/>
  <c r="AA278" i="37" s="1"/>
  <c r="T279" i="37"/>
  <c r="U279" i="37"/>
  <c r="AA279" i="37" s="1"/>
  <c r="T283" i="37"/>
  <c r="U283" i="37"/>
  <c r="AA283" i="37" s="1"/>
  <c r="U280" i="37"/>
  <c r="U284" i="37"/>
  <c r="O275" i="37"/>
  <c r="U272" i="37"/>
  <c r="AA272" i="37" s="1"/>
  <c r="U276" i="37"/>
  <c r="AA276" i="37" s="1"/>
  <c r="T260" i="37"/>
  <c r="T266" i="37"/>
  <c r="T264" i="37"/>
  <c r="T265" i="37"/>
  <c r="T277" i="37"/>
  <c r="T281" i="37"/>
  <c r="T270" i="37"/>
  <c r="T262" i="37"/>
  <c r="T263" i="37"/>
  <c r="T269" i="37"/>
  <c r="T274" i="37"/>
  <c r="T285" i="37"/>
  <c r="T268" i="37"/>
  <c r="T271" i="37"/>
  <c r="AA42" i="37"/>
  <c r="C9" i="33" s="1"/>
  <c r="Z42" i="37"/>
  <c r="AB42" i="37" s="1"/>
  <c r="AG42" i="37" s="1"/>
  <c r="T42" i="37"/>
  <c r="L32" i="37"/>
  <c r="K32" i="37" s="1"/>
  <c r="O32" i="37" s="1"/>
  <c r="AH32" i="37" s="1"/>
  <c r="Y32" i="37"/>
  <c r="W32" i="37"/>
  <c r="X32" i="37" s="1"/>
  <c r="L27" i="37"/>
  <c r="AC345" i="37"/>
  <c r="AB345" i="37"/>
  <c r="AA345" i="37"/>
  <c r="Y342" i="37"/>
  <c r="W342" i="37"/>
  <c r="X342" i="37" s="1"/>
  <c r="L342" i="37"/>
  <c r="K342" i="37" s="1"/>
  <c r="O342" i="37" s="1"/>
  <c r="Y341" i="37"/>
  <c r="W341" i="37"/>
  <c r="X341" i="37" s="1"/>
  <c r="L341" i="37"/>
  <c r="K341" i="37" s="1"/>
  <c r="O341" i="37" s="1"/>
  <c r="T341" i="37" s="1"/>
  <c r="Y340" i="37"/>
  <c r="W340" i="37"/>
  <c r="X340" i="37" s="1"/>
  <c r="L340" i="37"/>
  <c r="K340" i="37" s="1"/>
  <c r="O340" i="37" s="1"/>
  <c r="U340" i="37" s="1"/>
  <c r="Y339" i="37"/>
  <c r="W339" i="37"/>
  <c r="X339" i="37" s="1"/>
  <c r="L339" i="37"/>
  <c r="K339" i="37" s="1"/>
  <c r="O339" i="37" s="1"/>
  <c r="Y338" i="37"/>
  <c r="W338" i="37"/>
  <c r="X338" i="37" s="1"/>
  <c r="L338" i="37"/>
  <c r="K338" i="37" s="1"/>
  <c r="O338" i="37" s="1"/>
  <c r="T338" i="37" s="1"/>
  <c r="Y337" i="37"/>
  <c r="W337" i="37"/>
  <c r="X337" i="37" s="1"/>
  <c r="L337" i="37"/>
  <c r="K337" i="37" s="1"/>
  <c r="O337" i="37" s="1"/>
  <c r="T337" i="37" s="1"/>
  <c r="Y336" i="37"/>
  <c r="W336" i="37"/>
  <c r="X336" i="37" s="1"/>
  <c r="L336" i="37"/>
  <c r="K336" i="37" s="1"/>
  <c r="O336" i="37" s="1"/>
  <c r="U336" i="37" s="1"/>
  <c r="Y335" i="37"/>
  <c r="W335" i="37"/>
  <c r="X335" i="37" s="1"/>
  <c r="L335" i="37"/>
  <c r="K335" i="37" s="1"/>
  <c r="O335" i="37" s="1"/>
  <c r="Y334" i="37"/>
  <c r="W334" i="37"/>
  <c r="X334" i="37" s="1"/>
  <c r="L334" i="37"/>
  <c r="K334" i="37" s="1"/>
  <c r="O334" i="37" s="1"/>
  <c r="Y322" i="37"/>
  <c r="W322" i="37"/>
  <c r="X322" i="37" s="1"/>
  <c r="L322" i="37"/>
  <c r="K322" i="37" s="1"/>
  <c r="O322" i="37" s="1"/>
  <c r="Y321" i="37"/>
  <c r="W321" i="37"/>
  <c r="X321" i="37" s="1"/>
  <c r="L321" i="37"/>
  <c r="K321" i="37" s="1"/>
  <c r="O321" i="37" s="1"/>
  <c r="T321" i="37" s="1"/>
  <c r="Y320" i="37"/>
  <c r="X320" i="37"/>
  <c r="L320" i="37"/>
  <c r="K320" i="37" s="1"/>
  <c r="O320" i="37" s="1"/>
  <c r="Y319" i="37"/>
  <c r="X319" i="37"/>
  <c r="L319" i="37"/>
  <c r="K319" i="37" s="1"/>
  <c r="O319" i="37" s="1"/>
  <c r="Y318" i="37"/>
  <c r="X318" i="37"/>
  <c r="L318" i="37"/>
  <c r="K318" i="37" s="1"/>
  <c r="O318" i="37" s="1"/>
  <c r="T318" i="37" s="1"/>
  <c r="Y317" i="37"/>
  <c r="X317" i="37"/>
  <c r="L317" i="37"/>
  <c r="K317" i="37" s="1"/>
  <c r="O317" i="37" s="1"/>
  <c r="U317" i="37" s="1"/>
  <c r="Y316" i="37"/>
  <c r="W316" i="37"/>
  <c r="X316" i="37" s="1"/>
  <c r="L316" i="37"/>
  <c r="K316" i="37" s="1"/>
  <c r="O316" i="37" s="1"/>
  <c r="U316" i="37" s="1"/>
  <c r="Y315" i="37"/>
  <c r="W315" i="37"/>
  <c r="X315" i="37" s="1"/>
  <c r="L315" i="37"/>
  <c r="K315" i="37" s="1"/>
  <c r="O315" i="37" s="1"/>
  <c r="Y314" i="37"/>
  <c r="X314" i="37"/>
  <c r="L314" i="37"/>
  <c r="K314" i="37" s="1"/>
  <c r="O314" i="37" s="1"/>
  <c r="U314" i="37" s="1"/>
  <c r="Y313" i="37"/>
  <c r="W313" i="37"/>
  <c r="X313" i="37" s="1"/>
  <c r="L313" i="37"/>
  <c r="K313" i="37" s="1"/>
  <c r="O313" i="37" s="1"/>
  <c r="Y312" i="37"/>
  <c r="W312" i="37"/>
  <c r="X312" i="37" s="1"/>
  <c r="L312" i="37"/>
  <c r="K312" i="37" s="1"/>
  <c r="O312" i="37" s="1"/>
  <c r="W311" i="37"/>
  <c r="X311" i="37" s="1"/>
  <c r="N311" i="37"/>
  <c r="Y311" i="37" s="1"/>
  <c r="M311" i="37"/>
  <c r="L311" i="37" s="1"/>
  <c r="K311" i="37" s="1"/>
  <c r="O311" i="37" s="1"/>
  <c r="T311" i="37" s="1"/>
  <c r="Y310" i="37"/>
  <c r="W310" i="37"/>
  <c r="X310" i="37" s="1"/>
  <c r="L310" i="37"/>
  <c r="K310" i="37" s="1"/>
  <c r="O310" i="37" s="1"/>
  <c r="Y309" i="37"/>
  <c r="W309" i="37"/>
  <c r="X309" i="37" s="1"/>
  <c r="L309" i="37"/>
  <c r="K309" i="37" s="1"/>
  <c r="O309" i="37" s="1"/>
  <c r="T309" i="37" s="1"/>
  <c r="Y308" i="37"/>
  <c r="W308" i="37"/>
  <c r="X308" i="37" s="1"/>
  <c r="L308" i="37"/>
  <c r="K308" i="37" s="1"/>
  <c r="O308" i="37" s="1"/>
  <c r="Y307" i="37"/>
  <c r="W307" i="37"/>
  <c r="X307" i="37" s="1"/>
  <c r="L307" i="37"/>
  <c r="K307" i="37" s="1"/>
  <c r="O307" i="37" s="1"/>
  <c r="Y306" i="37"/>
  <c r="W306" i="37"/>
  <c r="X306" i="37" s="1"/>
  <c r="L306" i="37"/>
  <c r="K306" i="37" s="1"/>
  <c r="O306" i="37" s="1"/>
  <c r="Y305" i="37"/>
  <c r="W305" i="37"/>
  <c r="X305" i="37" s="1"/>
  <c r="L305" i="37"/>
  <c r="K305" i="37" s="1"/>
  <c r="O305" i="37" s="1"/>
  <c r="T305" i="37" s="1"/>
  <c r="Y304" i="37"/>
  <c r="X304" i="37"/>
  <c r="L304" i="37"/>
  <c r="K304" i="37" s="1"/>
  <c r="O304" i="37" s="1"/>
  <c r="Y303" i="37"/>
  <c r="X303" i="37"/>
  <c r="L303" i="37"/>
  <c r="K303" i="37" s="1"/>
  <c r="O303" i="37" s="1"/>
  <c r="T303" i="37" s="1"/>
  <c r="Y302" i="37"/>
  <c r="W302" i="37"/>
  <c r="X302" i="37" s="1"/>
  <c r="L302" i="37"/>
  <c r="K302" i="37" s="1"/>
  <c r="O302" i="37" s="1"/>
  <c r="Y301" i="37"/>
  <c r="W301" i="37"/>
  <c r="X301" i="37" s="1"/>
  <c r="L301" i="37"/>
  <c r="K301" i="37" s="1"/>
  <c r="O301" i="37" s="1"/>
  <c r="Y300" i="37"/>
  <c r="W300" i="37"/>
  <c r="X300" i="37" s="1"/>
  <c r="L300" i="37"/>
  <c r="K300" i="37" s="1"/>
  <c r="O300" i="37" s="1"/>
  <c r="Y299" i="37"/>
  <c r="X299" i="37"/>
  <c r="L299" i="37"/>
  <c r="K299" i="37" s="1"/>
  <c r="O299" i="37" s="1"/>
  <c r="Y298" i="37"/>
  <c r="W298" i="37"/>
  <c r="X298" i="37" s="1"/>
  <c r="L298" i="37"/>
  <c r="K298" i="37" s="1"/>
  <c r="O298" i="37" s="1"/>
  <c r="W297" i="37"/>
  <c r="X297" i="37" s="1"/>
  <c r="N297" i="37"/>
  <c r="Y297" i="37" s="1"/>
  <c r="M297" i="37"/>
  <c r="L297" i="37" s="1"/>
  <c r="K297" i="37" s="1"/>
  <c r="O297" i="37" s="1"/>
  <c r="T297" i="37" s="1"/>
  <c r="Y295" i="37"/>
  <c r="W295" i="37"/>
  <c r="X295" i="37" s="1"/>
  <c r="L295" i="37"/>
  <c r="K295" i="37" s="1"/>
  <c r="O295" i="37" s="1"/>
  <c r="Y294" i="37"/>
  <c r="W294" i="37"/>
  <c r="X294" i="37" s="1"/>
  <c r="L294" i="37"/>
  <c r="K294" i="37" s="1"/>
  <c r="O294" i="37" s="1"/>
  <c r="Y293" i="37"/>
  <c r="W293" i="37"/>
  <c r="X293" i="37" s="1"/>
  <c r="L293" i="37"/>
  <c r="K293" i="37" s="1"/>
  <c r="O293" i="37" s="1"/>
  <c r="U293" i="37" s="1"/>
  <c r="Y292" i="37"/>
  <c r="W292" i="37"/>
  <c r="X292" i="37" s="1"/>
  <c r="L292" i="37"/>
  <c r="K292" i="37" s="1"/>
  <c r="O292" i="37" s="1"/>
  <c r="Y259" i="37"/>
  <c r="W259" i="37"/>
  <c r="X259" i="37" s="1"/>
  <c r="L259" i="37"/>
  <c r="K259" i="37" s="1"/>
  <c r="O259" i="37" s="1"/>
  <c r="Y258" i="37"/>
  <c r="W258" i="37"/>
  <c r="X258" i="37" s="1"/>
  <c r="L258" i="37"/>
  <c r="K258" i="37" s="1"/>
  <c r="O258" i="37" s="1"/>
  <c r="Y257" i="37"/>
  <c r="W257" i="37"/>
  <c r="X257" i="37" s="1"/>
  <c r="L257" i="37"/>
  <c r="K257" i="37" s="1"/>
  <c r="O257" i="37" s="1"/>
  <c r="Y256" i="37"/>
  <c r="W256" i="37"/>
  <c r="X256" i="37" s="1"/>
  <c r="L256" i="37"/>
  <c r="K256" i="37" s="1"/>
  <c r="O256" i="37" s="1"/>
  <c r="Y255" i="37"/>
  <c r="W255" i="37"/>
  <c r="X255" i="37" s="1"/>
  <c r="L255" i="37"/>
  <c r="K255" i="37" s="1"/>
  <c r="O255" i="37" s="1"/>
  <c r="Y254" i="37"/>
  <c r="W254" i="37"/>
  <c r="X254" i="37" s="1"/>
  <c r="L254" i="37"/>
  <c r="K254" i="37" s="1"/>
  <c r="O254" i="37" s="1"/>
  <c r="Y253" i="37"/>
  <c r="W253" i="37"/>
  <c r="X253" i="37" s="1"/>
  <c r="L253" i="37"/>
  <c r="K253" i="37" s="1"/>
  <c r="O253" i="37" s="1"/>
  <c r="Y252" i="37"/>
  <c r="W252" i="37"/>
  <c r="X252" i="37" s="1"/>
  <c r="L252" i="37"/>
  <c r="K252" i="37" s="1"/>
  <c r="O252" i="37" s="1"/>
  <c r="T252" i="37" s="1"/>
  <c r="Y251" i="37"/>
  <c r="W251" i="37"/>
  <c r="X251" i="37" s="1"/>
  <c r="L251" i="37"/>
  <c r="K251" i="37" s="1"/>
  <c r="O251" i="37" s="1"/>
  <c r="Y250" i="37"/>
  <c r="W250" i="37"/>
  <c r="X250" i="37" s="1"/>
  <c r="L250" i="37"/>
  <c r="K250" i="37" s="1"/>
  <c r="O250" i="37" s="1"/>
  <c r="Y249" i="37"/>
  <c r="W249" i="37"/>
  <c r="X249" i="37" s="1"/>
  <c r="L249" i="37"/>
  <c r="K249" i="37" s="1"/>
  <c r="O249" i="37" s="1"/>
  <c r="T249" i="37" s="1"/>
  <c r="Y248" i="37"/>
  <c r="W248" i="37"/>
  <c r="X248" i="37" s="1"/>
  <c r="L248" i="37"/>
  <c r="K248" i="37" s="1"/>
  <c r="O248" i="37" s="1"/>
  <c r="Y247" i="37"/>
  <c r="W247" i="37"/>
  <c r="X247" i="37" s="1"/>
  <c r="L247" i="37"/>
  <c r="K247" i="37" s="1"/>
  <c r="O247" i="37" s="1"/>
  <c r="Y246" i="37"/>
  <c r="W246" i="37"/>
  <c r="X246" i="37" s="1"/>
  <c r="L246" i="37"/>
  <c r="K246" i="37" s="1"/>
  <c r="O246" i="37" s="1"/>
  <c r="U246" i="37" s="1"/>
  <c r="Y245" i="37"/>
  <c r="W245" i="37"/>
  <c r="X245" i="37" s="1"/>
  <c r="L245" i="37"/>
  <c r="K245" i="37" s="1"/>
  <c r="O245" i="37" s="1"/>
  <c r="T245" i="37" s="1"/>
  <c r="Y244" i="37"/>
  <c r="W244" i="37"/>
  <c r="X244" i="37" s="1"/>
  <c r="L244" i="37"/>
  <c r="K244" i="37" s="1"/>
  <c r="O244" i="37" s="1"/>
  <c r="Y243" i="37"/>
  <c r="W243" i="37"/>
  <c r="X243" i="37" s="1"/>
  <c r="L243" i="37"/>
  <c r="K243" i="37" s="1"/>
  <c r="O243" i="37" s="1"/>
  <c r="Y242" i="37"/>
  <c r="W242" i="37"/>
  <c r="X242" i="37" s="1"/>
  <c r="L242" i="37"/>
  <c r="K242" i="37" s="1"/>
  <c r="O242" i="37" s="1"/>
  <c r="Y241" i="37"/>
  <c r="W241" i="37"/>
  <c r="X241" i="37" s="1"/>
  <c r="L241" i="37"/>
  <c r="K241" i="37" s="1"/>
  <c r="O241" i="37" s="1"/>
  <c r="U241" i="37" s="1"/>
  <c r="Y240" i="37"/>
  <c r="W240" i="37"/>
  <c r="X240" i="37" s="1"/>
  <c r="L240" i="37"/>
  <c r="K240" i="37" s="1"/>
  <c r="O240" i="37" s="1"/>
  <c r="Y239" i="37"/>
  <c r="W239" i="37"/>
  <c r="X239" i="37" s="1"/>
  <c r="L239" i="37"/>
  <c r="K239" i="37" s="1"/>
  <c r="O239" i="37" s="1"/>
  <c r="T239" i="37" s="1"/>
  <c r="Y238" i="37"/>
  <c r="W238" i="37"/>
  <c r="X238" i="37" s="1"/>
  <c r="L238" i="37"/>
  <c r="K238" i="37" s="1"/>
  <c r="O238" i="37" s="1"/>
  <c r="Y237" i="37"/>
  <c r="W237" i="37"/>
  <c r="X237" i="37" s="1"/>
  <c r="L237" i="37"/>
  <c r="K237" i="37" s="1"/>
  <c r="O237" i="37" s="1"/>
  <c r="Y236" i="37"/>
  <c r="W236" i="37"/>
  <c r="X236" i="37" s="1"/>
  <c r="L236" i="37"/>
  <c r="K236" i="37" s="1"/>
  <c r="O236" i="37" s="1"/>
  <c r="Y235" i="37"/>
  <c r="W235" i="37"/>
  <c r="X235" i="37" s="1"/>
  <c r="L235" i="37"/>
  <c r="K235" i="37" s="1"/>
  <c r="O235" i="37" s="1"/>
  <c r="Y234" i="37"/>
  <c r="W234" i="37"/>
  <c r="X234" i="37" s="1"/>
  <c r="L234" i="37"/>
  <c r="K234" i="37" s="1"/>
  <c r="O234" i="37" s="1"/>
  <c r="Y233" i="37"/>
  <c r="W233" i="37"/>
  <c r="X233" i="37" s="1"/>
  <c r="L233" i="37"/>
  <c r="K233" i="37" s="1"/>
  <c r="O233" i="37" s="1"/>
  <c r="Y232" i="37"/>
  <c r="W232" i="37"/>
  <c r="X232" i="37" s="1"/>
  <c r="L232" i="37"/>
  <c r="K232" i="37" s="1"/>
  <c r="O232" i="37" s="1"/>
  <c r="Y231" i="37"/>
  <c r="W231" i="37"/>
  <c r="X231" i="37" s="1"/>
  <c r="L231" i="37"/>
  <c r="K231" i="37" s="1"/>
  <c r="O231" i="37" s="1"/>
  <c r="Y230" i="37"/>
  <c r="W230" i="37"/>
  <c r="X230" i="37" s="1"/>
  <c r="L230" i="37"/>
  <c r="K230" i="37" s="1"/>
  <c r="O230" i="37" s="1"/>
  <c r="Y229" i="37"/>
  <c r="W229" i="37"/>
  <c r="X229" i="37" s="1"/>
  <c r="L229" i="37"/>
  <c r="K229" i="37" s="1"/>
  <c r="O229" i="37" s="1"/>
  <c r="Y228" i="37"/>
  <c r="W228" i="37"/>
  <c r="X228" i="37" s="1"/>
  <c r="L228" i="37"/>
  <c r="K228" i="37" s="1"/>
  <c r="O228" i="37" s="1"/>
  <c r="Y227" i="37"/>
  <c r="W227" i="37"/>
  <c r="X227" i="37" s="1"/>
  <c r="L227" i="37"/>
  <c r="K227" i="37" s="1"/>
  <c r="O227" i="37" s="1"/>
  <c r="Y226" i="37"/>
  <c r="W226" i="37"/>
  <c r="X226" i="37" s="1"/>
  <c r="L226" i="37"/>
  <c r="K226" i="37" s="1"/>
  <c r="O226" i="37" s="1"/>
  <c r="Y225" i="37"/>
  <c r="W225" i="37"/>
  <c r="X225" i="37" s="1"/>
  <c r="L225" i="37"/>
  <c r="K225" i="37" s="1"/>
  <c r="O225" i="37" s="1"/>
  <c r="Y224" i="37"/>
  <c r="X224" i="37"/>
  <c r="L224" i="37"/>
  <c r="K224" i="37" s="1"/>
  <c r="O224" i="37" s="1"/>
  <c r="Y223" i="37"/>
  <c r="X223" i="37"/>
  <c r="L223" i="37"/>
  <c r="K223" i="37" s="1"/>
  <c r="O223" i="37" s="1"/>
  <c r="Y222" i="37"/>
  <c r="W222" i="37"/>
  <c r="X222" i="37" s="1"/>
  <c r="L222" i="37"/>
  <c r="K222" i="37" s="1"/>
  <c r="O222" i="37" s="1"/>
  <c r="Y221" i="37"/>
  <c r="W221" i="37"/>
  <c r="X221" i="37" s="1"/>
  <c r="L221" i="37"/>
  <c r="K221" i="37" s="1"/>
  <c r="O221" i="37" s="1"/>
  <c r="Y220" i="37"/>
  <c r="W220" i="37"/>
  <c r="X220" i="37" s="1"/>
  <c r="L220" i="37"/>
  <c r="K220" i="37" s="1"/>
  <c r="O220" i="37" s="1"/>
  <c r="Y219" i="37"/>
  <c r="W219" i="37"/>
  <c r="X219" i="37" s="1"/>
  <c r="L219" i="37"/>
  <c r="K219" i="37" s="1"/>
  <c r="O219" i="37" s="1"/>
  <c r="Y218" i="37"/>
  <c r="W218" i="37"/>
  <c r="X218" i="37" s="1"/>
  <c r="L218" i="37"/>
  <c r="K218" i="37" s="1"/>
  <c r="O218" i="37" s="1"/>
  <c r="Y217" i="37"/>
  <c r="W217" i="37"/>
  <c r="X217" i="37" s="1"/>
  <c r="L217" i="37"/>
  <c r="K217" i="37" s="1"/>
  <c r="O217" i="37" s="1"/>
  <c r="Y216" i="37"/>
  <c r="W216" i="37"/>
  <c r="X216" i="37" s="1"/>
  <c r="L216" i="37"/>
  <c r="K216" i="37" s="1"/>
  <c r="O216" i="37" s="1"/>
  <c r="Y215" i="37"/>
  <c r="W215" i="37"/>
  <c r="X215" i="37" s="1"/>
  <c r="L215" i="37"/>
  <c r="K215" i="37" s="1"/>
  <c r="O215" i="37" s="1"/>
  <c r="Y214" i="37"/>
  <c r="W214" i="37"/>
  <c r="X214" i="37" s="1"/>
  <c r="L214" i="37"/>
  <c r="K214" i="37" s="1"/>
  <c r="O214" i="37" s="1"/>
  <c r="Y213" i="37"/>
  <c r="W213" i="37"/>
  <c r="X213" i="37" s="1"/>
  <c r="L213" i="37"/>
  <c r="K213" i="37" s="1"/>
  <c r="O213" i="37" s="1"/>
  <c r="Y212" i="37"/>
  <c r="W212" i="37"/>
  <c r="X212" i="37" s="1"/>
  <c r="L212" i="37"/>
  <c r="K212" i="37" s="1"/>
  <c r="O212" i="37" s="1"/>
  <c r="W211" i="37"/>
  <c r="X211" i="37" s="1"/>
  <c r="N211" i="37"/>
  <c r="Y211" i="37" s="1"/>
  <c r="M211" i="37"/>
  <c r="L211" i="37" s="1"/>
  <c r="K211" i="37" s="1"/>
  <c r="Y210" i="37"/>
  <c r="X210" i="37"/>
  <c r="L210" i="37"/>
  <c r="K210" i="37" s="1"/>
  <c r="O210" i="37" s="1"/>
  <c r="Y209" i="37"/>
  <c r="W209" i="37"/>
  <c r="X209" i="37" s="1"/>
  <c r="L209" i="37"/>
  <c r="K209" i="37" s="1"/>
  <c r="O209" i="37" s="1"/>
  <c r="T209" i="37" s="1"/>
  <c r="W208" i="37"/>
  <c r="X208" i="37" s="1"/>
  <c r="N208" i="37"/>
  <c r="Y208" i="37" s="1"/>
  <c r="M208" i="37"/>
  <c r="L208" i="37" s="1"/>
  <c r="K208" i="37" s="1"/>
  <c r="O208" i="37" s="1"/>
  <c r="W207" i="37"/>
  <c r="X207" i="37" s="1"/>
  <c r="N207" i="37"/>
  <c r="Y207" i="37" s="1"/>
  <c r="M207" i="37"/>
  <c r="L207" i="37" s="1"/>
  <c r="K207" i="37" s="1"/>
  <c r="O207" i="37" s="1"/>
  <c r="W206" i="37"/>
  <c r="X206" i="37" s="1"/>
  <c r="N206" i="37"/>
  <c r="Y206" i="37" s="1"/>
  <c r="M206" i="37"/>
  <c r="L206" i="37" s="1"/>
  <c r="K206" i="37" s="1"/>
  <c r="O206" i="37" s="1"/>
  <c r="T206" i="37" s="1"/>
  <c r="W205" i="37"/>
  <c r="X205" i="37" s="1"/>
  <c r="N205" i="37"/>
  <c r="Y205" i="37" s="1"/>
  <c r="M205" i="37"/>
  <c r="L205" i="37" s="1"/>
  <c r="K205" i="37" s="1"/>
  <c r="O205" i="37" s="1"/>
  <c r="U205" i="37" s="1"/>
  <c r="AB205" i="37" s="1"/>
  <c r="W204" i="37"/>
  <c r="X204" i="37" s="1"/>
  <c r="N204" i="37"/>
  <c r="Y204" i="37" s="1"/>
  <c r="M204" i="37"/>
  <c r="L204" i="37" s="1"/>
  <c r="K204" i="37" s="1"/>
  <c r="O204" i="37" s="1"/>
  <c r="T204" i="37" s="1"/>
  <c r="W203" i="37"/>
  <c r="X203" i="37" s="1"/>
  <c r="N203" i="37"/>
  <c r="Y203" i="37" s="1"/>
  <c r="M203" i="37"/>
  <c r="L203" i="37" s="1"/>
  <c r="K203" i="37" s="1"/>
  <c r="O203" i="37" s="1"/>
  <c r="U203" i="37" s="1"/>
  <c r="AB203" i="37" s="1"/>
  <c r="W202" i="37"/>
  <c r="X202" i="37" s="1"/>
  <c r="N202" i="37"/>
  <c r="Y202" i="37" s="1"/>
  <c r="M202" i="37"/>
  <c r="L202" i="37" s="1"/>
  <c r="K202" i="37" s="1"/>
  <c r="Y201" i="37"/>
  <c r="W201" i="37"/>
  <c r="X201" i="37" s="1"/>
  <c r="L201" i="37"/>
  <c r="K201" i="37" s="1"/>
  <c r="O201" i="37" s="1"/>
  <c r="Y200" i="37"/>
  <c r="W200" i="37"/>
  <c r="X200" i="37" s="1"/>
  <c r="L200" i="37"/>
  <c r="K200" i="37" s="1"/>
  <c r="O200" i="37" s="1"/>
  <c r="Y199" i="37"/>
  <c r="W199" i="37"/>
  <c r="X199" i="37" s="1"/>
  <c r="L199" i="37"/>
  <c r="K199" i="37" s="1"/>
  <c r="O199" i="37" s="1"/>
  <c r="U199" i="37" s="1"/>
  <c r="Y198" i="37"/>
  <c r="W198" i="37"/>
  <c r="X198" i="37" s="1"/>
  <c r="L198" i="37"/>
  <c r="K198" i="37" s="1"/>
  <c r="O198" i="37" s="1"/>
  <c r="U198" i="37" s="1"/>
  <c r="Y197" i="37"/>
  <c r="W197" i="37"/>
  <c r="X197" i="37" s="1"/>
  <c r="L197" i="37"/>
  <c r="K197" i="37" s="1"/>
  <c r="O197" i="37" s="1"/>
  <c r="Y196" i="37"/>
  <c r="W196" i="37"/>
  <c r="X196" i="37" s="1"/>
  <c r="L196" i="37"/>
  <c r="K196" i="37" s="1"/>
  <c r="O196" i="37" s="1"/>
  <c r="Y195" i="37"/>
  <c r="W195" i="37"/>
  <c r="X195" i="37" s="1"/>
  <c r="L195" i="37"/>
  <c r="K195" i="37" s="1"/>
  <c r="O195" i="37" s="1"/>
  <c r="Y194" i="37"/>
  <c r="W194" i="37"/>
  <c r="X194" i="37" s="1"/>
  <c r="L194" i="37"/>
  <c r="K194" i="37" s="1"/>
  <c r="O194" i="37" s="1"/>
  <c r="Y193" i="37"/>
  <c r="W193" i="37"/>
  <c r="X193" i="37" s="1"/>
  <c r="L193" i="37"/>
  <c r="K193" i="37" s="1"/>
  <c r="O193" i="37" s="1"/>
  <c r="U193" i="37" s="1"/>
  <c r="Y192" i="37"/>
  <c r="X192" i="37"/>
  <c r="L192" i="37"/>
  <c r="K192" i="37" s="1"/>
  <c r="O192" i="37" s="1"/>
  <c r="Y191" i="37"/>
  <c r="X191" i="37"/>
  <c r="L191" i="37"/>
  <c r="K191" i="37" s="1"/>
  <c r="O191" i="37" s="1"/>
  <c r="Y190" i="37"/>
  <c r="X190" i="37"/>
  <c r="L190" i="37"/>
  <c r="K190" i="37" s="1"/>
  <c r="O190" i="37" s="1"/>
  <c r="Y189" i="37"/>
  <c r="X189" i="37"/>
  <c r="L189" i="37"/>
  <c r="K189" i="37" s="1"/>
  <c r="O189" i="37" s="1"/>
  <c r="U189" i="37" s="1"/>
  <c r="Y188" i="37"/>
  <c r="X188" i="37"/>
  <c r="L188" i="37"/>
  <c r="K188" i="37" s="1"/>
  <c r="O188" i="37" s="1"/>
  <c r="Y187" i="37"/>
  <c r="X187" i="37"/>
  <c r="L187" i="37"/>
  <c r="K187" i="37" s="1"/>
  <c r="O187" i="37" s="1"/>
  <c r="U187" i="37" s="1"/>
  <c r="Y186" i="37"/>
  <c r="W186" i="37"/>
  <c r="X186" i="37" s="1"/>
  <c r="L186" i="37"/>
  <c r="K186" i="37" s="1"/>
  <c r="O186" i="37" s="1"/>
  <c r="Y185" i="37"/>
  <c r="W185" i="37"/>
  <c r="X185" i="37" s="1"/>
  <c r="L185" i="37"/>
  <c r="K185" i="37" s="1"/>
  <c r="O185" i="37" s="1"/>
  <c r="U185" i="37" s="1"/>
  <c r="Y184" i="37"/>
  <c r="W184" i="37"/>
  <c r="X184" i="37" s="1"/>
  <c r="L184" i="37"/>
  <c r="K184" i="37" s="1"/>
  <c r="O184" i="37" s="1"/>
  <c r="Y183" i="37"/>
  <c r="W183" i="37"/>
  <c r="X183" i="37" s="1"/>
  <c r="L183" i="37"/>
  <c r="K183" i="37" s="1"/>
  <c r="O183" i="37" s="1"/>
  <c r="U183" i="37" s="1"/>
  <c r="Y182" i="37"/>
  <c r="W182" i="37"/>
  <c r="X182" i="37" s="1"/>
  <c r="L182" i="37"/>
  <c r="K182" i="37" s="1"/>
  <c r="O182" i="37" s="1"/>
  <c r="Y181" i="37"/>
  <c r="W181" i="37"/>
  <c r="X181" i="37" s="1"/>
  <c r="L181" i="37"/>
  <c r="K181" i="37" s="1"/>
  <c r="O181" i="37" s="1"/>
  <c r="Y180" i="37"/>
  <c r="W180" i="37"/>
  <c r="X180" i="37" s="1"/>
  <c r="L180" i="37"/>
  <c r="K180" i="37" s="1"/>
  <c r="O180" i="37" s="1"/>
  <c r="T180" i="37" s="1"/>
  <c r="Y179" i="37"/>
  <c r="W179" i="37"/>
  <c r="X179" i="37" s="1"/>
  <c r="L179" i="37"/>
  <c r="K179" i="37" s="1"/>
  <c r="O179" i="37" s="1"/>
  <c r="Y178" i="37"/>
  <c r="W178" i="37"/>
  <c r="X178" i="37" s="1"/>
  <c r="L178" i="37"/>
  <c r="K178" i="37" s="1"/>
  <c r="O178" i="37" s="1"/>
  <c r="Y177" i="37"/>
  <c r="W177" i="37"/>
  <c r="X177" i="37" s="1"/>
  <c r="L177" i="37"/>
  <c r="K177" i="37" s="1"/>
  <c r="O177" i="37" s="1"/>
  <c r="T177" i="37" s="1"/>
  <c r="Y176" i="37"/>
  <c r="W176" i="37"/>
  <c r="X176" i="37" s="1"/>
  <c r="L176" i="37"/>
  <c r="K176" i="37" s="1"/>
  <c r="O176" i="37" s="1"/>
  <c r="T176" i="37" s="1"/>
  <c r="Y175" i="37"/>
  <c r="W175" i="37"/>
  <c r="X175" i="37" s="1"/>
  <c r="L175" i="37"/>
  <c r="K175" i="37" s="1"/>
  <c r="O175" i="37" s="1"/>
  <c r="U175" i="37" s="1"/>
  <c r="Y174" i="37"/>
  <c r="W174" i="37"/>
  <c r="X174" i="37" s="1"/>
  <c r="L174" i="37"/>
  <c r="K174" i="37" s="1"/>
  <c r="O174" i="37" s="1"/>
  <c r="Y173" i="37"/>
  <c r="W173" i="37"/>
  <c r="X173" i="37" s="1"/>
  <c r="L173" i="37"/>
  <c r="K173" i="37" s="1"/>
  <c r="O173" i="37" s="1"/>
  <c r="Y172" i="37"/>
  <c r="W172" i="37"/>
  <c r="X172" i="37" s="1"/>
  <c r="L172" i="37"/>
  <c r="K172" i="37" s="1"/>
  <c r="O172" i="37" s="1"/>
  <c r="T172" i="37" s="1"/>
  <c r="Y171" i="37"/>
  <c r="W171" i="37"/>
  <c r="X171" i="37" s="1"/>
  <c r="L171" i="37"/>
  <c r="K171" i="37" s="1"/>
  <c r="O171" i="37" s="1"/>
  <c r="Y170" i="37"/>
  <c r="W170" i="37"/>
  <c r="X170" i="37" s="1"/>
  <c r="L170" i="37"/>
  <c r="K170" i="37" s="1"/>
  <c r="O170" i="37" s="1"/>
  <c r="Y169" i="37"/>
  <c r="W169" i="37"/>
  <c r="X169" i="37" s="1"/>
  <c r="L169" i="37"/>
  <c r="K169" i="37" s="1"/>
  <c r="O169" i="37" s="1"/>
  <c r="Y168" i="37"/>
  <c r="W168" i="37"/>
  <c r="X168" i="37" s="1"/>
  <c r="L168" i="37"/>
  <c r="K168" i="37" s="1"/>
  <c r="O168" i="37" s="1"/>
  <c r="T168" i="37" s="1"/>
  <c r="Y167" i="37"/>
  <c r="W167" i="37"/>
  <c r="X167" i="37" s="1"/>
  <c r="L167" i="37"/>
  <c r="K167" i="37" s="1"/>
  <c r="O167" i="37" s="1"/>
  <c r="U167" i="37" s="1"/>
  <c r="Y166" i="37"/>
  <c r="W166" i="37"/>
  <c r="X166" i="37" s="1"/>
  <c r="L166" i="37"/>
  <c r="K166" i="37" s="1"/>
  <c r="O166" i="37" s="1"/>
  <c r="Y165" i="37"/>
  <c r="W165" i="37"/>
  <c r="X165" i="37" s="1"/>
  <c r="L165" i="37"/>
  <c r="K165" i="37" s="1"/>
  <c r="O165" i="37" s="1"/>
  <c r="Y164" i="37"/>
  <c r="W164" i="37"/>
  <c r="X164" i="37" s="1"/>
  <c r="L164" i="37"/>
  <c r="K164" i="37" s="1"/>
  <c r="O164" i="37" s="1"/>
  <c r="T164" i="37" s="1"/>
  <c r="Y163" i="37"/>
  <c r="W163" i="37"/>
  <c r="X163" i="37" s="1"/>
  <c r="L163" i="37"/>
  <c r="K163" i="37" s="1"/>
  <c r="O163" i="37" s="1"/>
  <c r="Y162" i="37"/>
  <c r="W162" i="37"/>
  <c r="X162" i="37" s="1"/>
  <c r="L162" i="37"/>
  <c r="K162" i="37" s="1"/>
  <c r="O162" i="37" s="1"/>
  <c r="Y161" i="37"/>
  <c r="W161" i="37"/>
  <c r="X161" i="37" s="1"/>
  <c r="L161" i="37"/>
  <c r="K161" i="37" s="1"/>
  <c r="O161" i="37" s="1"/>
  <c r="Y160" i="37"/>
  <c r="W160" i="37"/>
  <c r="X160" i="37" s="1"/>
  <c r="L160" i="37"/>
  <c r="K160" i="37" s="1"/>
  <c r="O160" i="37" s="1"/>
  <c r="Y159" i="37"/>
  <c r="W159" i="37"/>
  <c r="X159" i="37" s="1"/>
  <c r="L159" i="37"/>
  <c r="K159" i="37" s="1"/>
  <c r="O159" i="37" s="1"/>
  <c r="Y158" i="37"/>
  <c r="W158" i="37"/>
  <c r="X158" i="37" s="1"/>
  <c r="L158" i="37"/>
  <c r="K158" i="37" s="1"/>
  <c r="O158" i="37" s="1"/>
  <c r="T158" i="37" s="1"/>
  <c r="Y157" i="37"/>
  <c r="W157" i="37"/>
  <c r="X157" i="37" s="1"/>
  <c r="L157" i="37"/>
  <c r="K157" i="37" s="1"/>
  <c r="O157" i="37" s="1"/>
  <c r="Y156" i="37"/>
  <c r="W156" i="37"/>
  <c r="X156" i="37" s="1"/>
  <c r="L156" i="37"/>
  <c r="K156" i="37" s="1"/>
  <c r="O156" i="37" s="1"/>
  <c r="T156" i="37" s="1"/>
  <c r="Y155" i="37"/>
  <c r="W155" i="37"/>
  <c r="X155" i="37" s="1"/>
  <c r="L155" i="37"/>
  <c r="K155" i="37" s="1"/>
  <c r="O155" i="37" s="1"/>
  <c r="Y154" i="37"/>
  <c r="W154" i="37"/>
  <c r="X154" i="37" s="1"/>
  <c r="L154" i="37"/>
  <c r="K154" i="37" s="1"/>
  <c r="O154" i="37" s="1"/>
  <c r="T154" i="37" s="1"/>
  <c r="Y153" i="37"/>
  <c r="W153" i="37"/>
  <c r="X153" i="37" s="1"/>
  <c r="L153" i="37"/>
  <c r="K153" i="37" s="1"/>
  <c r="O153" i="37" s="1"/>
  <c r="T153" i="37" s="1"/>
  <c r="Y152" i="37"/>
  <c r="W152" i="37"/>
  <c r="X152" i="37" s="1"/>
  <c r="L152" i="37"/>
  <c r="K152" i="37" s="1"/>
  <c r="O152" i="37" s="1"/>
  <c r="T152" i="37" s="1"/>
  <c r="Y151" i="37"/>
  <c r="W151" i="37"/>
  <c r="X151" i="37" s="1"/>
  <c r="L151" i="37"/>
  <c r="K151" i="37" s="1"/>
  <c r="O151" i="37" s="1"/>
  <c r="T151" i="37" s="1"/>
  <c r="Y150" i="37"/>
  <c r="W150" i="37"/>
  <c r="X150" i="37" s="1"/>
  <c r="L150" i="37"/>
  <c r="K150" i="37" s="1"/>
  <c r="O150" i="37" s="1"/>
  <c r="T150" i="37" s="1"/>
  <c r="Y149" i="37"/>
  <c r="W149" i="37"/>
  <c r="X149" i="37" s="1"/>
  <c r="L149" i="37"/>
  <c r="K149" i="37" s="1"/>
  <c r="O149" i="37" s="1"/>
  <c r="T149" i="37" s="1"/>
  <c r="Y148" i="37"/>
  <c r="W148" i="37"/>
  <c r="X148" i="37" s="1"/>
  <c r="L148" i="37"/>
  <c r="K148" i="37" s="1"/>
  <c r="O148" i="37" s="1"/>
  <c r="T148" i="37" s="1"/>
  <c r="Y147" i="37"/>
  <c r="W147" i="37"/>
  <c r="X147" i="37" s="1"/>
  <c r="L147" i="37"/>
  <c r="K147" i="37" s="1"/>
  <c r="O147" i="37" s="1"/>
  <c r="T147" i="37" s="1"/>
  <c r="Y146" i="37"/>
  <c r="W146" i="37"/>
  <c r="X146" i="37" s="1"/>
  <c r="L146" i="37"/>
  <c r="K146" i="37" s="1"/>
  <c r="O146" i="37" s="1"/>
  <c r="T146" i="37" s="1"/>
  <c r="Y145" i="37"/>
  <c r="W145" i="37"/>
  <c r="X145" i="37" s="1"/>
  <c r="L145" i="37"/>
  <c r="K145" i="37" s="1"/>
  <c r="O145" i="37" s="1"/>
  <c r="T145" i="37" s="1"/>
  <c r="Y144" i="37"/>
  <c r="W144" i="37"/>
  <c r="X144" i="37" s="1"/>
  <c r="L144" i="37"/>
  <c r="K144" i="37" s="1"/>
  <c r="O144" i="37" s="1"/>
  <c r="T144" i="37" s="1"/>
  <c r="Y143" i="37"/>
  <c r="W143" i="37"/>
  <c r="X143" i="37" s="1"/>
  <c r="L143" i="37"/>
  <c r="K143" i="37" s="1"/>
  <c r="O143" i="37" s="1"/>
  <c r="T143" i="37" s="1"/>
  <c r="W142" i="37"/>
  <c r="X142" i="37" s="1"/>
  <c r="N142" i="37"/>
  <c r="Y142" i="37" s="1"/>
  <c r="M142" i="37"/>
  <c r="L142" i="37" s="1"/>
  <c r="K142" i="37" s="1"/>
  <c r="O142" i="37" s="1"/>
  <c r="W141" i="37"/>
  <c r="X141" i="37" s="1"/>
  <c r="N141" i="37"/>
  <c r="Y141" i="37" s="1"/>
  <c r="M141" i="37"/>
  <c r="L141" i="37" s="1"/>
  <c r="K141" i="37" s="1"/>
  <c r="W140" i="37"/>
  <c r="X140" i="37" s="1"/>
  <c r="N140" i="37"/>
  <c r="Y140" i="37" s="1"/>
  <c r="M140" i="37"/>
  <c r="L140" i="37" s="1"/>
  <c r="K140" i="37" s="1"/>
  <c r="O140" i="37" s="1"/>
  <c r="W139" i="37"/>
  <c r="X139" i="37" s="1"/>
  <c r="N139" i="37"/>
  <c r="Y139" i="37" s="1"/>
  <c r="M139" i="37"/>
  <c r="L139" i="37" s="1"/>
  <c r="K139" i="37" s="1"/>
  <c r="Y138" i="37"/>
  <c r="W138" i="37"/>
  <c r="X138" i="37" s="1"/>
  <c r="L138" i="37"/>
  <c r="K138" i="37" s="1"/>
  <c r="O138" i="37" s="1"/>
  <c r="T138" i="37" s="1"/>
  <c r="Y137" i="37"/>
  <c r="W137" i="37"/>
  <c r="X137" i="37" s="1"/>
  <c r="L137" i="37"/>
  <c r="K137" i="37" s="1"/>
  <c r="O137" i="37" s="1"/>
  <c r="T137" i="37" s="1"/>
  <c r="Y136" i="37"/>
  <c r="W136" i="37"/>
  <c r="X136" i="37" s="1"/>
  <c r="L136" i="37"/>
  <c r="K136" i="37" s="1"/>
  <c r="O136" i="37" s="1"/>
  <c r="T136" i="37" s="1"/>
  <c r="Y135" i="37"/>
  <c r="W135" i="37"/>
  <c r="X135" i="37" s="1"/>
  <c r="L135" i="37"/>
  <c r="K135" i="37" s="1"/>
  <c r="O135" i="37" s="1"/>
  <c r="T135" i="37" s="1"/>
  <c r="Y134" i="37"/>
  <c r="W134" i="37"/>
  <c r="X134" i="37" s="1"/>
  <c r="L134" i="37"/>
  <c r="K134" i="37" s="1"/>
  <c r="O134" i="37" s="1"/>
  <c r="T134" i="37" s="1"/>
  <c r="Y133" i="37"/>
  <c r="W133" i="37"/>
  <c r="X133" i="37" s="1"/>
  <c r="L133" i="37"/>
  <c r="K133" i="37" s="1"/>
  <c r="O133" i="37" s="1"/>
  <c r="T133" i="37" s="1"/>
  <c r="Y132" i="37"/>
  <c r="W132" i="37"/>
  <c r="X132" i="37" s="1"/>
  <c r="L132" i="37"/>
  <c r="K132" i="37" s="1"/>
  <c r="O132" i="37" s="1"/>
  <c r="T132" i="37" s="1"/>
  <c r="Y131" i="37"/>
  <c r="W131" i="37"/>
  <c r="X131" i="37" s="1"/>
  <c r="L131" i="37"/>
  <c r="K131" i="37" s="1"/>
  <c r="O131" i="37" s="1"/>
  <c r="T131" i="37" s="1"/>
  <c r="Y130" i="37"/>
  <c r="W130" i="37"/>
  <c r="X130" i="37" s="1"/>
  <c r="L130" i="37"/>
  <c r="K130" i="37" s="1"/>
  <c r="O130" i="37" s="1"/>
  <c r="T130" i="37" s="1"/>
  <c r="Y129" i="37"/>
  <c r="W129" i="37"/>
  <c r="X129" i="37" s="1"/>
  <c r="L129" i="37"/>
  <c r="K129" i="37" s="1"/>
  <c r="O129" i="37" s="1"/>
  <c r="T129" i="37" s="1"/>
  <c r="Y128" i="37"/>
  <c r="W128" i="37"/>
  <c r="X128" i="37" s="1"/>
  <c r="L128" i="37"/>
  <c r="K128" i="37" s="1"/>
  <c r="O128" i="37" s="1"/>
  <c r="T128" i="37" s="1"/>
  <c r="Y127" i="37"/>
  <c r="W127" i="37"/>
  <c r="X127" i="37" s="1"/>
  <c r="L127" i="37"/>
  <c r="K127" i="37" s="1"/>
  <c r="O127" i="37" s="1"/>
  <c r="T127" i="37" s="1"/>
  <c r="Y126" i="37"/>
  <c r="W126" i="37"/>
  <c r="X126" i="37" s="1"/>
  <c r="L126" i="37"/>
  <c r="K126" i="37" s="1"/>
  <c r="O126" i="37" s="1"/>
  <c r="T126" i="37" s="1"/>
  <c r="Y125" i="37"/>
  <c r="W125" i="37"/>
  <c r="X125" i="37" s="1"/>
  <c r="L125" i="37"/>
  <c r="K125" i="37" s="1"/>
  <c r="O125" i="37" s="1"/>
  <c r="T125" i="37" s="1"/>
  <c r="Y124" i="37"/>
  <c r="W124" i="37"/>
  <c r="X124" i="37" s="1"/>
  <c r="L124" i="37"/>
  <c r="K124" i="37" s="1"/>
  <c r="O124" i="37" s="1"/>
  <c r="T124" i="37" s="1"/>
  <c r="Y123" i="37"/>
  <c r="W123" i="37"/>
  <c r="X123" i="37" s="1"/>
  <c r="L123" i="37"/>
  <c r="K123" i="37" s="1"/>
  <c r="O123" i="37" s="1"/>
  <c r="Y122" i="37"/>
  <c r="W122" i="37"/>
  <c r="X122" i="37" s="1"/>
  <c r="L122" i="37"/>
  <c r="K122" i="37" s="1"/>
  <c r="O122" i="37" s="1"/>
  <c r="Y121" i="37"/>
  <c r="W121" i="37"/>
  <c r="X121" i="37" s="1"/>
  <c r="L121" i="37"/>
  <c r="K121" i="37" s="1"/>
  <c r="O121" i="37" s="1"/>
  <c r="Y120" i="37"/>
  <c r="W120" i="37"/>
  <c r="X120" i="37" s="1"/>
  <c r="L120" i="37"/>
  <c r="K120" i="37" s="1"/>
  <c r="O120" i="37" s="1"/>
  <c r="T120" i="37" s="1"/>
  <c r="Y119" i="37"/>
  <c r="W119" i="37"/>
  <c r="X119" i="37" s="1"/>
  <c r="L119" i="37"/>
  <c r="K119" i="37" s="1"/>
  <c r="O119" i="37" s="1"/>
  <c r="Y118" i="37"/>
  <c r="W118" i="37"/>
  <c r="X118" i="37" s="1"/>
  <c r="L118" i="37"/>
  <c r="K118" i="37" s="1"/>
  <c r="O118" i="37" s="1"/>
  <c r="Y117" i="37"/>
  <c r="W117" i="37"/>
  <c r="X117" i="37" s="1"/>
  <c r="L117" i="37"/>
  <c r="K117" i="37" s="1"/>
  <c r="O117" i="37" s="1"/>
  <c r="Y116" i="37"/>
  <c r="X116" i="37"/>
  <c r="L116" i="37"/>
  <c r="K116" i="37" s="1"/>
  <c r="O116" i="37" s="1"/>
  <c r="T116" i="37" s="1"/>
  <c r="Y115" i="37"/>
  <c r="X115" i="37"/>
  <c r="L115" i="37"/>
  <c r="K115" i="37" s="1"/>
  <c r="O115" i="37" s="1"/>
  <c r="Y114" i="37"/>
  <c r="X114" i="37"/>
  <c r="L114" i="37"/>
  <c r="K114" i="37" s="1"/>
  <c r="O114" i="37" s="1"/>
  <c r="Y113" i="37"/>
  <c r="X113" i="37"/>
  <c r="L113" i="37"/>
  <c r="K113" i="37" s="1"/>
  <c r="O113" i="37" s="1"/>
  <c r="Y112" i="37"/>
  <c r="X112" i="37"/>
  <c r="L112" i="37"/>
  <c r="K112" i="37" s="1"/>
  <c r="O112" i="37" s="1"/>
  <c r="T112" i="37" s="1"/>
  <c r="Y111" i="37"/>
  <c r="X111" i="37"/>
  <c r="L111" i="37"/>
  <c r="K111" i="37" s="1"/>
  <c r="O111" i="37" s="1"/>
  <c r="Y110" i="37"/>
  <c r="X110" i="37"/>
  <c r="L110" i="37"/>
  <c r="K110" i="37" s="1"/>
  <c r="O110" i="37" s="1"/>
  <c r="Y109" i="37"/>
  <c r="X109" i="37"/>
  <c r="L109" i="37"/>
  <c r="K109" i="37" s="1"/>
  <c r="O109" i="37" s="1"/>
  <c r="Y108" i="37"/>
  <c r="X108" i="37"/>
  <c r="L108" i="37"/>
  <c r="K108" i="37" s="1"/>
  <c r="O108" i="37" s="1"/>
  <c r="T108" i="37" s="1"/>
  <c r="Y107" i="37"/>
  <c r="X107" i="37"/>
  <c r="L107" i="37"/>
  <c r="K107" i="37" s="1"/>
  <c r="O107" i="37" s="1"/>
  <c r="Y106" i="37"/>
  <c r="X106" i="37"/>
  <c r="L106" i="37"/>
  <c r="K106" i="37" s="1"/>
  <c r="O106" i="37" s="1"/>
  <c r="Y105" i="37"/>
  <c r="X105" i="37"/>
  <c r="L105" i="37"/>
  <c r="K105" i="37" s="1"/>
  <c r="O105" i="37" s="1"/>
  <c r="Y104" i="37"/>
  <c r="X104" i="37"/>
  <c r="L104" i="37"/>
  <c r="K104" i="37" s="1"/>
  <c r="O104" i="37" s="1"/>
  <c r="T104" i="37" s="1"/>
  <c r="Y103" i="37"/>
  <c r="X103" i="37"/>
  <c r="L103" i="37"/>
  <c r="K103" i="37" s="1"/>
  <c r="O103" i="37" s="1"/>
  <c r="Y102" i="37"/>
  <c r="X102" i="37"/>
  <c r="L102" i="37"/>
  <c r="K102" i="37" s="1"/>
  <c r="O102" i="37" s="1"/>
  <c r="Y101" i="37"/>
  <c r="W101" i="37"/>
  <c r="X101" i="37" s="1"/>
  <c r="L101" i="37"/>
  <c r="K101" i="37" s="1"/>
  <c r="O101" i="37" s="1"/>
  <c r="Y100" i="37"/>
  <c r="W100" i="37"/>
  <c r="X100" i="37" s="1"/>
  <c r="L100" i="37"/>
  <c r="K100" i="37" s="1"/>
  <c r="O100" i="37" s="1"/>
  <c r="T100" i="37" s="1"/>
  <c r="Y99" i="37"/>
  <c r="X99" i="37"/>
  <c r="L99" i="37"/>
  <c r="K99" i="37" s="1"/>
  <c r="O99" i="37" s="1"/>
  <c r="Y98" i="37"/>
  <c r="W98" i="37"/>
  <c r="X98" i="37" s="1"/>
  <c r="L98" i="37"/>
  <c r="K98" i="37" s="1"/>
  <c r="O98" i="37" s="1"/>
  <c r="Y97" i="37"/>
  <c r="W97" i="37"/>
  <c r="X97" i="37" s="1"/>
  <c r="L97" i="37"/>
  <c r="K97" i="37" s="1"/>
  <c r="O97" i="37" s="1"/>
  <c r="Y96" i="37"/>
  <c r="W96" i="37"/>
  <c r="X96" i="37" s="1"/>
  <c r="L96" i="37"/>
  <c r="K96" i="37" s="1"/>
  <c r="O96" i="37" s="1"/>
  <c r="T96" i="37" s="1"/>
  <c r="Y95" i="37"/>
  <c r="W95" i="37"/>
  <c r="X95" i="37" s="1"/>
  <c r="L95" i="37"/>
  <c r="K95" i="37" s="1"/>
  <c r="O95" i="37" s="1"/>
  <c r="W94" i="37"/>
  <c r="X94" i="37" s="1"/>
  <c r="S94" i="37"/>
  <c r="S344" i="37" s="1"/>
  <c r="R94" i="37"/>
  <c r="R344" i="37" s="1"/>
  <c r="N94" i="37"/>
  <c r="M94" i="37"/>
  <c r="L94" i="37" s="1"/>
  <c r="K94" i="37" s="1"/>
  <c r="O94" i="37" s="1"/>
  <c r="Y93" i="37"/>
  <c r="W93" i="37"/>
  <c r="X93" i="37" s="1"/>
  <c r="L93" i="37"/>
  <c r="K93" i="37" s="1"/>
  <c r="O93" i="37" s="1"/>
  <c r="Y92" i="37"/>
  <c r="W92" i="37"/>
  <c r="X92" i="37" s="1"/>
  <c r="L92" i="37"/>
  <c r="K92" i="37" s="1"/>
  <c r="O92" i="37" s="1"/>
  <c r="Y91" i="37"/>
  <c r="W91" i="37"/>
  <c r="X91" i="37" s="1"/>
  <c r="L91" i="37"/>
  <c r="K91" i="37" s="1"/>
  <c r="O91" i="37" s="1"/>
  <c r="U91" i="37" s="1"/>
  <c r="Y90" i="37"/>
  <c r="W90" i="37"/>
  <c r="X90" i="37" s="1"/>
  <c r="L90" i="37"/>
  <c r="K90" i="37" s="1"/>
  <c r="O90" i="37" s="1"/>
  <c r="T90" i="37" s="1"/>
  <c r="Y89" i="37"/>
  <c r="W89" i="37"/>
  <c r="X89" i="37" s="1"/>
  <c r="L89" i="37"/>
  <c r="K89" i="37" s="1"/>
  <c r="O89" i="37" s="1"/>
  <c r="Y88" i="37"/>
  <c r="W88" i="37"/>
  <c r="X88" i="37" s="1"/>
  <c r="L88" i="37"/>
  <c r="K88" i="37" s="1"/>
  <c r="O88" i="37" s="1"/>
  <c r="Y87" i="37"/>
  <c r="W87" i="37"/>
  <c r="X87" i="37" s="1"/>
  <c r="L87" i="37"/>
  <c r="K87" i="37" s="1"/>
  <c r="O87" i="37" s="1"/>
  <c r="U87" i="37" s="1"/>
  <c r="Y86" i="37"/>
  <c r="W86" i="37"/>
  <c r="X86" i="37" s="1"/>
  <c r="L86" i="37"/>
  <c r="K86" i="37" s="1"/>
  <c r="O86" i="37" s="1"/>
  <c r="T86" i="37" s="1"/>
  <c r="Y85" i="37"/>
  <c r="W85" i="37"/>
  <c r="X85" i="37" s="1"/>
  <c r="L85" i="37"/>
  <c r="K85" i="37" s="1"/>
  <c r="O85" i="37" s="1"/>
  <c r="Y84" i="37"/>
  <c r="W84" i="37"/>
  <c r="X84" i="37" s="1"/>
  <c r="L84" i="37"/>
  <c r="K84" i="37" s="1"/>
  <c r="O84" i="37" s="1"/>
  <c r="Y83" i="37"/>
  <c r="W83" i="37"/>
  <c r="X83" i="37" s="1"/>
  <c r="L83" i="37"/>
  <c r="K83" i="37" s="1"/>
  <c r="O83" i="37" s="1"/>
  <c r="U83" i="37" s="1"/>
  <c r="Y82" i="37"/>
  <c r="W82" i="37"/>
  <c r="X82" i="37" s="1"/>
  <c r="L82" i="37"/>
  <c r="K82" i="37" s="1"/>
  <c r="O82" i="37" s="1"/>
  <c r="Y81" i="37"/>
  <c r="W81" i="37"/>
  <c r="X81" i="37" s="1"/>
  <c r="L81" i="37"/>
  <c r="K81" i="37" s="1"/>
  <c r="O81" i="37" s="1"/>
  <c r="Y80" i="37"/>
  <c r="W80" i="37"/>
  <c r="X80" i="37" s="1"/>
  <c r="L80" i="37"/>
  <c r="K80" i="37" s="1"/>
  <c r="O80" i="37" s="1"/>
  <c r="Y79" i="37"/>
  <c r="W79" i="37"/>
  <c r="X79" i="37" s="1"/>
  <c r="L79" i="37"/>
  <c r="K79" i="37" s="1"/>
  <c r="O79" i="37" s="1"/>
  <c r="U79" i="37" s="1"/>
  <c r="Y78" i="37"/>
  <c r="W78" i="37"/>
  <c r="X78" i="37" s="1"/>
  <c r="L78" i="37"/>
  <c r="K78" i="37" s="1"/>
  <c r="O78" i="37" s="1"/>
  <c r="T78" i="37" s="1"/>
  <c r="Y77" i="37"/>
  <c r="W77" i="37"/>
  <c r="X77" i="37" s="1"/>
  <c r="L77" i="37"/>
  <c r="K77" i="37" s="1"/>
  <c r="O77" i="37" s="1"/>
  <c r="Y76" i="37"/>
  <c r="W76" i="37"/>
  <c r="X76" i="37" s="1"/>
  <c r="L76" i="37"/>
  <c r="K76" i="37" s="1"/>
  <c r="O76" i="37" s="1"/>
  <c r="Y75" i="37"/>
  <c r="W75" i="37"/>
  <c r="X75" i="37" s="1"/>
  <c r="L75" i="37"/>
  <c r="K75" i="37" s="1"/>
  <c r="O75" i="37" s="1"/>
  <c r="U75" i="37" s="1"/>
  <c r="Y74" i="37"/>
  <c r="W74" i="37"/>
  <c r="X74" i="37" s="1"/>
  <c r="L74" i="37"/>
  <c r="K74" i="37" s="1"/>
  <c r="O74" i="37" s="1"/>
  <c r="Y73" i="37"/>
  <c r="W73" i="37"/>
  <c r="X73" i="37" s="1"/>
  <c r="L73" i="37"/>
  <c r="K73" i="37" s="1"/>
  <c r="O73" i="37" s="1"/>
  <c r="Y72" i="37"/>
  <c r="W72" i="37"/>
  <c r="X72" i="37" s="1"/>
  <c r="L72" i="37"/>
  <c r="K72" i="37" s="1"/>
  <c r="O72" i="37" s="1"/>
  <c r="Y71" i="37"/>
  <c r="W71" i="37"/>
  <c r="X71" i="37" s="1"/>
  <c r="L71" i="37"/>
  <c r="K71" i="37" s="1"/>
  <c r="O71" i="37" s="1"/>
  <c r="U71" i="37" s="1"/>
  <c r="Y70" i="37"/>
  <c r="W70" i="37"/>
  <c r="X70" i="37" s="1"/>
  <c r="L70" i="37"/>
  <c r="K70" i="37" s="1"/>
  <c r="O70" i="37" s="1"/>
  <c r="T70" i="37" s="1"/>
  <c r="Y69" i="37"/>
  <c r="W69" i="37"/>
  <c r="X69" i="37" s="1"/>
  <c r="L69" i="37"/>
  <c r="K69" i="37" s="1"/>
  <c r="O69" i="37" s="1"/>
  <c r="Y68" i="37"/>
  <c r="W68" i="37"/>
  <c r="X68" i="37" s="1"/>
  <c r="L68" i="37"/>
  <c r="K68" i="37" s="1"/>
  <c r="O68" i="37" s="1"/>
  <c r="Y67" i="37"/>
  <c r="W67" i="37"/>
  <c r="X67" i="37" s="1"/>
  <c r="L67" i="37"/>
  <c r="K67" i="37" s="1"/>
  <c r="O67" i="37" s="1"/>
  <c r="U67" i="37" s="1"/>
  <c r="Y66" i="37"/>
  <c r="W66" i="37"/>
  <c r="X66" i="37" s="1"/>
  <c r="L66" i="37"/>
  <c r="K66" i="37" s="1"/>
  <c r="O66" i="37" s="1"/>
  <c r="Y65" i="37"/>
  <c r="W65" i="37"/>
  <c r="X65" i="37" s="1"/>
  <c r="L65" i="37"/>
  <c r="K65" i="37" s="1"/>
  <c r="O65" i="37" s="1"/>
  <c r="Y64" i="37"/>
  <c r="W64" i="37"/>
  <c r="X64" i="37" s="1"/>
  <c r="L64" i="37"/>
  <c r="K64" i="37" s="1"/>
  <c r="O64" i="37" s="1"/>
  <c r="Y63" i="37"/>
  <c r="W63" i="37"/>
  <c r="X63" i="37" s="1"/>
  <c r="L63" i="37"/>
  <c r="K63" i="37" s="1"/>
  <c r="O63" i="37" s="1"/>
  <c r="U63" i="37" s="1"/>
  <c r="Y62" i="37"/>
  <c r="W62" i="37"/>
  <c r="X62" i="37" s="1"/>
  <c r="L62" i="37"/>
  <c r="K62" i="37" s="1"/>
  <c r="O62" i="37" s="1"/>
  <c r="T62" i="37" s="1"/>
  <c r="Y61" i="37"/>
  <c r="W61" i="37"/>
  <c r="X61" i="37" s="1"/>
  <c r="L61" i="37"/>
  <c r="K61" i="37" s="1"/>
  <c r="O61" i="37" s="1"/>
  <c r="Y60" i="37"/>
  <c r="W60" i="37"/>
  <c r="X60" i="37" s="1"/>
  <c r="L60" i="37"/>
  <c r="K60" i="37" s="1"/>
  <c r="O60" i="37" s="1"/>
  <c r="Y59" i="37"/>
  <c r="W59" i="37"/>
  <c r="X59" i="37" s="1"/>
  <c r="L59" i="37"/>
  <c r="K59" i="37" s="1"/>
  <c r="O59" i="37" s="1"/>
  <c r="T59" i="37" s="1"/>
  <c r="Y58" i="37"/>
  <c r="W58" i="37"/>
  <c r="X58" i="37" s="1"/>
  <c r="L58" i="37"/>
  <c r="K58" i="37" s="1"/>
  <c r="O58" i="37" s="1"/>
  <c r="T58" i="37" s="1"/>
  <c r="Y57" i="37"/>
  <c r="W57" i="37"/>
  <c r="X57" i="37" s="1"/>
  <c r="L57" i="37"/>
  <c r="K57" i="37" s="1"/>
  <c r="O57" i="37" s="1"/>
  <c r="T57" i="37" s="1"/>
  <c r="Y56" i="37"/>
  <c r="W56" i="37"/>
  <c r="X56" i="37" s="1"/>
  <c r="L56" i="37"/>
  <c r="K56" i="37" s="1"/>
  <c r="O56" i="37" s="1"/>
  <c r="T56" i="37" s="1"/>
  <c r="Y55" i="37"/>
  <c r="W55" i="37"/>
  <c r="X55" i="37" s="1"/>
  <c r="L55" i="37"/>
  <c r="K55" i="37" s="1"/>
  <c r="O55" i="37" s="1"/>
  <c r="T55" i="37" s="1"/>
  <c r="Y54" i="37"/>
  <c r="W54" i="37"/>
  <c r="X54" i="37" s="1"/>
  <c r="L54" i="37"/>
  <c r="K54" i="37" s="1"/>
  <c r="O54" i="37" s="1"/>
  <c r="T54" i="37" s="1"/>
  <c r="Y53" i="37"/>
  <c r="W53" i="37"/>
  <c r="X53" i="37" s="1"/>
  <c r="L53" i="37"/>
  <c r="K53" i="37" s="1"/>
  <c r="O53" i="37" s="1"/>
  <c r="T53" i="37" s="1"/>
  <c r="Y52" i="37"/>
  <c r="W52" i="37"/>
  <c r="X52" i="37" s="1"/>
  <c r="L52" i="37"/>
  <c r="K52" i="37" s="1"/>
  <c r="O52" i="37" s="1"/>
  <c r="T52" i="37" s="1"/>
  <c r="Y51" i="37"/>
  <c r="W51" i="37"/>
  <c r="X51" i="37" s="1"/>
  <c r="L51" i="37"/>
  <c r="K51" i="37" s="1"/>
  <c r="O51" i="37" s="1"/>
  <c r="T51" i="37" s="1"/>
  <c r="Y50" i="37"/>
  <c r="W50" i="37"/>
  <c r="X50" i="37" s="1"/>
  <c r="L50" i="37"/>
  <c r="K50" i="37" s="1"/>
  <c r="O50" i="37" s="1"/>
  <c r="T50" i="37" s="1"/>
  <c r="Y49" i="37"/>
  <c r="W49" i="37"/>
  <c r="X49" i="37" s="1"/>
  <c r="L49" i="37"/>
  <c r="K49" i="37" s="1"/>
  <c r="O49" i="37" s="1"/>
  <c r="T49" i="37" s="1"/>
  <c r="Y48" i="37"/>
  <c r="W48" i="37"/>
  <c r="X48" i="37" s="1"/>
  <c r="L48" i="37"/>
  <c r="K48" i="37" s="1"/>
  <c r="O48" i="37" s="1"/>
  <c r="T48" i="37" s="1"/>
  <c r="Y47" i="37"/>
  <c r="W47" i="37"/>
  <c r="X47" i="37" s="1"/>
  <c r="L47" i="37"/>
  <c r="K47" i="37" s="1"/>
  <c r="O47" i="37" s="1"/>
  <c r="Y46" i="37"/>
  <c r="W46" i="37"/>
  <c r="X46" i="37" s="1"/>
  <c r="L46" i="37"/>
  <c r="K46" i="37" s="1"/>
  <c r="O46" i="37" s="1"/>
  <c r="Y45" i="37"/>
  <c r="W45" i="37"/>
  <c r="X45" i="37" s="1"/>
  <c r="L45" i="37"/>
  <c r="K45" i="37" s="1"/>
  <c r="O45" i="37" s="1"/>
  <c r="T45" i="37" s="1"/>
  <c r="Y44" i="37"/>
  <c r="W44" i="37"/>
  <c r="X44" i="37" s="1"/>
  <c r="L44" i="37"/>
  <c r="K44" i="37" s="1"/>
  <c r="O44" i="37" s="1"/>
  <c r="T44" i="37" s="1"/>
  <c r="Y41" i="37"/>
  <c r="W41" i="37"/>
  <c r="X41" i="37" s="1"/>
  <c r="L41" i="37"/>
  <c r="K41" i="37" s="1"/>
  <c r="O41" i="37" s="1"/>
  <c r="Y40" i="37"/>
  <c r="W40" i="37"/>
  <c r="X40" i="37" s="1"/>
  <c r="L40" i="37"/>
  <c r="K40" i="37" s="1"/>
  <c r="O40" i="37" s="1"/>
  <c r="Y39" i="37"/>
  <c r="W39" i="37"/>
  <c r="X39" i="37" s="1"/>
  <c r="L39" i="37"/>
  <c r="K39" i="37" s="1"/>
  <c r="O39" i="37" s="1"/>
  <c r="U39" i="37" s="1"/>
  <c r="Y38" i="37"/>
  <c r="W38" i="37"/>
  <c r="X38" i="37" s="1"/>
  <c r="L38" i="37"/>
  <c r="K38" i="37" s="1"/>
  <c r="O38" i="37" s="1"/>
  <c r="Y37" i="37"/>
  <c r="W37" i="37"/>
  <c r="X37" i="37" s="1"/>
  <c r="L37" i="37"/>
  <c r="K37" i="37" s="1"/>
  <c r="O37" i="37" s="1"/>
  <c r="Y36" i="37"/>
  <c r="W36" i="37"/>
  <c r="X36" i="37" s="1"/>
  <c r="L36" i="37"/>
  <c r="K36" i="37" s="1"/>
  <c r="O36" i="37" s="1"/>
  <c r="Y35" i="37"/>
  <c r="W35" i="37"/>
  <c r="X35" i="37" s="1"/>
  <c r="L35" i="37"/>
  <c r="K35" i="37" s="1"/>
  <c r="O35" i="37" s="1"/>
  <c r="Y34" i="37"/>
  <c r="W34" i="37"/>
  <c r="X34" i="37" s="1"/>
  <c r="L34" i="37"/>
  <c r="K34" i="37" s="1"/>
  <c r="O34" i="37" s="1"/>
  <c r="Y30" i="37"/>
  <c r="W30" i="37"/>
  <c r="X30" i="37" s="1"/>
  <c r="L30" i="37"/>
  <c r="K30" i="37" s="1"/>
  <c r="L26" i="37"/>
  <c r="L25" i="37"/>
  <c r="L24" i="37"/>
  <c r="L23" i="37"/>
  <c r="L22" i="37"/>
  <c r="C23" i="37"/>
  <c r="L21" i="37"/>
  <c r="D4" i="37"/>
  <c r="D77" i="17"/>
  <c r="D47" i="17"/>
  <c r="D55" i="17"/>
  <c r="H56" i="17"/>
  <c r="U282" i="37" l="1"/>
  <c r="AH282" i="37"/>
  <c r="U275" i="37"/>
  <c r="AH275" i="37"/>
  <c r="AH344" i="37" s="1"/>
  <c r="W23" i="44" s="1"/>
  <c r="U255" i="37"/>
  <c r="U259" i="37"/>
  <c r="T323" i="37"/>
  <c r="AH323" i="37"/>
  <c r="D79" i="17"/>
  <c r="R67" i="22"/>
  <c r="O202" i="37"/>
  <c r="O211" i="37"/>
  <c r="U211" i="37" s="1"/>
  <c r="U341" i="37"/>
  <c r="AA341" i="37" s="1"/>
  <c r="O141" i="37"/>
  <c r="U237" i="37"/>
  <c r="AA237" i="37" s="1"/>
  <c r="T237" i="37"/>
  <c r="T254" i="37"/>
  <c r="U254" i="37"/>
  <c r="AA254" i="37" s="1"/>
  <c r="U322" i="37"/>
  <c r="T322" i="37"/>
  <c r="T301" i="37"/>
  <c r="U301" i="37"/>
  <c r="Z301" i="37" s="1"/>
  <c r="AB301" i="37" s="1"/>
  <c r="U45" i="37"/>
  <c r="Z45" i="37" s="1"/>
  <c r="U156" i="37"/>
  <c r="Z156" i="37" s="1"/>
  <c r="AB156" i="37" s="1"/>
  <c r="U323" i="37"/>
  <c r="AA323" i="37" s="1"/>
  <c r="O139" i="37"/>
  <c r="T139" i="37" s="1"/>
  <c r="T167" i="37"/>
  <c r="T203" i="37"/>
  <c r="AC42" i="37"/>
  <c r="T155" i="37"/>
  <c r="U155" i="37"/>
  <c r="AA155" i="37" s="1"/>
  <c r="N344" i="37"/>
  <c r="T257" i="37"/>
  <c r="U257" i="37"/>
  <c r="Z257" i="37" s="1"/>
  <c r="AB257" i="37" s="1"/>
  <c r="T313" i="37"/>
  <c r="U313" i="37"/>
  <c r="AA313" i="37" s="1"/>
  <c r="T205" i="37"/>
  <c r="U245" i="37"/>
  <c r="AA245" i="37" s="1"/>
  <c r="T307" i="37"/>
  <c r="U307" i="37"/>
  <c r="Z307" i="37" s="1"/>
  <c r="AB307" i="37" s="1"/>
  <c r="T275" i="37"/>
  <c r="U195" i="37"/>
  <c r="Z195" i="37" s="1"/>
  <c r="AB195" i="37" s="1"/>
  <c r="T195" i="37"/>
  <c r="T250" i="37"/>
  <c r="U250" i="37"/>
  <c r="T91" i="37"/>
  <c r="T198" i="37"/>
  <c r="T299" i="37"/>
  <c r="U299" i="37"/>
  <c r="U309" i="37"/>
  <c r="Z309" i="37" s="1"/>
  <c r="AB309" i="37" s="1"/>
  <c r="T340" i="37"/>
  <c r="U204" i="37"/>
  <c r="AB204" i="37" s="1"/>
  <c r="U206" i="37"/>
  <c r="AA206" i="37" s="1"/>
  <c r="AA332" i="37"/>
  <c r="Z332" i="37"/>
  <c r="AB332" i="37" s="1"/>
  <c r="AG332" i="37" s="1"/>
  <c r="AA330" i="37"/>
  <c r="Z330" i="37"/>
  <c r="AB330" i="37" s="1"/>
  <c r="AG330" i="37" s="1"/>
  <c r="AA328" i="37"/>
  <c r="Z328" i="37"/>
  <c r="AB328" i="37" s="1"/>
  <c r="AG328" i="37" s="1"/>
  <c r="AA326" i="37"/>
  <c r="Z326" i="37"/>
  <c r="AB326" i="37" s="1"/>
  <c r="AG326" i="37" s="1"/>
  <c r="AA324" i="37"/>
  <c r="Z324" i="37"/>
  <c r="AB324" i="37" s="1"/>
  <c r="AG324" i="37" s="1"/>
  <c r="AA331" i="37"/>
  <c r="Z331" i="37"/>
  <c r="AB331" i="37" s="1"/>
  <c r="AG331" i="37" s="1"/>
  <c r="AA329" i="37"/>
  <c r="Z329" i="37"/>
  <c r="AB329" i="37" s="1"/>
  <c r="AG329" i="37" s="1"/>
  <c r="AA327" i="37"/>
  <c r="Z327" i="37"/>
  <c r="AB327" i="37" s="1"/>
  <c r="AG327" i="37" s="1"/>
  <c r="AA325" i="37"/>
  <c r="Z325" i="37"/>
  <c r="AB325" i="37" s="1"/>
  <c r="AG325" i="37" s="1"/>
  <c r="AA290" i="37"/>
  <c r="Z290" i="37"/>
  <c r="AB290" i="37" s="1"/>
  <c r="AG290" i="37" s="1"/>
  <c r="AA288" i="37"/>
  <c r="Z288" i="37"/>
  <c r="AB288" i="37" s="1"/>
  <c r="AG288" i="37" s="1"/>
  <c r="AA289" i="37"/>
  <c r="Z289" i="37"/>
  <c r="AB289" i="37" s="1"/>
  <c r="AG289" i="37" s="1"/>
  <c r="AA287" i="37"/>
  <c r="Z287" i="37"/>
  <c r="AB287" i="37" s="1"/>
  <c r="AG287" i="37" s="1"/>
  <c r="Z279" i="37"/>
  <c r="AB279" i="37" s="1"/>
  <c r="T282" i="37"/>
  <c r="Z276" i="37"/>
  <c r="AB276" i="37" s="1"/>
  <c r="Z278" i="37"/>
  <c r="AB278" i="37" s="1"/>
  <c r="Z272" i="37"/>
  <c r="AB272" i="37" s="1"/>
  <c r="Z283" i="37"/>
  <c r="AB283" i="37" s="1"/>
  <c r="AA280" i="37"/>
  <c r="Z280" i="37"/>
  <c r="AB280" i="37" s="1"/>
  <c r="AG280" i="37" s="1"/>
  <c r="Z271" i="37"/>
  <c r="AB271" i="37" s="1"/>
  <c r="AG271" i="37" s="1"/>
  <c r="AA271" i="37"/>
  <c r="AA274" i="37"/>
  <c r="Z274" i="37"/>
  <c r="AB274" i="37" s="1"/>
  <c r="AG274" i="37" s="1"/>
  <c r="AA269" i="37"/>
  <c r="Z269" i="37"/>
  <c r="AB269" i="37" s="1"/>
  <c r="AG269" i="37" s="1"/>
  <c r="AA267" i="37"/>
  <c r="Z267" i="37"/>
  <c r="AB267" i="37" s="1"/>
  <c r="AG267" i="37" s="1"/>
  <c r="AA273" i="37"/>
  <c r="Z273" i="37"/>
  <c r="AB273" i="37" s="1"/>
  <c r="AG273" i="37" s="1"/>
  <c r="Z262" i="37"/>
  <c r="AB262" i="37" s="1"/>
  <c r="AG262" i="37" s="1"/>
  <c r="AA262" i="37"/>
  <c r="Z270" i="37"/>
  <c r="AB270" i="37" s="1"/>
  <c r="AG270" i="37" s="1"/>
  <c r="AA270" i="37"/>
  <c r="AA281" i="37"/>
  <c r="Z281" i="37"/>
  <c r="AB281" i="37" s="1"/>
  <c r="AG281" i="37" s="1"/>
  <c r="AA277" i="37"/>
  <c r="Z277" i="37"/>
  <c r="AB277" i="37" s="1"/>
  <c r="AG277" i="37" s="1"/>
  <c r="Z264" i="37"/>
  <c r="AB264" i="37" s="1"/>
  <c r="AG264" i="37" s="1"/>
  <c r="AA264" i="37"/>
  <c r="Z260" i="37"/>
  <c r="AB260" i="37" s="1"/>
  <c r="AG260" i="37" s="1"/>
  <c r="AA260" i="37"/>
  <c r="AA284" i="37"/>
  <c r="Z284" i="37"/>
  <c r="AB284" i="37" s="1"/>
  <c r="AG284" i="37" s="1"/>
  <c r="AA261" i="37"/>
  <c r="Z261" i="37"/>
  <c r="AB261" i="37" s="1"/>
  <c r="AG261" i="37" s="1"/>
  <c r="AA282" i="37"/>
  <c r="Z282" i="37"/>
  <c r="AB282" i="37" s="1"/>
  <c r="AG282" i="37" s="1"/>
  <c r="AA265" i="37"/>
  <c r="Z265" i="37"/>
  <c r="AB265" i="37" s="1"/>
  <c r="AG265" i="37" s="1"/>
  <c r="Z266" i="37"/>
  <c r="AB266" i="37" s="1"/>
  <c r="AG266" i="37" s="1"/>
  <c r="AA266" i="37"/>
  <c r="Z268" i="37"/>
  <c r="AB268" i="37" s="1"/>
  <c r="AG268" i="37" s="1"/>
  <c r="AA268" i="37"/>
  <c r="AA285" i="37"/>
  <c r="Z285" i="37"/>
  <c r="AB285" i="37" s="1"/>
  <c r="AG285" i="37" s="1"/>
  <c r="AA275" i="37"/>
  <c r="Z275" i="37"/>
  <c r="AB275" i="37" s="1"/>
  <c r="AG275" i="37" s="1"/>
  <c r="Z263" i="37"/>
  <c r="AB263" i="37" s="1"/>
  <c r="AG263" i="37" s="1"/>
  <c r="AA263" i="37"/>
  <c r="T32" i="37"/>
  <c r="U32" i="37"/>
  <c r="Z39" i="37"/>
  <c r="T66" i="37"/>
  <c r="U66" i="37"/>
  <c r="AA66" i="37" s="1"/>
  <c r="U251" i="37"/>
  <c r="AA251" i="37" s="1"/>
  <c r="T251" i="37"/>
  <c r="U182" i="37"/>
  <c r="T182" i="37"/>
  <c r="T157" i="37"/>
  <c r="U157" i="37"/>
  <c r="Z157" i="37" s="1"/>
  <c r="AB157" i="37" s="1"/>
  <c r="U163" i="37"/>
  <c r="AA163" i="37" s="1"/>
  <c r="T163" i="37"/>
  <c r="T189" i="37"/>
  <c r="U190" i="37"/>
  <c r="AA190" i="37" s="1"/>
  <c r="T190" i="37"/>
  <c r="U194" i="37"/>
  <c r="Z194" i="37" s="1"/>
  <c r="AB194" i="37" s="1"/>
  <c r="T194" i="37"/>
  <c r="U38" i="37"/>
  <c r="T38" i="37"/>
  <c r="T82" i="37"/>
  <c r="U82" i="37"/>
  <c r="AA82" i="37" s="1"/>
  <c r="U171" i="37"/>
  <c r="AA171" i="37" s="1"/>
  <c r="T171" i="37"/>
  <c r="U201" i="37"/>
  <c r="AA201" i="37" s="1"/>
  <c r="T201" i="37"/>
  <c r="U295" i="37"/>
  <c r="Z295" i="37" s="1"/>
  <c r="AB295" i="37" s="1"/>
  <c r="T295" i="37"/>
  <c r="U160" i="37"/>
  <c r="AA160" i="37" s="1"/>
  <c r="T160" i="37"/>
  <c r="U186" i="37"/>
  <c r="AA186" i="37" s="1"/>
  <c r="T186" i="37"/>
  <c r="T74" i="37"/>
  <c r="U74" i="37"/>
  <c r="AA74" i="37" s="1"/>
  <c r="U179" i="37"/>
  <c r="Z179" i="37" s="1"/>
  <c r="AB179" i="37" s="1"/>
  <c r="T179" i="37"/>
  <c r="U197" i="37"/>
  <c r="Z197" i="37" s="1"/>
  <c r="AB197" i="37" s="1"/>
  <c r="T197" i="37"/>
  <c r="U248" i="37"/>
  <c r="AA248" i="37" s="1"/>
  <c r="T248" i="37"/>
  <c r="T317" i="37"/>
  <c r="T63" i="37"/>
  <c r="T71" i="37"/>
  <c r="T79" i="37"/>
  <c r="T87" i="37"/>
  <c r="T175" i="37"/>
  <c r="T185" i="37"/>
  <c r="T193" i="37"/>
  <c r="U209" i="37"/>
  <c r="Z209" i="37" s="1"/>
  <c r="AB209" i="37" s="1"/>
  <c r="T259" i="37"/>
  <c r="U303" i="37"/>
  <c r="AA303" i="37" s="1"/>
  <c r="T314" i="37"/>
  <c r="U337" i="37"/>
  <c r="AA337" i="37" s="1"/>
  <c r="U59" i="37"/>
  <c r="AA59" i="37" s="1"/>
  <c r="U180" i="37"/>
  <c r="AA180" i="37" s="1"/>
  <c r="T241" i="37"/>
  <c r="U297" i="37"/>
  <c r="Z297" i="37" s="1"/>
  <c r="U305" i="37"/>
  <c r="Z305" i="37" s="1"/>
  <c r="AB305" i="37" s="1"/>
  <c r="U321" i="37"/>
  <c r="AA321" i="37" s="1"/>
  <c r="U46" i="37"/>
  <c r="T46" i="37"/>
  <c r="U34" i="37"/>
  <c r="T34" i="37"/>
  <c r="U35" i="37"/>
  <c r="T35" i="37"/>
  <c r="U36" i="37"/>
  <c r="T36" i="37"/>
  <c r="U37" i="37"/>
  <c r="T37" i="37"/>
  <c r="U47" i="37"/>
  <c r="T47" i="37"/>
  <c r="D12" i="37"/>
  <c r="D8" i="37"/>
  <c r="D5" i="37"/>
  <c r="O30" i="37"/>
  <c r="D14" i="37"/>
  <c r="D10" i="37"/>
  <c r="D6" i="37"/>
  <c r="D13" i="37"/>
  <c r="D9" i="37"/>
  <c r="D3" i="37"/>
  <c r="D11" i="37"/>
  <c r="D7" i="37"/>
  <c r="T41" i="37"/>
  <c r="U41" i="37"/>
  <c r="U40" i="37"/>
  <c r="T40" i="37"/>
  <c r="U44" i="37"/>
  <c r="U48" i="37"/>
  <c r="U49" i="37"/>
  <c r="U50" i="37"/>
  <c r="U51" i="37"/>
  <c r="U52" i="37"/>
  <c r="U53" i="37"/>
  <c r="U54" i="37"/>
  <c r="U55" i="37"/>
  <c r="U56" i="37"/>
  <c r="U64" i="37"/>
  <c r="T64" i="37"/>
  <c r="U72" i="37"/>
  <c r="T72" i="37"/>
  <c r="U80" i="37"/>
  <c r="T80" i="37"/>
  <c r="U88" i="37"/>
  <c r="T88" i="37"/>
  <c r="U95" i="37"/>
  <c r="T95" i="37"/>
  <c r="U101" i="37"/>
  <c r="T101" i="37"/>
  <c r="U106" i="37"/>
  <c r="T106" i="37"/>
  <c r="U111" i="37"/>
  <c r="T111" i="37"/>
  <c r="U117" i="37"/>
  <c r="T117" i="37"/>
  <c r="U122" i="37"/>
  <c r="T122" i="37"/>
  <c r="U140" i="37"/>
  <c r="T140" i="37"/>
  <c r="U141" i="37"/>
  <c r="T141" i="37"/>
  <c r="AB45" i="37"/>
  <c r="T61" i="37"/>
  <c r="U61" i="37"/>
  <c r="Z66" i="37"/>
  <c r="AB66" i="37" s="1"/>
  <c r="AC66" i="37" s="1"/>
  <c r="AA67" i="37"/>
  <c r="Z67" i="37"/>
  <c r="AB67" i="37" s="1"/>
  <c r="T69" i="37"/>
  <c r="U69" i="37"/>
  <c r="AA75" i="37"/>
  <c r="Z75" i="37"/>
  <c r="AB75" i="37" s="1"/>
  <c r="T77" i="37"/>
  <c r="U77" i="37"/>
  <c r="Z82" i="37"/>
  <c r="AB82" i="37" s="1"/>
  <c r="AC82" i="37" s="1"/>
  <c r="AA83" i="37"/>
  <c r="Z83" i="37"/>
  <c r="AB83" i="37" s="1"/>
  <c r="T85" i="37"/>
  <c r="U85" i="37"/>
  <c r="U90" i="37"/>
  <c r="AA91" i="37"/>
  <c r="Z91" i="37"/>
  <c r="AB91" i="37" s="1"/>
  <c r="T93" i="37"/>
  <c r="U93" i="37"/>
  <c r="U99" i="37"/>
  <c r="T99" i="37"/>
  <c r="U105" i="37"/>
  <c r="T105" i="37"/>
  <c r="U110" i="37"/>
  <c r="T110" i="37"/>
  <c r="U115" i="37"/>
  <c r="T115" i="37"/>
  <c r="U121" i="37"/>
  <c r="T121" i="37"/>
  <c r="T39" i="37"/>
  <c r="AA39" i="37"/>
  <c r="U58" i="37"/>
  <c r="U60" i="37"/>
  <c r="T60" i="37"/>
  <c r="T67" i="37"/>
  <c r="U68" i="37"/>
  <c r="T68" i="37"/>
  <c r="T75" i="37"/>
  <c r="U76" i="37"/>
  <c r="T76" i="37"/>
  <c r="T83" i="37"/>
  <c r="U84" i="37"/>
  <c r="T84" i="37"/>
  <c r="U92" i="37"/>
  <c r="T92" i="37"/>
  <c r="U94" i="37"/>
  <c r="T94" i="37"/>
  <c r="U98" i="37"/>
  <c r="T98" i="37"/>
  <c r="U103" i="37"/>
  <c r="T103" i="37"/>
  <c r="U109" i="37"/>
  <c r="T109" i="37"/>
  <c r="U114" i="37"/>
  <c r="T114" i="37"/>
  <c r="U119" i="37"/>
  <c r="T119" i="37"/>
  <c r="U139" i="37"/>
  <c r="T142" i="37"/>
  <c r="U142" i="37"/>
  <c r="AB39" i="37"/>
  <c r="U57" i="37"/>
  <c r="U62" i="37"/>
  <c r="AA63" i="37"/>
  <c r="Z63" i="37"/>
  <c r="AB63" i="37" s="1"/>
  <c r="T65" i="37"/>
  <c r="U65" i="37"/>
  <c r="U70" i="37"/>
  <c r="AA71" i="37"/>
  <c r="Z71" i="37"/>
  <c r="AB71" i="37" s="1"/>
  <c r="T73" i="37"/>
  <c r="U73" i="37"/>
  <c r="U78" i="37"/>
  <c r="AA79" i="37"/>
  <c r="Z79" i="37"/>
  <c r="AB79" i="37" s="1"/>
  <c r="T81" i="37"/>
  <c r="U81" i="37"/>
  <c r="U86" i="37"/>
  <c r="AA87" i="37"/>
  <c r="Z87" i="37"/>
  <c r="AB87" i="37" s="1"/>
  <c r="T89" i="37"/>
  <c r="U89" i="37"/>
  <c r="U97" i="37"/>
  <c r="T97" i="37"/>
  <c r="U102" i="37"/>
  <c r="T102" i="37"/>
  <c r="U107" i="37"/>
  <c r="T107" i="37"/>
  <c r="U113" i="37"/>
  <c r="T113" i="37"/>
  <c r="U118" i="37"/>
  <c r="T118" i="37"/>
  <c r="U123" i="37"/>
  <c r="T123" i="37"/>
  <c r="Y94" i="37"/>
  <c r="Y344" i="37" s="1"/>
  <c r="U96" i="37"/>
  <c r="U100" i="37"/>
  <c r="U104" i="37"/>
  <c r="U108" i="37"/>
  <c r="U112" i="37"/>
  <c r="U116" i="37"/>
  <c r="U120" i="37"/>
  <c r="U124" i="37"/>
  <c r="U125" i="37"/>
  <c r="U126" i="37"/>
  <c r="U127" i="37"/>
  <c r="U128" i="37"/>
  <c r="U129" i="37"/>
  <c r="U130" i="37"/>
  <c r="U131" i="37"/>
  <c r="U132" i="37"/>
  <c r="U133" i="37"/>
  <c r="U134" i="37"/>
  <c r="U135" i="37"/>
  <c r="U136" i="37"/>
  <c r="U137" i="37"/>
  <c r="U138" i="37"/>
  <c r="U143" i="37"/>
  <c r="U144" i="37"/>
  <c r="U145" i="37"/>
  <c r="U146" i="37"/>
  <c r="U147" i="37"/>
  <c r="U148" i="37"/>
  <c r="U149" i="37"/>
  <c r="U150" i="37"/>
  <c r="U151" i="37"/>
  <c r="U152" i="37"/>
  <c r="U153" i="37"/>
  <c r="U154" i="37"/>
  <c r="AA156" i="37"/>
  <c r="U192" i="37"/>
  <c r="T192" i="37"/>
  <c r="T210" i="37"/>
  <c r="U210" i="37"/>
  <c r="U158" i="37"/>
  <c r="U159" i="37"/>
  <c r="T159" i="37"/>
  <c r="U164" i="37"/>
  <c r="U168" i="37"/>
  <c r="U172" i="37"/>
  <c r="U176" i="37"/>
  <c r="Z180" i="37"/>
  <c r="AB180" i="37" s="1"/>
  <c r="Z205" i="37"/>
  <c r="AA205" i="37"/>
  <c r="AC205" i="37" s="1"/>
  <c r="Z155" i="37"/>
  <c r="AB155" i="37" s="1"/>
  <c r="U161" i="37"/>
  <c r="T161" i="37"/>
  <c r="T165" i="37"/>
  <c r="U165" i="37"/>
  <c r="T169" i="37"/>
  <c r="U169" i="37"/>
  <c r="T173" i="37"/>
  <c r="U173" i="37"/>
  <c r="U191" i="37"/>
  <c r="T191" i="37"/>
  <c r="U207" i="37"/>
  <c r="T207" i="37"/>
  <c r="U212" i="37"/>
  <c r="T212" i="37"/>
  <c r="U217" i="37"/>
  <c r="T217" i="37"/>
  <c r="U225" i="37"/>
  <c r="T225" i="37"/>
  <c r="U233" i="37"/>
  <c r="T233" i="37"/>
  <c r="AA301" i="37"/>
  <c r="T304" i="37"/>
  <c r="U304" i="37"/>
  <c r="AA309" i="37"/>
  <c r="U181" i="37"/>
  <c r="T181" i="37"/>
  <c r="Z187" i="37"/>
  <c r="AB187" i="37" s="1"/>
  <c r="AA187" i="37"/>
  <c r="U188" i="37"/>
  <c r="T188" i="37"/>
  <c r="U214" i="37"/>
  <c r="T214" i="37"/>
  <c r="U222" i="37"/>
  <c r="T222" i="37"/>
  <c r="U230" i="37"/>
  <c r="T230" i="37"/>
  <c r="U243" i="37"/>
  <c r="T243" i="37"/>
  <c r="T244" i="37"/>
  <c r="U244" i="37"/>
  <c r="AA250" i="37"/>
  <c r="Z250" i="37"/>
  <c r="AB250" i="37" s="1"/>
  <c r="T292" i="37"/>
  <c r="U292" i="37"/>
  <c r="T298" i="37"/>
  <c r="U298" i="37"/>
  <c r="T306" i="37"/>
  <c r="U306" i="37"/>
  <c r="Z321" i="37"/>
  <c r="AB321" i="37" s="1"/>
  <c r="U335" i="37"/>
  <c r="T335" i="37"/>
  <c r="Z183" i="37"/>
  <c r="AB183" i="37" s="1"/>
  <c r="AA183" i="37"/>
  <c r="U184" i="37"/>
  <c r="T184" i="37"/>
  <c r="T187" i="37"/>
  <c r="Z199" i="37"/>
  <c r="AB199" i="37" s="1"/>
  <c r="AA199" i="37"/>
  <c r="U200" i="37"/>
  <c r="T200" i="37"/>
  <c r="T202" i="37"/>
  <c r="U202" i="37"/>
  <c r="Z203" i="37"/>
  <c r="AA203" i="37"/>
  <c r="AC203" i="37" s="1"/>
  <c r="T208" i="37"/>
  <c r="U208" i="37"/>
  <c r="U213" i="37"/>
  <c r="T213" i="37"/>
  <c r="U221" i="37"/>
  <c r="T221" i="37"/>
  <c r="U229" i="37"/>
  <c r="T229" i="37"/>
  <c r="T238" i="37"/>
  <c r="U238" i="37"/>
  <c r="T242" i="37"/>
  <c r="U242" i="37"/>
  <c r="U320" i="37"/>
  <c r="T320" i="37"/>
  <c r="M344" i="37"/>
  <c r="U162" i="37"/>
  <c r="T162" i="37"/>
  <c r="Z163" i="37"/>
  <c r="AB163" i="37" s="1"/>
  <c r="U166" i="37"/>
  <c r="T166" i="37"/>
  <c r="AA167" i="37"/>
  <c r="Z167" i="37"/>
  <c r="AB167" i="37" s="1"/>
  <c r="U170" i="37"/>
  <c r="T170" i="37"/>
  <c r="Z171" i="37"/>
  <c r="AB171" i="37" s="1"/>
  <c r="U174" i="37"/>
  <c r="T174" i="37"/>
  <c r="AA175" i="37"/>
  <c r="Z175" i="37"/>
  <c r="AB175" i="37" s="1"/>
  <c r="U177" i="37"/>
  <c r="U178" i="37"/>
  <c r="T178" i="37"/>
  <c r="AA179" i="37"/>
  <c r="T183" i="37"/>
  <c r="AA195" i="37"/>
  <c r="U196" i="37"/>
  <c r="T196" i="37"/>
  <c r="T199" i="37"/>
  <c r="AB206" i="37"/>
  <c r="AC206" i="37" s="1"/>
  <c r="Z206" i="37"/>
  <c r="U218" i="37"/>
  <c r="T218" i="37"/>
  <c r="U226" i="37"/>
  <c r="T226" i="37"/>
  <c r="U234" i="37"/>
  <c r="T234" i="37"/>
  <c r="U240" i="37"/>
  <c r="T240" i="37"/>
  <c r="T247" i="37"/>
  <c r="U247" i="37"/>
  <c r="T294" i="37"/>
  <c r="U294" i="37"/>
  <c r="T319" i="37"/>
  <c r="U319" i="37"/>
  <c r="Z185" i="37"/>
  <c r="AB185" i="37" s="1"/>
  <c r="AA185" i="37"/>
  <c r="Z189" i="37"/>
  <c r="AB189" i="37" s="1"/>
  <c r="AA189" i="37"/>
  <c r="Z193" i="37"/>
  <c r="AB193" i="37" s="1"/>
  <c r="AA193" i="37"/>
  <c r="U216" i="37"/>
  <c r="T216" i="37"/>
  <c r="U220" i="37"/>
  <c r="T220" i="37"/>
  <c r="U224" i="37"/>
  <c r="T224" i="37"/>
  <c r="U228" i="37"/>
  <c r="T228" i="37"/>
  <c r="U232" i="37"/>
  <c r="T232" i="37"/>
  <c r="U236" i="37"/>
  <c r="T236" i="37"/>
  <c r="AA241" i="37"/>
  <c r="Z241" i="37"/>
  <c r="AB241" i="37" s="1"/>
  <c r="U253" i="37"/>
  <c r="T253" i="37"/>
  <c r="T258" i="37"/>
  <c r="U258" i="37"/>
  <c r="T300" i="37"/>
  <c r="U300" i="37"/>
  <c r="T308" i="37"/>
  <c r="U308" i="37"/>
  <c r="T315" i="37"/>
  <c r="U315" i="37"/>
  <c r="T334" i="37"/>
  <c r="U334" i="37"/>
  <c r="Z182" i="37"/>
  <c r="AB182" i="37" s="1"/>
  <c r="AA182" i="37"/>
  <c r="Z186" i="37"/>
  <c r="AB186" i="37" s="1"/>
  <c r="Z198" i="37"/>
  <c r="AB198" i="37" s="1"/>
  <c r="AA198" i="37"/>
  <c r="U215" i="37"/>
  <c r="T215" i="37"/>
  <c r="U219" i="37"/>
  <c r="T219" i="37"/>
  <c r="U223" i="37"/>
  <c r="T223" i="37"/>
  <c r="U227" i="37"/>
  <c r="T227" i="37"/>
  <c r="U231" i="37"/>
  <c r="T231" i="37"/>
  <c r="U235" i="37"/>
  <c r="T235" i="37"/>
  <c r="Z237" i="37"/>
  <c r="AB237" i="37" s="1"/>
  <c r="T256" i="37"/>
  <c r="U256" i="37"/>
  <c r="AA257" i="37"/>
  <c r="Z299" i="37"/>
  <c r="AB299" i="37" s="1"/>
  <c r="AA299" i="37"/>
  <c r="T302" i="37"/>
  <c r="U302" i="37"/>
  <c r="T310" i="37"/>
  <c r="U310" i="37"/>
  <c r="T342" i="37"/>
  <c r="U342" i="37"/>
  <c r="U239" i="37"/>
  <c r="U252" i="37"/>
  <c r="T255" i="37"/>
  <c r="T293" i="37"/>
  <c r="AA295" i="37"/>
  <c r="AA314" i="37"/>
  <c r="Z314" i="37"/>
  <c r="AB314" i="37" s="1"/>
  <c r="T316" i="37"/>
  <c r="AA317" i="37"/>
  <c r="Z317" i="37"/>
  <c r="AB317" i="37" s="1"/>
  <c r="U318" i="37"/>
  <c r="AA246" i="37"/>
  <c r="Z246" i="37"/>
  <c r="AB246" i="37" s="1"/>
  <c r="Z248" i="37"/>
  <c r="Z254" i="37"/>
  <c r="AB254" i="37" s="1"/>
  <c r="AC254" i="37" s="1"/>
  <c r="AA293" i="37"/>
  <c r="Z293" i="37"/>
  <c r="AB293" i="37" s="1"/>
  <c r="AA322" i="37"/>
  <c r="Z322" i="37"/>
  <c r="AB322" i="37" s="1"/>
  <c r="AA336" i="37"/>
  <c r="Z336" i="37"/>
  <c r="AB336" i="37" s="1"/>
  <c r="T246" i="37"/>
  <c r="U249" i="37"/>
  <c r="AA255" i="37"/>
  <c r="Z255" i="37"/>
  <c r="AB255" i="37" s="1"/>
  <c r="U311" i="37"/>
  <c r="U312" i="37"/>
  <c r="T312" i="37"/>
  <c r="AA316" i="37"/>
  <c r="Z316" i="37"/>
  <c r="AB316" i="37" s="1"/>
  <c r="T336" i="37"/>
  <c r="U338" i="37"/>
  <c r="U339" i="37"/>
  <c r="T339" i="37"/>
  <c r="AA340" i="37"/>
  <c r="Z340" i="37"/>
  <c r="AB340" i="37" s="1"/>
  <c r="Z251" i="37"/>
  <c r="AB251" i="37" s="1"/>
  <c r="AA259" i="37"/>
  <c r="Z259" i="37"/>
  <c r="AB259" i="37" s="1"/>
  <c r="Z201" i="37" l="1"/>
  <c r="AB201" i="37" s="1"/>
  <c r="T211" i="37"/>
  <c r="AC278" i="37"/>
  <c r="AG278" i="37"/>
  <c r="AC276" i="37"/>
  <c r="AG276" i="37"/>
  <c r="D9" i="33"/>
  <c r="AC283" i="37"/>
  <c r="AG283" i="37"/>
  <c r="F9" i="33"/>
  <c r="AC272" i="37"/>
  <c r="AG272" i="37"/>
  <c r="AC279" i="37"/>
  <c r="AG279" i="37"/>
  <c r="Z204" i="37"/>
  <c r="AA209" i="37"/>
  <c r="AC209" i="37" s="1"/>
  <c r="Z313" i="37"/>
  <c r="AB313" i="37" s="1"/>
  <c r="AC313" i="37" s="1"/>
  <c r="Z341" i="37"/>
  <c r="AB341" i="37" s="1"/>
  <c r="AC341" i="37" s="1"/>
  <c r="AA194" i="37"/>
  <c r="AB297" i="37"/>
  <c r="AA197" i="37"/>
  <c r="AC197" i="37" s="1"/>
  <c r="Z160" i="37"/>
  <c r="AB160" i="37" s="1"/>
  <c r="AC160" i="37" s="1"/>
  <c r="Z337" i="37"/>
  <c r="AB337" i="37" s="1"/>
  <c r="AC337" i="37" s="1"/>
  <c r="AA307" i="37"/>
  <c r="AC307" i="37" s="1"/>
  <c r="AA297" i="37"/>
  <c r="AA204" i="37"/>
  <c r="AC204" i="37" s="1"/>
  <c r="AA45" i="37"/>
  <c r="AC45" i="37" s="1"/>
  <c r="Z323" i="37"/>
  <c r="AB323" i="37" s="1"/>
  <c r="Z74" i="37"/>
  <c r="AB74" i="37" s="1"/>
  <c r="AC74" i="37" s="1"/>
  <c r="Z59" i="37"/>
  <c r="AB59" i="37" s="1"/>
  <c r="AC59" i="37" s="1"/>
  <c r="AA305" i="37"/>
  <c r="AC305" i="37" s="1"/>
  <c r="Z245" i="37"/>
  <c r="AB245" i="37" s="1"/>
  <c r="AC245" i="37" s="1"/>
  <c r="AC328" i="37"/>
  <c r="AC329" i="37"/>
  <c r="AC327" i="37"/>
  <c r="AC326" i="37"/>
  <c r="AC325" i="37"/>
  <c r="AC324" i="37"/>
  <c r="AC332" i="37"/>
  <c r="AC331" i="37"/>
  <c r="AC330" i="37"/>
  <c r="AC290" i="37"/>
  <c r="AC289" i="37"/>
  <c r="AC287" i="37"/>
  <c r="AC288" i="37"/>
  <c r="AC267" i="37"/>
  <c r="AC275" i="37"/>
  <c r="AC281" i="37"/>
  <c r="AC280" i="37"/>
  <c r="AC261" i="37"/>
  <c r="AC284" i="37"/>
  <c r="AC262" i="37"/>
  <c r="AC265" i="37"/>
  <c r="AC260" i="37"/>
  <c r="AC270" i="37"/>
  <c r="AC274" i="37"/>
  <c r="AC285" i="37"/>
  <c r="AC269" i="37"/>
  <c r="AC266" i="37"/>
  <c r="AC271" i="37"/>
  <c r="AC263" i="37"/>
  <c r="AC268" i="37"/>
  <c r="AC282" i="37"/>
  <c r="AC264" i="37"/>
  <c r="AC277" i="37"/>
  <c r="AC273" i="37"/>
  <c r="AA32" i="37"/>
  <c r="H9" i="33" s="1"/>
  <c r="Z32" i="37"/>
  <c r="AB32" i="37" s="1"/>
  <c r="AC259" i="37"/>
  <c r="AC198" i="37"/>
  <c r="AC189" i="37"/>
  <c r="AC182" i="37"/>
  <c r="Z38" i="37"/>
  <c r="AB38" i="37" s="1"/>
  <c r="AA38" i="37"/>
  <c r="AB248" i="37"/>
  <c r="AC248" i="37" s="1"/>
  <c r="Z190" i="37"/>
  <c r="AB190" i="37" s="1"/>
  <c r="AC190" i="37" s="1"/>
  <c r="AC201" i="37"/>
  <c r="AC193" i="37"/>
  <c r="AC185" i="37"/>
  <c r="Z303" i="37"/>
  <c r="AB303" i="37" s="1"/>
  <c r="AC303" i="37" s="1"/>
  <c r="AA157" i="37"/>
  <c r="AC157" i="37" s="1"/>
  <c r="AC195" i="37"/>
  <c r="AA311" i="37"/>
  <c r="Z311" i="37"/>
  <c r="AB311" i="37"/>
  <c r="AA249" i="37"/>
  <c r="Z249" i="37"/>
  <c r="AB249" i="37" s="1"/>
  <c r="AC336" i="37"/>
  <c r="AA342" i="37"/>
  <c r="Z342" i="37"/>
  <c r="AB342" i="37" s="1"/>
  <c r="AC237" i="37"/>
  <c r="Z231" i="37"/>
  <c r="AB231" i="37" s="1"/>
  <c r="AA231" i="37"/>
  <c r="Z223" i="37"/>
  <c r="AB223" i="37" s="1"/>
  <c r="AA223" i="37"/>
  <c r="Z215" i="37"/>
  <c r="AB215" i="37" s="1"/>
  <c r="AA215" i="37"/>
  <c r="Z300" i="37"/>
  <c r="AB300" i="37" s="1"/>
  <c r="AA300" i="37"/>
  <c r="AA253" i="37"/>
  <c r="Z253" i="37"/>
  <c r="AB253" i="37" s="1"/>
  <c r="AA294" i="37"/>
  <c r="Z294" i="37"/>
  <c r="AB294" i="37" s="1"/>
  <c r="AC179" i="37"/>
  <c r="AA174" i="37"/>
  <c r="Z174" i="37"/>
  <c r="AB174" i="37" s="1"/>
  <c r="AC167" i="37"/>
  <c r="Z221" i="37"/>
  <c r="AB221" i="37" s="1"/>
  <c r="AA221" i="37"/>
  <c r="Z184" i="37"/>
  <c r="AB184" i="37" s="1"/>
  <c r="AA184" i="37"/>
  <c r="AA335" i="37"/>
  <c r="Z335" i="37"/>
  <c r="AB335" i="37" s="1"/>
  <c r="AA292" i="37"/>
  <c r="Z292" i="37"/>
  <c r="AB292" i="37" s="1"/>
  <c r="AC250" i="37"/>
  <c r="AA243" i="37"/>
  <c r="Z243" i="37"/>
  <c r="AB243" i="37" s="1"/>
  <c r="Z222" i="37"/>
  <c r="AB222" i="37" s="1"/>
  <c r="AA222" i="37"/>
  <c r="Z188" i="37"/>
  <c r="AB188" i="37" s="1"/>
  <c r="AA188" i="37"/>
  <c r="Z181" i="37"/>
  <c r="AB181" i="37" s="1"/>
  <c r="AA181" i="37"/>
  <c r="Z304" i="37"/>
  <c r="AB304" i="37" s="1"/>
  <c r="AA304" i="37"/>
  <c r="AA173" i="37"/>
  <c r="Z173" i="37"/>
  <c r="AB173" i="37" s="1"/>
  <c r="AA165" i="37"/>
  <c r="Z165" i="37"/>
  <c r="AB165" i="37" s="1"/>
  <c r="AA172" i="37"/>
  <c r="Z172" i="37"/>
  <c r="AB172" i="37" s="1"/>
  <c r="AA158" i="37"/>
  <c r="Z158" i="37"/>
  <c r="AB158" i="37" s="1"/>
  <c r="AA151" i="37"/>
  <c r="Z151" i="37"/>
  <c r="AB151" i="37" s="1"/>
  <c r="AA147" i="37"/>
  <c r="Z147" i="37"/>
  <c r="AB147" i="37" s="1"/>
  <c r="AA143" i="37"/>
  <c r="Z143" i="37"/>
  <c r="AB143" i="37" s="1"/>
  <c r="AA135" i="37"/>
  <c r="Z135" i="37"/>
  <c r="AB135" i="37" s="1"/>
  <c r="AA131" i="37"/>
  <c r="Z131" i="37"/>
  <c r="AB131" i="37" s="1"/>
  <c r="AA127" i="37"/>
  <c r="Z127" i="37"/>
  <c r="AB127" i="37" s="1"/>
  <c r="Z120" i="37"/>
  <c r="AB120" i="37" s="1"/>
  <c r="AA120" i="37"/>
  <c r="Z104" i="37"/>
  <c r="AB104" i="37" s="1"/>
  <c r="AA104" i="37"/>
  <c r="Z89" i="37"/>
  <c r="AB89" i="37" s="1"/>
  <c r="AA89" i="37"/>
  <c r="Z73" i="37"/>
  <c r="AB73" i="37" s="1"/>
  <c r="AA73" i="37"/>
  <c r="AA57" i="37"/>
  <c r="Z57" i="37"/>
  <c r="AB57" i="37" s="1"/>
  <c r="AA119" i="37"/>
  <c r="Z119" i="37"/>
  <c r="AB119" i="37" s="1"/>
  <c r="AA109" i="37"/>
  <c r="Z109" i="37"/>
  <c r="AB109" i="37" s="1"/>
  <c r="AA98" i="37"/>
  <c r="Z98" i="37"/>
  <c r="AB98" i="37" s="1"/>
  <c r="AA92" i="37"/>
  <c r="Z92" i="37"/>
  <c r="AB92" i="37" s="1"/>
  <c r="AA68" i="37"/>
  <c r="Z68" i="37"/>
  <c r="AB68" i="37" s="1"/>
  <c r="AA58" i="37"/>
  <c r="Z58" i="37"/>
  <c r="AB58" i="37" s="1"/>
  <c r="Z85" i="37"/>
  <c r="AB85" i="37" s="1"/>
  <c r="AA85" i="37"/>
  <c r="AA56" i="37"/>
  <c r="Z56" i="37"/>
  <c r="AB56" i="37" s="1"/>
  <c r="AA52" i="37"/>
  <c r="Z52" i="37"/>
  <c r="AB52" i="37" s="1"/>
  <c r="AA48" i="37"/>
  <c r="Z48" i="37"/>
  <c r="AB48" i="37" s="1"/>
  <c r="Z40" i="37"/>
  <c r="AB40" i="37" s="1"/>
  <c r="AA40" i="37"/>
  <c r="AA339" i="37"/>
  <c r="Z339" i="37"/>
  <c r="AB339" i="37" s="1"/>
  <c r="AC293" i="37"/>
  <c r="AC317" i="37"/>
  <c r="AC314" i="37"/>
  <c r="AC299" i="37"/>
  <c r="AA315" i="37"/>
  <c r="Z315" i="37"/>
  <c r="AB315" i="37" s="1"/>
  <c r="AA258" i="37"/>
  <c r="Z258" i="37"/>
  <c r="AB258" i="37" s="1"/>
  <c r="AA236" i="37"/>
  <c r="Z236" i="37"/>
  <c r="AB236" i="37" s="1"/>
  <c r="Z228" i="37"/>
  <c r="AB228" i="37" s="1"/>
  <c r="AA228" i="37"/>
  <c r="Z220" i="37"/>
  <c r="AB220" i="37" s="1"/>
  <c r="AA220" i="37"/>
  <c r="AA240" i="37"/>
  <c r="Z240" i="37"/>
  <c r="AB240" i="37" s="1"/>
  <c r="Z226" i="37"/>
  <c r="AB226" i="37" s="1"/>
  <c r="AA226" i="37"/>
  <c r="Z196" i="37"/>
  <c r="AB196" i="37" s="1"/>
  <c r="AA196" i="37"/>
  <c r="AA170" i="37"/>
  <c r="Z170" i="37"/>
  <c r="AB170" i="37" s="1"/>
  <c r="AC163" i="37"/>
  <c r="AA242" i="37"/>
  <c r="Z242" i="37"/>
  <c r="AB242" i="37" s="1"/>
  <c r="AC183" i="37"/>
  <c r="Z306" i="37"/>
  <c r="AB306" i="37" s="1"/>
  <c r="AA306" i="37"/>
  <c r="AA244" i="37"/>
  <c r="Z244" i="37"/>
  <c r="AB244" i="37" s="1"/>
  <c r="AC187" i="37"/>
  <c r="AC309" i="37"/>
  <c r="Z233" i="37"/>
  <c r="AB233" i="37" s="1"/>
  <c r="AA233" i="37"/>
  <c r="Z217" i="37"/>
  <c r="AB217" i="37" s="1"/>
  <c r="AA217" i="37"/>
  <c r="Z207" i="37"/>
  <c r="AA207" i="37"/>
  <c r="AB207" i="37"/>
  <c r="AA168" i="37"/>
  <c r="Z168" i="37"/>
  <c r="AB168" i="37" s="1"/>
  <c r="AC156" i="37"/>
  <c r="AA154" i="37"/>
  <c r="Z154" i="37"/>
  <c r="AB154" i="37" s="1"/>
  <c r="AA150" i="37"/>
  <c r="Z150" i="37"/>
  <c r="AB150" i="37" s="1"/>
  <c r="AA146" i="37"/>
  <c r="Z146" i="37"/>
  <c r="AB146" i="37" s="1"/>
  <c r="AA138" i="37"/>
  <c r="Z138" i="37"/>
  <c r="AB138" i="37" s="1"/>
  <c r="AA134" i="37"/>
  <c r="Z134" i="37"/>
  <c r="AB134" i="37" s="1"/>
  <c r="AA130" i="37"/>
  <c r="Z130" i="37"/>
  <c r="AB130" i="37" s="1"/>
  <c r="AA126" i="37"/>
  <c r="Z126" i="37"/>
  <c r="AB126" i="37" s="1"/>
  <c r="Z116" i="37"/>
  <c r="AB116" i="37" s="1"/>
  <c r="AA116" i="37"/>
  <c r="Z100" i="37"/>
  <c r="AB100" i="37" s="1"/>
  <c r="AA100" i="37"/>
  <c r="AA123" i="37"/>
  <c r="Z123" i="37"/>
  <c r="AB123" i="37" s="1"/>
  <c r="AA113" i="37"/>
  <c r="Z113" i="37"/>
  <c r="AB113" i="37" s="1"/>
  <c r="AA102" i="37"/>
  <c r="Z102" i="37"/>
  <c r="AB102" i="37" s="1"/>
  <c r="Z86" i="37"/>
  <c r="AB86" i="37" s="1"/>
  <c r="AA86" i="37"/>
  <c r="AC79" i="37"/>
  <c r="Z70" i="37"/>
  <c r="AB70" i="37" s="1"/>
  <c r="AA70" i="37"/>
  <c r="AC63" i="37"/>
  <c r="AA76" i="37"/>
  <c r="Z76" i="37"/>
  <c r="AB76" i="37" s="1"/>
  <c r="AC39" i="37"/>
  <c r="AA121" i="37"/>
  <c r="Z121" i="37"/>
  <c r="AB121" i="37" s="1"/>
  <c r="AA110" i="37"/>
  <c r="Z110" i="37"/>
  <c r="AB110" i="37" s="1"/>
  <c r="AA99" i="37"/>
  <c r="Z99" i="37"/>
  <c r="AB99" i="37" s="1"/>
  <c r="AC91" i="37"/>
  <c r="AC67" i="37"/>
  <c r="Z61" i="37"/>
  <c r="AB61" i="37" s="1"/>
  <c r="AA61" i="37"/>
  <c r="Z141" i="37"/>
  <c r="AB141" i="37" s="1"/>
  <c r="AA141" i="37"/>
  <c r="AA122" i="37"/>
  <c r="Z122" i="37"/>
  <c r="AB122" i="37" s="1"/>
  <c r="AA111" i="37"/>
  <c r="Z111" i="37"/>
  <c r="AB111" i="37" s="1"/>
  <c r="AA101" i="37"/>
  <c r="Z101" i="37"/>
  <c r="AB101" i="37" s="1"/>
  <c r="AA88" i="37"/>
  <c r="Z88" i="37"/>
  <c r="AB88" i="37" s="1"/>
  <c r="AA72" i="37"/>
  <c r="Z72" i="37"/>
  <c r="AB72" i="37" s="1"/>
  <c r="AA55" i="37"/>
  <c r="Z55" i="37"/>
  <c r="AB55" i="37" s="1"/>
  <c r="AA51" i="37"/>
  <c r="Z51" i="37"/>
  <c r="AB51" i="37" s="1"/>
  <c r="Z44" i="37"/>
  <c r="AB44" i="37" s="1"/>
  <c r="AA44" i="37"/>
  <c r="AA41" i="37"/>
  <c r="Z41" i="37"/>
  <c r="AB41" i="37" s="1"/>
  <c r="AC251" i="37"/>
  <c r="AA338" i="37"/>
  <c r="Z338" i="37"/>
  <c r="AB338" i="37" s="1"/>
  <c r="AC316" i="37"/>
  <c r="AC255" i="37"/>
  <c r="AC246" i="37"/>
  <c r="AA318" i="37"/>
  <c r="Z318" i="37"/>
  <c r="AB318" i="37" s="1"/>
  <c r="AA252" i="37"/>
  <c r="Z252" i="37"/>
  <c r="AB252" i="37" s="1"/>
  <c r="Z310" i="37"/>
  <c r="AB310" i="37" s="1"/>
  <c r="AA310" i="37"/>
  <c r="AC257" i="37"/>
  <c r="Z235" i="37"/>
  <c r="AB235" i="37" s="1"/>
  <c r="AA235" i="37"/>
  <c r="Z227" i="37"/>
  <c r="AB227" i="37" s="1"/>
  <c r="AA227" i="37"/>
  <c r="Z219" i="37"/>
  <c r="AB219" i="37" s="1"/>
  <c r="AA219" i="37"/>
  <c r="AA319" i="37"/>
  <c r="Z319" i="37"/>
  <c r="AB319" i="37" s="1"/>
  <c r="AA247" i="37"/>
  <c r="Z247" i="37"/>
  <c r="AB247" i="37" s="1"/>
  <c r="AA178" i="37"/>
  <c r="Z178" i="37"/>
  <c r="AB178" i="37" s="1"/>
  <c r="AC175" i="37"/>
  <c r="AA166" i="37"/>
  <c r="Z166" i="37"/>
  <c r="AB166" i="37" s="1"/>
  <c r="AA320" i="37"/>
  <c r="Z320" i="37"/>
  <c r="AB320" i="37" s="1"/>
  <c r="Z229" i="37"/>
  <c r="AB229" i="37" s="1"/>
  <c r="AA229" i="37"/>
  <c r="Z213" i="37"/>
  <c r="AB213" i="37" s="1"/>
  <c r="AA213" i="37"/>
  <c r="Z200" i="37"/>
  <c r="AB200" i="37" s="1"/>
  <c r="AA200" i="37"/>
  <c r="Z298" i="37"/>
  <c r="AB298" i="37" s="1"/>
  <c r="AA298" i="37"/>
  <c r="Z230" i="37"/>
  <c r="AB230" i="37" s="1"/>
  <c r="AA230" i="37"/>
  <c r="Z214" i="37"/>
  <c r="AB214" i="37" s="1"/>
  <c r="AA214" i="37"/>
  <c r="AC301" i="37"/>
  <c r="AA169" i="37"/>
  <c r="Z169" i="37"/>
  <c r="AB169" i="37" s="1"/>
  <c r="AC180" i="37"/>
  <c r="AA164" i="37"/>
  <c r="Z164" i="37"/>
  <c r="AB164" i="37" s="1"/>
  <c r="Z211" i="37"/>
  <c r="AB211" i="37" s="1"/>
  <c r="AA211" i="37"/>
  <c r="Z192" i="37"/>
  <c r="AB192" i="37" s="1"/>
  <c r="AA192" i="37"/>
  <c r="AA153" i="37"/>
  <c r="Z153" i="37"/>
  <c r="AB153" i="37" s="1"/>
  <c r="AA149" i="37"/>
  <c r="Z149" i="37"/>
  <c r="AB149" i="37" s="1"/>
  <c r="AA145" i="37"/>
  <c r="Z145" i="37"/>
  <c r="AB145" i="37" s="1"/>
  <c r="AA137" i="37"/>
  <c r="Z137" i="37"/>
  <c r="AB137" i="37" s="1"/>
  <c r="AA133" i="37"/>
  <c r="Z133" i="37"/>
  <c r="AB133" i="37" s="1"/>
  <c r="AA129" i="37"/>
  <c r="Z129" i="37"/>
  <c r="AB129" i="37" s="1"/>
  <c r="AA125" i="37"/>
  <c r="Z125" i="37"/>
  <c r="AB125" i="37" s="1"/>
  <c r="Z112" i="37"/>
  <c r="AB112" i="37" s="1"/>
  <c r="AA112" i="37"/>
  <c r="Z96" i="37"/>
  <c r="AB96" i="37" s="1"/>
  <c r="AA96" i="37"/>
  <c r="Z81" i="37"/>
  <c r="AB81" i="37" s="1"/>
  <c r="AA81" i="37"/>
  <c r="Z65" i="37"/>
  <c r="AB65" i="37" s="1"/>
  <c r="AA65" i="37"/>
  <c r="Z139" i="37"/>
  <c r="AB139" i="37" s="1"/>
  <c r="AA139" i="37"/>
  <c r="AA114" i="37"/>
  <c r="Z114" i="37"/>
  <c r="AB114" i="37" s="1"/>
  <c r="AA103" i="37"/>
  <c r="Z103" i="37"/>
  <c r="AB103" i="37" s="1"/>
  <c r="AB94" i="37"/>
  <c r="AA94" i="37"/>
  <c r="Z94" i="37"/>
  <c r="AA84" i="37"/>
  <c r="Z84" i="37"/>
  <c r="AB84" i="37" s="1"/>
  <c r="Z93" i="37"/>
  <c r="AB93" i="37" s="1"/>
  <c r="AA93" i="37"/>
  <c r="AC75" i="37"/>
  <c r="Z69" i="37"/>
  <c r="AB69" i="37" s="1"/>
  <c r="AA69" i="37"/>
  <c r="AA54" i="37"/>
  <c r="Z54" i="37"/>
  <c r="AB54" i="37" s="1"/>
  <c r="AA50" i="37"/>
  <c r="Z50" i="37"/>
  <c r="AB50" i="37" s="1"/>
  <c r="AC340" i="37"/>
  <c r="AA312" i="37"/>
  <c r="Z312" i="37"/>
  <c r="AB312" i="37" s="1"/>
  <c r="AC322" i="37"/>
  <c r="AC295" i="37"/>
  <c r="AA239" i="37"/>
  <c r="Z239" i="37"/>
  <c r="AB239" i="37" s="1"/>
  <c r="Z302" i="37"/>
  <c r="AB302" i="37" s="1"/>
  <c r="AA302" i="37"/>
  <c r="AA256" i="37"/>
  <c r="Z256" i="37"/>
  <c r="AB256" i="37" s="1"/>
  <c r="AC194" i="37"/>
  <c r="AC186" i="37"/>
  <c r="AA334" i="37"/>
  <c r="Z334" i="37"/>
  <c r="AB334" i="37" s="1"/>
  <c r="Z308" i="37"/>
  <c r="AB308" i="37" s="1"/>
  <c r="AA308" i="37"/>
  <c r="AC241" i="37"/>
  <c r="Z232" i="37"/>
  <c r="AB232" i="37" s="1"/>
  <c r="AA232" i="37"/>
  <c r="Z224" i="37"/>
  <c r="AB224" i="37" s="1"/>
  <c r="AA224" i="37"/>
  <c r="Z216" i="37"/>
  <c r="AB216" i="37" s="1"/>
  <c r="AA216" i="37"/>
  <c r="Z234" i="37"/>
  <c r="AB234" i="37" s="1"/>
  <c r="AA234" i="37"/>
  <c r="Z218" i="37"/>
  <c r="AB218" i="37" s="1"/>
  <c r="AA218" i="37"/>
  <c r="AA177" i="37"/>
  <c r="Z177" i="37"/>
  <c r="AB177" i="37" s="1"/>
  <c r="AC171" i="37"/>
  <c r="AA162" i="37"/>
  <c r="Z162" i="37"/>
  <c r="AB162" i="37" s="1"/>
  <c r="AA238" i="37"/>
  <c r="Z238" i="37"/>
  <c r="AB238" i="37" s="1"/>
  <c r="AB208" i="37"/>
  <c r="AA208" i="37"/>
  <c r="Z208" i="37"/>
  <c r="AA202" i="37"/>
  <c r="Z202" i="37"/>
  <c r="AB202" i="37" s="1"/>
  <c r="AC199" i="37"/>
  <c r="AC321" i="37"/>
  <c r="Z225" i="37"/>
  <c r="AB225" i="37" s="1"/>
  <c r="AA225" i="37"/>
  <c r="Z212" i="37"/>
  <c r="AB212" i="37" s="1"/>
  <c r="AA212" i="37"/>
  <c r="Z191" i="37"/>
  <c r="AB191" i="37" s="1"/>
  <c r="AA191" i="37"/>
  <c r="AA161" i="37"/>
  <c r="Z161" i="37"/>
  <c r="AB161" i="37" s="1"/>
  <c r="AA176" i="37"/>
  <c r="Z176" i="37"/>
  <c r="AB176" i="37" s="1"/>
  <c r="AA159" i="37"/>
  <c r="Z159" i="37"/>
  <c r="AB159" i="37" s="1"/>
  <c r="AA210" i="37"/>
  <c r="Z210" i="37"/>
  <c r="AB210" i="37" s="1"/>
  <c r="AC155" i="37"/>
  <c r="AA152" i="37"/>
  <c r="Z152" i="37"/>
  <c r="AB152" i="37" s="1"/>
  <c r="AA148" i="37"/>
  <c r="Z148" i="37"/>
  <c r="AB148" i="37" s="1"/>
  <c r="AA144" i="37"/>
  <c r="Z144" i="37"/>
  <c r="AB144" i="37" s="1"/>
  <c r="AA136" i="37"/>
  <c r="Z136" i="37"/>
  <c r="AB136" i="37" s="1"/>
  <c r="AA132" i="37"/>
  <c r="Z132" i="37"/>
  <c r="AB132" i="37" s="1"/>
  <c r="AA128" i="37"/>
  <c r="Z128" i="37"/>
  <c r="AB128" i="37" s="1"/>
  <c r="AA124" i="37"/>
  <c r="Z124" i="37"/>
  <c r="AB124" i="37" s="1"/>
  <c r="Z108" i="37"/>
  <c r="AB108" i="37" s="1"/>
  <c r="AA108" i="37"/>
  <c r="AA118" i="37"/>
  <c r="Z118" i="37"/>
  <c r="AB118" i="37" s="1"/>
  <c r="AA107" i="37"/>
  <c r="Z107" i="37"/>
  <c r="AB107" i="37" s="1"/>
  <c r="AA97" i="37"/>
  <c r="Z97" i="37"/>
  <c r="AB97" i="37" s="1"/>
  <c r="AC87" i="37"/>
  <c r="Z78" i="37"/>
  <c r="AB78" i="37" s="1"/>
  <c r="AA78" i="37"/>
  <c r="AC71" i="37"/>
  <c r="Z62" i="37"/>
  <c r="AB62" i="37" s="1"/>
  <c r="AA62" i="37"/>
  <c r="AB142" i="37"/>
  <c r="AA142" i="37"/>
  <c r="Z142" i="37"/>
  <c r="AA60" i="37"/>
  <c r="Z60" i="37"/>
  <c r="AB60" i="37" s="1"/>
  <c r="AA115" i="37"/>
  <c r="Z115" i="37"/>
  <c r="AB115" i="37" s="1"/>
  <c r="AA105" i="37"/>
  <c r="Z105" i="37"/>
  <c r="AB105" i="37" s="1"/>
  <c r="Z90" i="37"/>
  <c r="AB90" i="37" s="1"/>
  <c r="AA90" i="37"/>
  <c r="AC83" i="37"/>
  <c r="Z77" i="37"/>
  <c r="AB77" i="37" s="1"/>
  <c r="AA77" i="37"/>
  <c r="AB140" i="37"/>
  <c r="AA140" i="37"/>
  <c r="Z140" i="37"/>
  <c r="AA117" i="37"/>
  <c r="Z117" i="37"/>
  <c r="AB117" i="37" s="1"/>
  <c r="AA106" i="37"/>
  <c r="Z106" i="37"/>
  <c r="AB106" i="37" s="1"/>
  <c r="AA95" i="37"/>
  <c r="Z95" i="37"/>
  <c r="AB95" i="37" s="1"/>
  <c r="AA80" i="37"/>
  <c r="Z80" i="37"/>
  <c r="AB80" i="37" s="1"/>
  <c r="AA64" i="37"/>
  <c r="Z64" i="37"/>
  <c r="AB64" i="37" s="1"/>
  <c r="AA53" i="37"/>
  <c r="Z53" i="37"/>
  <c r="AB53" i="37" s="1"/>
  <c r="AA49" i="37"/>
  <c r="Z49" i="37"/>
  <c r="AB49" i="37" s="1"/>
  <c r="O344" i="37"/>
  <c r="T30" i="37"/>
  <c r="U30" i="37"/>
  <c r="AA47" i="37"/>
  <c r="Z47" i="37"/>
  <c r="AB47" i="37" s="1"/>
  <c r="Z36" i="37"/>
  <c r="AB36" i="37" s="1"/>
  <c r="AA36" i="37"/>
  <c r="AA34" i="37"/>
  <c r="Z34" i="37"/>
  <c r="AB34" i="37" s="1"/>
  <c r="Z37" i="37"/>
  <c r="AB37" i="37" s="1"/>
  <c r="AA37" i="37"/>
  <c r="AA35" i="37"/>
  <c r="Z35" i="37"/>
  <c r="AB35" i="37" s="1"/>
  <c r="AA46" i="37"/>
  <c r="Z46" i="37"/>
  <c r="AB46" i="37" s="1"/>
  <c r="AC323" i="37" l="1"/>
  <c r="AG323" i="37"/>
  <c r="J9" i="33"/>
  <c r="X164" i="32" s="1"/>
  <c r="P20" i="43" s="1"/>
  <c r="AC297" i="37"/>
  <c r="AC38" i="37"/>
  <c r="AC32" i="37"/>
  <c r="AC60" i="37"/>
  <c r="AC132" i="37"/>
  <c r="AC96" i="37"/>
  <c r="AC192" i="37"/>
  <c r="AC215" i="37"/>
  <c r="AC311" i="37"/>
  <c r="AC104" i="37"/>
  <c r="AC151" i="37"/>
  <c r="AC140" i="37"/>
  <c r="AC218" i="37"/>
  <c r="AC312" i="37"/>
  <c r="AC69" i="37"/>
  <c r="AC93" i="37"/>
  <c r="AC149" i="37"/>
  <c r="AC338" i="37"/>
  <c r="AC113" i="37"/>
  <c r="AC146" i="37"/>
  <c r="AC188" i="37"/>
  <c r="AC118" i="37"/>
  <c r="AC103" i="37"/>
  <c r="AC99" i="37"/>
  <c r="AC244" i="37"/>
  <c r="AC58" i="37"/>
  <c r="AC173" i="37"/>
  <c r="AC152" i="37"/>
  <c r="AC210" i="37"/>
  <c r="AC232" i="37"/>
  <c r="AC308" i="37"/>
  <c r="AC334" i="37"/>
  <c r="AC54" i="37"/>
  <c r="AC129" i="37"/>
  <c r="AC298" i="37"/>
  <c r="AC227" i="37"/>
  <c r="AC126" i="37"/>
  <c r="AC226" i="37"/>
  <c r="AC240" i="37"/>
  <c r="AC174" i="37"/>
  <c r="AC294" i="37"/>
  <c r="AC36" i="37"/>
  <c r="AC80" i="37"/>
  <c r="AC77" i="37"/>
  <c r="AC90" i="37"/>
  <c r="AC108" i="37"/>
  <c r="AC166" i="37"/>
  <c r="AC178" i="37"/>
  <c r="AC88" i="37"/>
  <c r="AC61" i="37"/>
  <c r="AC207" i="37"/>
  <c r="AC315" i="37"/>
  <c r="AC48" i="37"/>
  <c r="AC109" i="37"/>
  <c r="AC131" i="37"/>
  <c r="AC184" i="37"/>
  <c r="AC342" i="37"/>
  <c r="AC46" i="37"/>
  <c r="AC53" i="37"/>
  <c r="AC105" i="37"/>
  <c r="AC97" i="37"/>
  <c r="AC92" i="37"/>
  <c r="AC143" i="37"/>
  <c r="AC249" i="37"/>
  <c r="AC37" i="37"/>
  <c r="AC34" i="37"/>
  <c r="U344" i="37"/>
  <c r="AA30" i="37"/>
  <c r="Z30" i="37"/>
  <c r="Z344" i="37" s="1"/>
  <c r="AC49" i="37"/>
  <c r="AC95" i="37"/>
  <c r="AC142" i="37"/>
  <c r="AC136" i="37"/>
  <c r="AC176" i="37"/>
  <c r="AC161" i="37"/>
  <c r="AC225" i="37"/>
  <c r="AC224" i="37"/>
  <c r="AC256" i="37"/>
  <c r="AC114" i="37"/>
  <c r="AC81" i="37"/>
  <c r="AC133" i="37"/>
  <c r="AC153" i="37"/>
  <c r="AC230" i="37"/>
  <c r="AC229" i="37"/>
  <c r="AC320" i="37"/>
  <c r="AC219" i="37"/>
  <c r="AC44" i="37"/>
  <c r="AC51" i="37"/>
  <c r="AC101" i="37"/>
  <c r="AC141" i="37"/>
  <c r="AC110" i="37"/>
  <c r="AC123" i="37"/>
  <c r="AC130" i="37"/>
  <c r="AC150" i="37"/>
  <c r="AC196" i="37"/>
  <c r="AC228" i="37"/>
  <c r="AC236" i="37"/>
  <c r="AC339" i="37"/>
  <c r="AC52" i="37"/>
  <c r="AC68" i="37"/>
  <c r="AC119" i="37"/>
  <c r="AC89" i="37"/>
  <c r="AC135" i="37"/>
  <c r="AC165" i="37"/>
  <c r="AC181" i="37"/>
  <c r="AC300" i="37"/>
  <c r="AC106" i="37"/>
  <c r="AC124" i="37"/>
  <c r="AC202" i="37"/>
  <c r="AC84" i="37"/>
  <c r="AC111" i="37"/>
  <c r="AC121" i="37"/>
  <c r="AC154" i="37"/>
  <c r="AC258" i="37"/>
  <c r="AC56" i="37"/>
  <c r="AC57" i="37"/>
  <c r="T344" i="37"/>
  <c r="AC159" i="37"/>
  <c r="AC212" i="37"/>
  <c r="AC162" i="37"/>
  <c r="AC177" i="37"/>
  <c r="AC216" i="37"/>
  <c r="AC65" i="37"/>
  <c r="AC214" i="37"/>
  <c r="AC213" i="37"/>
  <c r="AC319" i="37"/>
  <c r="AC318" i="37"/>
  <c r="AC116" i="37"/>
  <c r="AC168" i="37"/>
  <c r="AC233" i="37"/>
  <c r="AC306" i="37"/>
  <c r="AC220" i="37"/>
  <c r="AC85" i="37"/>
  <c r="AC73" i="37"/>
  <c r="AC172" i="37"/>
  <c r="AC304" i="37"/>
  <c r="AC335" i="37"/>
  <c r="AC231" i="37"/>
  <c r="AC144" i="37"/>
  <c r="AC137" i="37"/>
  <c r="AC55" i="37"/>
  <c r="AC76" i="37"/>
  <c r="AC134" i="37"/>
  <c r="AC35" i="37"/>
  <c r="AC47" i="37"/>
  <c r="AC64" i="37"/>
  <c r="AC117" i="37"/>
  <c r="AC115" i="37"/>
  <c r="AC62" i="37"/>
  <c r="AC78" i="37"/>
  <c r="AC107" i="37"/>
  <c r="AC128" i="37"/>
  <c r="AC148" i="37"/>
  <c r="AC191" i="37"/>
  <c r="AC208" i="37"/>
  <c r="AC238" i="37"/>
  <c r="AC234" i="37"/>
  <c r="AC302" i="37"/>
  <c r="AC239" i="37"/>
  <c r="AC50" i="37"/>
  <c r="AC94" i="37"/>
  <c r="AC139" i="37"/>
  <c r="AC112" i="37"/>
  <c r="AC125" i="37"/>
  <c r="AC145" i="37"/>
  <c r="AC211" i="37"/>
  <c r="AC164" i="37"/>
  <c r="AC169" i="37"/>
  <c r="AC200" i="37"/>
  <c r="AC247" i="37"/>
  <c r="AC235" i="37"/>
  <c r="AC310" i="37"/>
  <c r="AC252" i="37"/>
  <c r="AC41" i="37"/>
  <c r="AC72" i="37"/>
  <c r="AC122" i="37"/>
  <c r="AC70" i="37"/>
  <c r="AC86" i="37"/>
  <c r="AC102" i="37"/>
  <c r="AC100" i="37"/>
  <c r="AC138" i="37"/>
  <c r="AC217" i="37"/>
  <c r="AC242" i="37"/>
  <c r="AC170" i="37"/>
  <c r="AC40" i="37"/>
  <c r="AC98" i="37"/>
  <c r="AC120" i="37"/>
  <c r="AC127" i="37"/>
  <c r="AC147" i="37"/>
  <c r="AC158" i="37"/>
  <c r="AC222" i="37"/>
  <c r="AC243" i="37"/>
  <c r="AC292" i="37"/>
  <c r="AC221" i="37"/>
  <c r="AC253" i="37"/>
  <c r="AC223" i="37"/>
  <c r="AA344" i="37" l="1"/>
  <c r="AA346" i="37" s="1"/>
  <c r="AB30" i="37"/>
  <c r="AC30" i="37" s="1"/>
  <c r="D16" i="16"/>
  <c r="G25" i="16"/>
  <c r="O23" i="16"/>
  <c r="C17" i="16"/>
  <c r="D23" i="15"/>
  <c r="D22" i="15"/>
  <c r="D21" i="15"/>
  <c r="D15" i="15"/>
  <c r="D24" i="15"/>
  <c r="G33" i="15"/>
  <c r="D35" i="15"/>
  <c r="G32" i="15"/>
  <c r="G31" i="15"/>
  <c r="G30" i="15"/>
  <c r="C25" i="15"/>
  <c r="D18" i="37" l="1"/>
  <c r="D15" i="37"/>
  <c r="D20" i="37"/>
  <c r="D21" i="37"/>
  <c r="D16" i="37"/>
  <c r="D17" i="37"/>
  <c r="AC344" i="37"/>
  <c r="AC346" i="37" s="1"/>
  <c r="AF30" i="37"/>
  <c r="AB344" i="37"/>
  <c r="AB346" i="37" s="1"/>
  <c r="D19" i="37"/>
  <c r="D22" i="37"/>
  <c r="C18" i="16"/>
  <c r="C26" i="15"/>
  <c r="E47" i="14"/>
  <c r="D47" i="14"/>
  <c r="D64" i="14"/>
  <c r="E45" i="14" s="1"/>
  <c r="D45" i="14" s="1"/>
  <c r="D49" i="14" s="1"/>
  <c r="G46" i="14"/>
  <c r="G44" i="14"/>
  <c r="G43" i="14"/>
  <c r="C38" i="14"/>
  <c r="G47" i="14" l="1"/>
  <c r="C24" i="37"/>
  <c r="G45" i="14"/>
  <c r="D4" i="13"/>
  <c r="C5" i="13"/>
  <c r="L64" i="12"/>
  <c r="L63" i="12"/>
  <c r="L62" i="12"/>
  <c r="N62" i="12" s="1"/>
  <c r="L61" i="12"/>
  <c r="L60" i="12"/>
  <c r="L59" i="12"/>
  <c r="L58" i="12"/>
  <c r="L57" i="12"/>
  <c r="N57" i="12" s="1"/>
  <c r="L56" i="12"/>
  <c r="L55" i="12"/>
  <c r="N55" i="12" s="1"/>
  <c r="L54" i="12"/>
  <c r="L53" i="12"/>
  <c r="N53" i="12" s="1"/>
  <c r="L52" i="12"/>
  <c r="L51" i="12"/>
  <c r="L50" i="12"/>
  <c r="L49" i="12"/>
  <c r="L48" i="12"/>
  <c r="L47" i="12"/>
  <c r="N47" i="12" s="1"/>
  <c r="L46" i="12"/>
  <c r="O64" i="12"/>
  <c r="K62" i="12"/>
  <c r="K57" i="12"/>
  <c r="K55" i="12"/>
  <c r="K53" i="12"/>
  <c r="K47" i="12"/>
  <c r="N64" i="12"/>
  <c r="K64" i="12"/>
  <c r="D35" i="14" l="1"/>
  <c r="C39" i="14"/>
  <c r="D37" i="14"/>
  <c r="D36" i="14"/>
  <c r="D3" i="13"/>
  <c r="D39" i="12"/>
  <c r="O62" i="12"/>
  <c r="O53" i="12"/>
  <c r="O57" i="12"/>
  <c r="M62" i="12"/>
  <c r="M57" i="12"/>
  <c r="M55" i="12"/>
  <c r="M53" i="12"/>
  <c r="O47" i="12"/>
  <c r="M47" i="12"/>
  <c r="M64" i="12"/>
  <c r="O55" i="12" l="1"/>
  <c r="D18" i="11" l="1"/>
  <c r="H17" i="13" l="1"/>
  <c r="R15" i="13"/>
  <c r="Q15" i="13"/>
  <c r="P15" i="13"/>
  <c r="O15" i="13"/>
  <c r="N15" i="13"/>
  <c r="M15" i="13"/>
  <c r="L15" i="13"/>
  <c r="K15" i="13"/>
  <c r="R14" i="13"/>
  <c r="Q14" i="13"/>
  <c r="P14" i="13"/>
  <c r="O14" i="13"/>
  <c r="N14" i="13"/>
  <c r="M14" i="13"/>
  <c r="L14" i="13"/>
  <c r="K14" i="13"/>
  <c r="R12" i="13"/>
  <c r="Q12" i="13"/>
  <c r="P12" i="13"/>
  <c r="O12" i="13"/>
  <c r="N12" i="13"/>
  <c r="M12" i="13"/>
  <c r="L12" i="13"/>
  <c r="K12" i="13"/>
  <c r="R11" i="13"/>
  <c r="Q11" i="13"/>
  <c r="P11" i="13"/>
  <c r="O11" i="13"/>
  <c r="N11" i="13"/>
  <c r="M11" i="13"/>
  <c r="L11" i="13"/>
  <c r="K11" i="13"/>
  <c r="R10" i="13"/>
  <c r="Q10" i="13"/>
  <c r="P10" i="13"/>
  <c r="P17" i="13" s="1"/>
  <c r="O10" i="13"/>
  <c r="N10" i="13"/>
  <c r="M10" i="13"/>
  <c r="L10" i="13"/>
  <c r="K10" i="13"/>
  <c r="C6" i="13"/>
  <c r="Q17" i="13" l="1"/>
  <c r="M17" i="13"/>
  <c r="L17" i="13"/>
  <c r="O17" i="13"/>
  <c r="K17" i="13"/>
  <c r="N17" i="13"/>
  <c r="K63" i="12"/>
  <c r="O63" i="12"/>
  <c r="K61" i="12"/>
  <c r="O61" i="12"/>
  <c r="O60" i="12"/>
  <c r="O59" i="12"/>
  <c r="K58" i="12"/>
  <c r="O58" i="12"/>
  <c r="N56" i="12"/>
  <c r="O56" i="12"/>
  <c r="O54" i="12"/>
  <c r="O52" i="12"/>
  <c r="K51" i="12"/>
  <c r="O51" i="12"/>
  <c r="N50" i="12"/>
  <c r="O50" i="12"/>
  <c r="O49" i="12"/>
  <c r="O48" i="12"/>
  <c r="K46" i="12"/>
  <c r="C40" i="12"/>
  <c r="U36" i="11"/>
  <c r="U35" i="11"/>
  <c r="U34" i="11"/>
  <c r="U33" i="11"/>
  <c r="U32" i="11"/>
  <c r="U31" i="11"/>
  <c r="U30" i="11"/>
  <c r="R36" i="11"/>
  <c r="R35" i="11"/>
  <c r="R34" i="11"/>
  <c r="R33" i="11"/>
  <c r="R32" i="11"/>
  <c r="R31" i="11"/>
  <c r="R30" i="11"/>
  <c r="D24" i="11"/>
  <c r="D23" i="11"/>
  <c r="D22" i="11"/>
  <c r="D21" i="11"/>
  <c r="D20" i="11"/>
  <c r="D19" i="11"/>
  <c r="K50" i="12" l="1"/>
  <c r="N51" i="12"/>
  <c r="N46" i="12"/>
  <c r="K56" i="12"/>
  <c r="M56" i="12" s="1"/>
  <c r="N58" i="12"/>
  <c r="N61" i="12"/>
  <c r="N63" i="12"/>
  <c r="G66" i="12"/>
  <c r="C41" i="12" s="1"/>
  <c r="N60" i="12"/>
  <c r="N49" i="12"/>
  <c r="N48" i="12"/>
  <c r="N52" i="12"/>
  <c r="N59" i="12"/>
  <c r="N54" i="12"/>
  <c r="K49" i="12"/>
  <c r="M49" i="12" s="1"/>
  <c r="K54" i="12"/>
  <c r="M54" i="12" s="1"/>
  <c r="M58" i="12"/>
  <c r="K60" i="12"/>
  <c r="M60" i="12" s="1"/>
  <c r="M63" i="12"/>
  <c r="K48" i="12"/>
  <c r="M48" i="12" s="1"/>
  <c r="M50" i="12"/>
  <c r="K52" i="12"/>
  <c r="M52" i="12" s="1"/>
  <c r="K59" i="12"/>
  <c r="M59" i="12" s="1"/>
  <c r="O46" i="12"/>
  <c r="M51" i="12" l="1"/>
  <c r="M61" i="12"/>
  <c r="M46" i="12"/>
  <c r="G38" i="11"/>
  <c r="F38" i="11"/>
  <c r="C25" i="11"/>
  <c r="C26" i="11" l="1"/>
  <c r="I183" i="5"/>
  <c r="O46" i="32"/>
  <c r="X46" i="32"/>
  <c r="X45" i="32" l="1"/>
  <c r="O45" i="32"/>
  <c r="X34" i="32"/>
  <c r="D72" i="43" l="1"/>
  <c r="Q34" i="44"/>
  <c r="Y45" i="32"/>
  <c r="Z39" i="44" l="1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2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X84" i="32" s="1"/>
  <c r="I36" i="44" s="1"/>
  <c r="I60" i="44" s="1"/>
  <c r="M96" i="5"/>
  <c r="M95" i="5"/>
  <c r="M94" i="5"/>
  <c r="M93" i="5"/>
  <c r="M92" i="5"/>
  <c r="M91" i="5"/>
  <c r="I171" i="5"/>
  <c r="I163" i="5"/>
  <c r="I28" i="5"/>
  <c r="I19" i="5"/>
  <c r="I11" i="5"/>
  <c r="I10" i="5"/>
  <c r="I9" i="5"/>
  <c r="I8" i="5"/>
  <c r="K195" i="5"/>
  <c r="L195" i="5"/>
  <c r="I52" i="5"/>
  <c r="M52" i="5" s="1"/>
  <c r="I80" i="43" l="1"/>
  <c r="I81" i="43" s="1"/>
  <c r="X152" i="32"/>
  <c r="X176" i="32" s="1"/>
  <c r="D222" i="43"/>
  <c r="M19" i="5"/>
  <c r="X79" i="32"/>
  <c r="D208" i="43" s="1"/>
  <c r="X78" i="32"/>
  <c r="D203" i="43" s="1"/>
  <c r="X85" i="32"/>
  <c r="M10" i="5"/>
  <c r="M9" i="5"/>
  <c r="M28" i="5"/>
  <c r="M8" i="5"/>
  <c r="M11" i="5"/>
  <c r="J195" i="5"/>
  <c r="L196" i="5"/>
  <c r="C79" i="43" l="1"/>
  <c r="C80" i="43" s="1"/>
  <c r="I83" i="43"/>
  <c r="X86" i="32"/>
  <c r="D224" i="43" s="1"/>
  <c r="D219" i="43"/>
  <c r="X179" i="32"/>
  <c r="D223" i="43"/>
  <c r="X80" i="32"/>
  <c r="D209" i="43" s="1"/>
  <c r="E77" i="17"/>
  <c r="F24" i="11"/>
  <c r="F23" i="11"/>
  <c r="F22" i="11"/>
  <c r="F21" i="11"/>
  <c r="Q28" i="28" l="1"/>
  <c r="E16" i="33" l="1"/>
  <c r="C16" i="33"/>
  <c r="R5" i="33"/>
  <c r="D6" i="33"/>
  <c r="F17" i="33"/>
  <c r="R32" i="33" l="1"/>
  <c r="J17" i="33"/>
  <c r="J16" i="33"/>
  <c r="J7" i="33"/>
  <c r="J6" i="33"/>
  <c r="J5" i="33"/>
  <c r="O164" i="32" s="1"/>
  <c r="P19" i="43" s="1"/>
  <c r="Q17" i="33" l="1"/>
  <c r="G182" i="28" l="1"/>
  <c r="G183" i="28" l="1"/>
  <c r="H40" i="30" l="1"/>
  <c r="C39" i="30"/>
  <c r="D37" i="30"/>
  <c r="D39" i="30" s="1"/>
  <c r="D16" i="30"/>
  <c r="D23" i="30"/>
  <c r="C17" i="30"/>
  <c r="C18" i="30" l="1"/>
  <c r="E39" i="30"/>
  <c r="H39" i="30" s="1"/>
  <c r="H41" i="30" s="1"/>
  <c r="E29" i="30" s="1"/>
  <c r="D4" i="30" l="1"/>
  <c r="D3" i="30"/>
  <c r="F11" i="30"/>
  <c r="D12" i="30"/>
  <c r="C5" i="30"/>
  <c r="M10" i="30"/>
  <c r="E10" i="30" s="1"/>
  <c r="F10" i="30" s="1"/>
  <c r="C6" i="30" l="1"/>
  <c r="D5" i="29" l="1"/>
  <c r="D4" i="29"/>
  <c r="D3" i="29"/>
  <c r="D15" i="29"/>
  <c r="G13" i="29"/>
  <c r="G12" i="29"/>
  <c r="G11" i="29"/>
  <c r="C6" i="29"/>
  <c r="C7" i="29" l="1"/>
  <c r="I102" i="5" l="1"/>
  <c r="I101" i="5"/>
  <c r="I100" i="5"/>
  <c r="I99" i="5"/>
  <c r="I98" i="5"/>
  <c r="I97" i="5"/>
  <c r="E20" i="29" s="1"/>
  <c r="I96" i="5"/>
  <c r="I95" i="5"/>
  <c r="I94" i="5"/>
  <c r="I93" i="5"/>
  <c r="I92" i="5"/>
  <c r="I91" i="5"/>
  <c r="E19" i="29" l="1"/>
  <c r="E21" i="29"/>
  <c r="O78" i="32"/>
  <c r="F203" i="43" s="1"/>
  <c r="O84" i="32"/>
  <c r="M175" i="28"/>
  <c r="J175" i="28"/>
  <c r="K175" i="28" s="1"/>
  <c r="L175" i="28" s="1"/>
  <c r="M174" i="28"/>
  <c r="J174" i="28"/>
  <c r="K174" i="28" s="1"/>
  <c r="L174" i="28" s="1"/>
  <c r="M173" i="28"/>
  <c r="J173" i="28"/>
  <c r="K173" i="28" s="1"/>
  <c r="L173" i="28" s="1"/>
  <c r="M172" i="28"/>
  <c r="J172" i="28"/>
  <c r="K172" i="28" s="1"/>
  <c r="L172" i="28" s="1"/>
  <c r="M171" i="28"/>
  <c r="J171" i="28"/>
  <c r="M170" i="28"/>
  <c r="J170" i="28"/>
  <c r="K170" i="28" s="1"/>
  <c r="L170" i="28" s="1"/>
  <c r="M169" i="28"/>
  <c r="J169" i="28"/>
  <c r="K169" i="28" s="1"/>
  <c r="L169" i="28" s="1"/>
  <c r="M168" i="28"/>
  <c r="J168" i="28"/>
  <c r="K168" i="28" s="1"/>
  <c r="L168" i="28" s="1"/>
  <c r="M167" i="28"/>
  <c r="J167" i="28"/>
  <c r="M166" i="28"/>
  <c r="J166" i="28"/>
  <c r="K166" i="28" s="1"/>
  <c r="M165" i="28"/>
  <c r="J165" i="28"/>
  <c r="K165" i="28" s="1"/>
  <c r="L165" i="28" s="1"/>
  <c r="H192" i="28"/>
  <c r="O152" i="32" l="1"/>
  <c r="O176" i="32" s="1"/>
  <c r="F222" i="43"/>
  <c r="N175" i="28"/>
  <c r="K167" i="28"/>
  <c r="L167" i="28" s="1"/>
  <c r="N172" i="28"/>
  <c r="N173" i="28"/>
  <c r="K171" i="28"/>
  <c r="L171" i="28" s="1"/>
  <c r="N174" i="28"/>
  <c r="N166" i="28"/>
  <c r="L166" i="28"/>
  <c r="N165" i="28"/>
  <c r="N168" i="28"/>
  <c r="N169" i="28"/>
  <c r="N170" i="28"/>
  <c r="H186" i="28"/>
  <c r="M186" i="28" s="1"/>
  <c r="M194" i="28"/>
  <c r="J194" i="28"/>
  <c r="K194" i="28" s="1"/>
  <c r="L194" i="28" s="1"/>
  <c r="M193" i="28"/>
  <c r="J193" i="28"/>
  <c r="K193" i="28" s="1"/>
  <c r="L193" i="28" s="1"/>
  <c r="H28" i="28"/>
  <c r="J26" i="28"/>
  <c r="K26" i="28" s="1"/>
  <c r="N26" i="28" s="1"/>
  <c r="J24" i="28"/>
  <c r="K24" i="28" s="1"/>
  <c r="N24" i="28" s="1"/>
  <c r="J23" i="28"/>
  <c r="K23" i="28" s="1"/>
  <c r="L23" i="28" s="1"/>
  <c r="H180" i="28"/>
  <c r="H179" i="28"/>
  <c r="H178" i="28"/>
  <c r="H177" i="28"/>
  <c r="Q180" i="28"/>
  <c r="Q179" i="28"/>
  <c r="Q178" i="28"/>
  <c r="Q177" i="28"/>
  <c r="H26" i="28"/>
  <c r="G26" i="28" s="1"/>
  <c r="M26" i="28" s="1"/>
  <c r="Q26" i="28"/>
  <c r="H24" i="28"/>
  <c r="G24" i="28" s="1"/>
  <c r="H23" i="28"/>
  <c r="C17" i="28"/>
  <c r="M195" i="28"/>
  <c r="J195" i="28"/>
  <c r="K195" i="28" s="1"/>
  <c r="L195" i="28" s="1"/>
  <c r="M192" i="28"/>
  <c r="J192" i="28"/>
  <c r="K192" i="28" s="1"/>
  <c r="L192" i="28" s="1"/>
  <c r="M191" i="28"/>
  <c r="J191" i="28"/>
  <c r="M190" i="28"/>
  <c r="J190" i="28"/>
  <c r="K190" i="28" s="1"/>
  <c r="L190" i="28" s="1"/>
  <c r="M188" i="28"/>
  <c r="J188" i="28"/>
  <c r="K188" i="28" s="1"/>
  <c r="L188" i="28" s="1"/>
  <c r="M187" i="28"/>
  <c r="J187" i="28"/>
  <c r="K187" i="28" s="1"/>
  <c r="L187" i="28" s="1"/>
  <c r="J186" i="28"/>
  <c r="K186" i="28" s="1"/>
  <c r="L186" i="28" s="1"/>
  <c r="M185" i="28"/>
  <c r="J185" i="28"/>
  <c r="M183" i="28"/>
  <c r="J183" i="28"/>
  <c r="M182" i="28"/>
  <c r="J182" i="28"/>
  <c r="P181" i="28"/>
  <c r="J180" i="28"/>
  <c r="K180" i="28" s="1"/>
  <c r="L180" i="28" s="1"/>
  <c r="J179" i="28"/>
  <c r="K179" i="28" s="1"/>
  <c r="L179" i="28" s="1"/>
  <c r="J178" i="28"/>
  <c r="J177" i="28"/>
  <c r="K177" i="28" s="1"/>
  <c r="L177" i="28" s="1"/>
  <c r="M163" i="28"/>
  <c r="J163" i="28"/>
  <c r="M162" i="28"/>
  <c r="J162" i="28"/>
  <c r="K162" i="28" s="1"/>
  <c r="L162" i="28" s="1"/>
  <c r="M161" i="28"/>
  <c r="J161" i="28"/>
  <c r="K161" i="28" s="1"/>
  <c r="L161" i="28" s="1"/>
  <c r="M160" i="28"/>
  <c r="J160" i="28"/>
  <c r="K160" i="28" s="1"/>
  <c r="L160" i="28" s="1"/>
  <c r="M159" i="28"/>
  <c r="J159" i="28"/>
  <c r="M158" i="28"/>
  <c r="J158" i="28"/>
  <c r="K158" i="28" s="1"/>
  <c r="L158" i="28" s="1"/>
  <c r="M157" i="28"/>
  <c r="J157" i="28"/>
  <c r="K157" i="28" s="1"/>
  <c r="L157" i="28" s="1"/>
  <c r="M156" i="28"/>
  <c r="J156" i="28"/>
  <c r="K156" i="28" s="1"/>
  <c r="L156" i="28" s="1"/>
  <c r="M155" i="28"/>
  <c r="J155" i="28"/>
  <c r="M154" i="28"/>
  <c r="J154" i="28"/>
  <c r="K154" i="28" s="1"/>
  <c r="L154" i="28" s="1"/>
  <c r="M153" i="28"/>
  <c r="J153" i="28"/>
  <c r="K153" i="28" s="1"/>
  <c r="L153" i="28" s="1"/>
  <c r="M152" i="28"/>
  <c r="J152" i="28"/>
  <c r="K152" i="28" s="1"/>
  <c r="L152" i="28" s="1"/>
  <c r="M151" i="28"/>
  <c r="J151" i="28"/>
  <c r="M150" i="28"/>
  <c r="J150" i="28"/>
  <c r="M149" i="28"/>
  <c r="J149" i="28"/>
  <c r="K149" i="28" s="1"/>
  <c r="L149" i="28" s="1"/>
  <c r="M148" i="28"/>
  <c r="J148" i="28"/>
  <c r="K148" i="28" s="1"/>
  <c r="L148" i="28" s="1"/>
  <c r="M147" i="28"/>
  <c r="J147" i="28"/>
  <c r="M146" i="28"/>
  <c r="J146" i="28"/>
  <c r="M145" i="28"/>
  <c r="J145" i="28"/>
  <c r="K145" i="28" s="1"/>
  <c r="L145" i="28" s="1"/>
  <c r="M144" i="28"/>
  <c r="J144" i="28"/>
  <c r="K144" i="28" s="1"/>
  <c r="M143" i="28"/>
  <c r="J143" i="28"/>
  <c r="K143" i="28" s="1"/>
  <c r="L143" i="28" s="1"/>
  <c r="M142" i="28"/>
  <c r="J142" i="28"/>
  <c r="K142" i="28" s="1"/>
  <c r="L142" i="28" s="1"/>
  <c r="M141" i="28"/>
  <c r="J141" i="28"/>
  <c r="M140" i="28"/>
  <c r="J140" i="28"/>
  <c r="M139" i="28"/>
  <c r="J139" i="28"/>
  <c r="K139" i="28" s="1"/>
  <c r="L139" i="28" s="1"/>
  <c r="M138" i="28"/>
  <c r="J138" i="28"/>
  <c r="M137" i="28"/>
  <c r="J137" i="28"/>
  <c r="K137" i="28" s="1"/>
  <c r="L137" i="28" s="1"/>
  <c r="M136" i="28"/>
  <c r="J136" i="28"/>
  <c r="K136" i="28" s="1"/>
  <c r="L136" i="28" s="1"/>
  <c r="M135" i="28"/>
  <c r="J135" i="28"/>
  <c r="K135" i="28" s="1"/>
  <c r="L135" i="28" s="1"/>
  <c r="M134" i="28"/>
  <c r="J134" i="28"/>
  <c r="M133" i="28"/>
  <c r="J133" i="28"/>
  <c r="K133" i="28" s="1"/>
  <c r="L133" i="28" s="1"/>
  <c r="M132" i="28"/>
  <c r="J132" i="28"/>
  <c r="K132" i="28" s="1"/>
  <c r="L132" i="28" s="1"/>
  <c r="M131" i="28"/>
  <c r="J131" i="28"/>
  <c r="M130" i="28"/>
  <c r="J130" i="28"/>
  <c r="M129" i="28"/>
  <c r="J129" i="28"/>
  <c r="K129" i="28" s="1"/>
  <c r="L129" i="28" s="1"/>
  <c r="M128" i="28"/>
  <c r="J128" i="28"/>
  <c r="K128" i="28" s="1"/>
  <c r="M127" i="28"/>
  <c r="J127" i="28"/>
  <c r="K127" i="28" s="1"/>
  <c r="L127" i="28" s="1"/>
  <c r="M126" i="28"/>
  <c r="J126" i="28"/>
  <c r="K126" i="28" s="1"/>
  <c r="L126" i="28" s="1"/>
  <c r="M125" i="28"/>
  <c r="J125" i="28"/>
  <c r="K125" i="28" s="1"/>
  <c r="L125" i="28" s="1"/>
  <c r="M124" i="28"/>
  <c r="J124" i="28"/>
  <c r="K124" i="28" s="1"/>
  <c r="L124" i="28" s="1"/>
  <c r="M123" i="28"/>
  <c r="J123" i="28"/>
  <c r="K123" i="28" s="1"/>
  <c r="L123" i="28" s="1"/>
  <c r="M122" i="28"/>
  <c r="J122" i="28"/>
  <c r="K122" i="28" s="1"/>
  <c r="L122" i="28" s="1"/>
  <c r="M121" i="28"/>
  <c r="J121" i="28"/>
  <c r="K121" i="28" s="1"/>
  <c r="L121" i="28" s="1"/>
  <c r="M120" i="28"/>
  <c r="J120" i="28"/>
  <c r="K120" i="28" s="1"/>
  <c r="L120" i="28" s="1"/>
  <c r="M119" i="28"/>
  <c r="J119" i="28"/>
  <c r="K119" i="28" s="1"/>
  <c r="L119" i="28" s="1"/>
  <c r="M118" i="28"/>
  <c r="J118" i="28"/>
  <c r="K118" i="28" s="1"/>
  <c r="L118" i="28" s="1"/>
  <c r="M117" i="28"/>
  <c r="J117" i="28"/>
  <c r="M116" i="28"/>
  <c r="J116" i="28"/>
  <c r="K116" i="28" s="1"/>
  <c r="L116" i="28" s="1"/>
  <c r="M115" i="28"/>
  <c r="J115" i="28"/>
  <c r="K115" i="28" s="1"/>
  <c r="L115" i="28" s="1"/>
  <c r="M114" i="28"/>
  <c r="J114" i="28"/>
  <c r="K114" i="28" s="1"/>
  <c r="L114" i="28" s="1"/>
  <c r="M113" i="28"/>
  <c r="J113" i="28"/>
  <c r="K113" i="28" s="1"/>
  <c r="L113" i="28" s="1"/>
  <c r="M112" i="28"/>
  <c r="J112" i="28"/>
  <c r="K112" i="28" s="1"/>
  <c r="M111" i="28"/>
  <c r="J111" i="28"/>
  <c r="K111" i="28" s="1"/>
  <c r="L111" i="28" s="1"/>
  <c r="M110" i="28"/>
  <c r="J110" i="28"/>
  <c r="K110" i="28" s="1"/>
  <c r="L110" i="28" s="1"/>
  <c r="M109" i="28"/>
  <c r="J109" i="28"/>
  <c r="K109" i="28" s="1"/>
  <c r="L109" i="28" s="1"/>
  <c r="M108" i="28"/>
  <c r="J108" i="28"/>
  <c r="K108" i="28" s="1"/>
  <c r="L108" i="28" s="1"/>
  <c r="M107" i="28"/>
  <c r="J107" i="28"/>
  <c r="K107" i="28" s="1"/>
  <c r="L107" i="28" s="1"/>
  <c r="M106" i="28"/>
  <c r="J106" i="28"/>
  <c r="K106" i="28" s="1"/>
  <c r="L106" i="28" s="1"/>
  <c r="M105" i="28"/>
  <c r="J105" i="28"/>
  <c r="K105" i="28" s="1"/>
  <c r="L105" i="28" s="1"/>
  <c r="M104" i="28"/>
  <c r="J104" i="28"/>
  <c r="K104" i="28" s="1"/>
  <c r="L104" i="28" s="1"/>
  <c r="M103" i="28"/>
  <c r="J103" i="28"/>
  <c r="K103" i="28" s="1"/>
  <c r="L103" i="28" s="1"/>
  <c r="M102" i="28"/>
  <c r="J102" i="28"/>
  <c r="K102" i="28" s="1"/>
  <c r="L102" i="28" s="1"/>
  <c r="M101" i="28"/>
  <c r="J101" i="28"/>
  <c r="M100" i="28"/>
  <c r="J100" i="28"/>
  <c r="K100" i="28" s="1"/>
  <c r="L100" i="28" s="1"/>
  <c r="M99" i="28"/>
  <c r="J99" i="28"/>
  <c r="K99" i="28" s="1"/>
  <c r="L99" i="28" s="1"/>
  <c r="M98" i="28"/>
  <c r="J98" i="28"/>
  <c r="K98" i="28" s="1"/>
  <c r="L98" i="28" s="1"/>
  <c r="M97" i="28"/>
  <c r="J97" i="28"/>
  <c r="K97" i="28" s="1"/>
  <c r="L97" i="28" s="1"/>
  <c r="M96" i="28"/>
  <c r="J96" i="28"/>
  <c r="K96" i="28" s="1"/>
  <c r="M95" i="28"/>
  <c r="J95" i="28"/>
  <c r="K95" i="28" s="1"/>
  <c r="L95" i="28" s="1"/>
  <c r="M94" i="28"/>
  <c r="J94" i="28"/>
  <c r="K94" i="28" s="1"/>
  <c r="L94" i="28" s="1"/>
  <c r="M93" i="28"/>
  <c r="J93" i="28"/>
  <c r="K93" i="28" s="1"/>
  <c r="L93" i="28" s="1"/>
  <c r="M92" i="28"/>
  <c r="J92" i="28"/>
  <c r="K92" i="28" s="1"/>
  <c r="L92" i="28" s="1"/>
  <c r="M91" i="28"/>
  <c r="J91" i="28"/>
  <c r="K91" i="28" s="1"/>
  <c r="L91" i="28" s="1"/>
  <c r="M90" i="28"/>
  <c r="J90" i="28"/>
  <c r="K90" i="28" s="1"/>
  <c r="L90" i="28" s="1"/>
  <c r="M89" i="28"/>
  <c r="J89" i="28"/>
  <c r="K89" i="28" s="1"/>
  <c r="L89" i="28" s="1"/>
  <c r="M88" i="28"/>
  <c r="J88" i="28"/>
  <c r="K88" i="28" s="1"/>
  <c r="L88" i="28" s="1"/>
  <c r="M87" i="28"/>
  <c r="J87" i="28"/>
  <c r="K87" i="28" s="1"/>
  <c r="L87" i="28" s="1"/>
  <c r="M86" i="28"/>
  <c r="J86" i="28"/>
  <c r="J28" i="28"/>
  <c r="K28" i="28" s="1"/>
  <c r="L28" i="28" s="1"/>
  <c r="M85" i="28"/>
  <c r="J85" i="28"/>
  <c r="M84" i="28"/>
  <c r="J84" i="28"/>
  <c r="M83" i="28"/>
  <c r="J83" i="28"/>
  <c r="K83" i="28" s="1"/>
  <c r="L83" i="28" s="1"/>
  <c r="M82" i="28"/>
  <c r="J82" i="28"/>
  <c r="K82" i="28" s="1"/>
  <c r="L82" i="28" s="1"/>
  <c r="M81" i="28"/>
  <c r="J81" i="28"/>
  <c r="K81" i="28" s="1"/>
  <c r="L81" i="28" s="1"/>
  <c r="M80" i="28"/>
  <c r="J80" i="28"/>
  <c r="K80" i="28" s="1"/>
  <c r="L80" i="28" s="1"/>
  <c r="M79" i="28"/>
  <c r="J79" i="28"/>
  <c r="M78" i="28"/>
  <c r="J78" i="28"/>
  <c r="K78" i="28" s="1"/>
  <c r="L78" i="28" s="1"/>
  <c r="M77" i="28"/>
  <c r="J77" i="28"/>
  <c r="M76" i="28"/>
  <c r="J76" i="28"/>
  <c r="K76" i="28" s="1"/>
  <c r="L76" i="28" s="1"/>
  <c r="M75" i="28"/>
  <c r="J75" i="28"/>
  <c r="M74" i="28"/>
  <c r="J74" i="28"/>
  <c r="K74" i="28" s="1"/>
  <c r="L74" i="28" s="1"/>
  <c r="M73" i="28"/>
  <c r="J73" i="28"/>
  <c r="K73" i="28" s="1"/>
  <c r="L73" i="28" s="1"/>
  <c r="M72" i="28"/>
  <c r="J72" i="28"/>
  <c r="K72" i="28" s="1"/>
  <c r="L72" i="28" s="1"/>
  <c r="M71" i="28"/>
  <c r="J71" i="28"/>
  <c r="M70" i="28"/>
  <c r="J70" i="28"/>
  <c r="K70" i="28" s="1"/>
  <c r="L70" i="28" s="1"/>
  <c r="M69" i="28"/>
  <c r="J69" i="28"/>
  <c r="M68" i="28"/>
  <c r="J68" i="28"/>
  <c r="K68" i="28" s="1"/>
  <c r="L68" i="28" s="1"/>
  <c r="M67" i="28"/>
  <c r="J67" i="28"/>
  <c r="M66" i="28"/>
  <c r="J66" i="28"/>
  <c r="K66" i="28" s="1"/>
  <c r="L66" i="28" s="1"/>
  <c r="M65" i="28"/>
  <c r="J65" i="28"/>
  <c r="K65" i="28" s="1"/>
  <c r="L65" i="28" s="1"/>
  <c r="M64" i="28"/>
  <c r="J64" i="28"/>
  <c r="K64" i="28" s="1"/>
  <c r="L64" i="28" s="1"/>
  <c r="M63" i="28"/>
  <c r="J63" i="28"/>
  <c r="K63" i="28" s="1"/>
  <c r="L63" i="28" s="1"/>
  <c r="M62" i="28"/>
  <c r="J62" i="28"/>
  <c r="K62" i="28" s="1"/>
  <c r="L62" i="28" s="1"/>
  <c r="M61" i="28"/>
  <c r="J61" i="28"/>
  <c r="M60" i="28"/>
  <c r="J60" i="28"/>
  <c r="K60" i="28" s="1"/>
  <c r="L60" i="28" s="1"/>
  <c r="M59" i="28"/>
  <c r="J59" i="28"/>
  <c r="K59" i="28" s="1"/>
  <c r="L59" i="28" s="1"/>
  <c r="M58" i="28"/>
  <c r="J58" i="28"/>
  <c r="K58" i="28" s="1"/>
  <c r="M57" i="28"/>
  <c r="J57" i="28"/>
  <c r="K57" i="28" s="1"/>
  <c r="L57" i="28" s="1"/>
  <c r="M56" i="28"/>
  <c r="J56" i="28"/>
  <c r="K56" i="28" s="1"/>
  <c r="L56" i="28" s="1"/>
  <c r="M55" i="28"/>
  <c r="J55" i="28"/>
  <c r="M54" i="28"/>
  <c r="J54" i="28"/>
  <c r="K54" i="28" s="1"/>
  <c r="L54" i="28" s="1"/>
  <c r="M53" i="28"/>
  <c r="J53" i="28"/>
  <c r="M52" i="28"/>
  <c r="J52" i="28"/>
  <c r="K52" i="28" s="1"/>
  <c r="L52" i="28" s="1"/>
  <c r="M51" i="28"/>
  <c r="J51" i="28"/>
  <c r="M50" i="28"/>
  <c r="J50" i="28"/>
  <c r="K50" i="28" s="1"/>
  <c r="L50" i="28" s="1"/>
  <c r="M49" i="28"/>
  <c r="J49" i="28"/>
  <c r="K49" i="28" s="1"/>
  <c r="L49" i="28" s="1"/>
  <c r="M48" i="28"/>
  <c r="J48" i="28"/>
  <c r="K48" i="28" s="1"/>
  <c r="L48" i="28" s="1"/>
  <c r="M47" i="28"/>
  <c r="J47" i="28"/>
  <c r="K47" i="28" s="1"/>
  <c r="L47" i="28" s="1"/>
  <c r="M46" i="28"/>
  <c r="J46" i="28"/>
  <c r="K46" i="28" s="1"/>
  <c r="L46" i="28" s="1"/>
  <c r="M45" i="28"/>
  <c r="J45" i="28"/>
  <c r="M44" i="28"/>
  <c r="J44" i="28"/>
  <c r="K44" i="28" s="1"/>
  <c r="L44" i="28" s="1"/>
  <c r="M43" i="28"/>
  <c r="J43" i="28"/>
  <c r="M42" i="28"/>
  <c r="J42" i="28"/>
  <c r="K42" i="28" s="1"/>
  <c r="L42" i="28" s="1"/>
  <c r="M41" i="28"/>
  <c r="J41" i="28"/>
  <c r="K41" i="28" s="1"/>
  <c r="L41" i="28" s="1"/>
  <c r="M40" i="28"/>
  <c r="J40" i="28"/>
  <c r="K40" i="28" s="1"/>
  <c r="L40" i="28" s="1"/>
  <c r="M39" i="28"/>
  <c r="J39" i="28"/>
  <c r="M38" i="28"/>
  <c r="J38" i="28"/>
  <c r="K38" i="28" s="1"/>
  <c r="L38" i="28" s="1"/>
  <c r="M37" i="28"/>
  <c r="J37" i="28"/>
  <c r="M36" i="28"/>
  <c r="J36" i="28"/>
  <c r="K36" i="28" s="1"/>
  <c r="L36" i="28" s="1"/>
  <c r="M35" i="28"/>
  <c r="J35" i="28"/>
  <c r="M34" i="28"/>
  <c r="J34" i="28"/>
  <c r="K34" i="28" s="1"/>
  <c r="L34" i="28" s="1"/>
  <c r="M33" i="28"/>
  <c r="J33" i="28"/>
  <c r="K33" i="28" s="1"/>
  <c r="L33" i="28" s="1"/>
  <c r="M32" i="28"/>
  <c r="J32" i="28"/>
  <c r="K32" i="28" s="1"/>
  <c r="L32" i="28" s="1"/>
  <c r="M31" i="28"/>
  <c r="J31" i="28"/>
  <c r="M30" i="28"/>
  <c r="J30" i="28"/>
  <c r="K30" i="28" s="1"/>
  <c r="L30" i="28" s="1"/>
  <c r="M29" i="28"/>
  <c r="J29" i="28"/>
  <c r="Q24" i="28"/>
  <c r="Q23" i="28"/>
  <c r="G23" i="28" l="1"/>
  <c r="F14" i="43"/>
  <c r="G28" i="28"/>
  <c r="M28" i="28" s="1"/>
  <c r="F223" i="43"/>
  <c r="N167" i="28"/>
  <c r="N194" i="28"/>
  <c r="N171" i="28"/>
  <c r="N193" i="28"/>
  <c r="N93" i="28"/>
  <c r="N109" i="28"/>
  <c r="N161" i="28"/>
  <c r="N104" i="28"/>
  <c r="N137" i="28"/>
  <c r="N153" i="28"/>
  <c r="N28" i="28"/>
  <c r="N125" i="28"/>
  <c r="N157" i="28"/>
  <c r="N23" i="28"/>
  <c r="K141" i="28"/>
  <c r="L141" i="28" s="1"/>
  <c r="L112" i="28"/>
  <c r="N112" i="28"/>
  <c r="K45" i="28"/>
  <c r="L45" i="28" s="1"/>
  <c r="K61" i="28"/>
  <c r="L61" i="28" s="1"/>
  <c r="K77" i="28"/>
  <c r="L77" i="28" s="1"/>
  <c r="L144" i="28"/>
  <c r="N144" i="28"/>
  <c r="K146" i="28"/>
  <c r="L146" i="28" s="1"/>
  <c r="K150" i="28"/>
  <c r="L150" i="28" s="1"/>
  <c r="K159" i="28"/>
  <c r="L159" i="28" s="1"/>
  <c r="K183" i="28"/>
  <c r="L183" i="28" s="1"/>
  <c r="K29" i="28"/>
  <c r="L29" i="28" s="1"/>
  <c r="L96" i="28"/>
  <c r="N96" i="28"/>
  <c r="L128" i="28"/>
  <c r="N128" i="28"/>
  <c r="K130" i="28"/>
  <c r="L130" i="28" s="1"/>
  <c r="K134" i="28"/>
  <c r="L134" i="28" s="1"/>
  <c r="K163" i="28"/>
  <c r="L163" i="28" s="1"/>
  <c r="N59" i="28"/>
  <c r="K131" i="28"/>
  <c r="L131" i="28" s="1"/>
  <c r="K155" i="28"/>
  <c r="L155" i="28" s="1"/>
  <c r="K43" i="28"/>
  <c r="L43" i="28" s="1"/>
  <c r="K75" i="28"/>
  <c r="L75" i="28" s="1"/>
  <c r="K84" i="28"/>
  <c r="L84" i="28" s="1"/>
  <c r="K101" i="28"/>
  <c r="L101" i="28" s="1"/>
  <c r="K35" i="28"/>
  <c r="L35" i="28" s="1"/>
  <c r="K37" i="28"/>
  <c r="L37" i="28" s="1"/>
  <c r="K51" i="28"/>
  <c r="L51" i="28" s="1"/>
  <c r="K53" i="28"/>
  <c r="L53" i="28" s="1"/>
  <c r="K67" i="28"/>
  <c r="L67" i="28" s="1"/>
  <c r="K69" i="28"/>
  <c r="L69" i="28" s="1"/>
  <c r="N88" i="28"/>
  <c r="K117" i="28"/>
  <c r="L117" i="28" s="1"/>
  <c r="N120" i="28"/>
  <c r="K147" i="28"/>
  <c r="L147" i="28" s="1"/>
  <c r="K151" i="28"/>
  <c r="L151" i="28" s="1"/>
  <c r="K31" i="28"/>
  <c r="L31" i="28" s="1"/>
  <c r="N33" i="28"/>
  <c r="K39" i="28"/>
  <c r="L39" i="28" s="1"/>
  <c r="N41" i="28"/>
  <c r="N49" i="28"/>
  <c r="K55" i="28"/>
  <c r="L55" i="28" s="1"/>
  <c r="N57" i="28"/>
  <c r="N65" i="28"/>
  <c r="K71" i="28"/>
  <c r="L71" i="28" s="1"/>
  <c r="N73" i="28"/>
  <c r="K79" i="28"/>
  <c r="L79" i="28" s="1"/>
  <c r="N81" i="28"/>
  <c r="K86" i="28"/>
  <c r="L86" i="28" s="1"/>
  <c r="K138" i="28"/>
  <c r="L138" i="28" s="1"/>
  <c r="N142" i="28"/>
  <c r="N190" i="28"/>
  <c r="L26" i="28"/>
  <c r="N47" i="28"/>
  <c r="N63" i="28"/>
  <c r="N139" i="28"/>
  <c r="N180" i="28"/>
  <c r="Q181" i="28"/>
  <c r="G177" i="28"/>
  <c r="M177" i="28" s="1"/>
  <c r="M24" i="28"/>
  <c r="G179" i="28"/>
  <c r="N58" i="28"/>
  <c r="L58" i="28"/>
  <c r="N30" i="28"/>
  <c r="N38" i="28"/>
  <c r="N42" i="28"/>
  <c r="N46" i="28"/>
  <c r="N50" i="28"/>
  <c r="N62" i="28"/>
  <c r="N66" i="28"/>
  <c r="N32" i="28"/>
  <c r="N36" i="28"/>
  <c r="N40" i="28"/>
  <c r="N44" i="28"/>
  <c r="N48" i="28"/>
  <c r="N52" i="28"/>
  <c r="N56" i="28"/>
  <c r="N60" i="28"/>
  <c r="N64" i="28"/>
  <c r="N68" i="28"/>
  <c r="N72" i="28"/>
  <c r="N76" i="28"/>
  <c r="N80" i="28"/>
  <c r="N92" i="28"/>
  <c r="N100" i="28"/>
  <c r="N108" i="28"/>
  <c r="N116" i="28"/>
  <c r="N124" i="28"/>
  <c r="N133" i="28"/>
  <c r="N136" i="28"/>
  <c r="N149" i="28"/>
  <c r="L24" i="28"/>
  <c r="K85" i="28"/>
  <c r="L85" i="28" s="1"/>
  <c r="N89" i="28"/>
  <c r="N91" i="28"/>
  <c r="N97" i="28"/>
  <c r="N99" i="28"/>
  <c r="N105" i="28"/>
  <c r="N107" i="28"/>
  <c r="N113" i="28"/>
  <c r="N115" i="28"/>
  <c r="N121" i="28"/>
  <c r="N123" i="28"/>
  <c r="N129" i="28"/>
  <c r="N132" i="28"/>
  <c r="N135" i="28"/>
  <c r="K140" i="28"/>
  <c r="L140" i="28" s="1"/>
  <c r="N145" i="28"/>
  <c r="N148" i="28"/>
  <c r="N152" i="28"/>
  <c r="N156" i="28"/>
  <c r="N160" i="28"/>
  <c r="K185" i="28"/>
  <c r="L185" i="28" s="1"/>
  <c r="N34" i="28"/>
  <c r="N54" i="28"/>
  <c r="N70" i="28"/>
  <c r="N74" i="28"/>
  <c r="N78" i="28"/>
  <c r="N82" i="28"/>
  <c r="K182" i="28"/>
  <c r="L182" i="28" s="1"/>
  <c r="K191" i="28"/>
  <c r="L191" i="28" s="1"/>
  <c r="N87" i="28"/>
  <c r="N95" i="28"/>
  <c r="N103" i="28"/>
  <c r="N111" i="28"/>
  <c r="N119" i="28"/>
  <c r="N127" i="28"/>
  <c r="N143" i="28"/>
  <c r="K178" i="28"/>
  <c r="L178" i="28" s="1"/>
  <c r="N83" i="28"/>
  <c r="N90" i="28"/>
  <c r="N94" i="28"/>
  <c r="N98" i="28"/>
  <c r="N102" i="28"/>
  <c r="N106" i="28"/>
  <c r="N110" i="28"/>
  <c r="N114" i="28"/>
  <c r="N118" i="28"/>
  <c r="N122" i="28"/>
  <c r="N126" i="28"/>
  <c r="N154" i="28"/>
  <c r="N158" i="28"/>
  <c r="N162" i="28"/>
  <c r="N187" i="28"/>
  <c r="M179" i="28"/>
  <c r="N188" i="28"/>
  <c r="N192" i="28"/>
  <c r="N177" i="28"/>
  <c r="G178" i="28"/>
  <c r="M178" i="28" s="1"/>
  <c r="N179" i="28"/>
  <c r="G180" i="28"/>
  <c r="M180" i="28" s="1"/>
  <c r="N186" i="28"/>
  <c r="N195" i="28"/>
  <c r="F13" i="43" l="1"/>
  <c r="N61" i="28"/>
  <c r="N147" i="28"/>
  <c r="N150" i="28"/>
  <c r="N151" i="28"/>
  <c r="N117" i="28"/>
  <c r="N69" i="28"/>
  <c r="N67" i="28"/>
  <c r="N159" i="28"/>
  <c r="N146" i="28"/>
  <c r="N77" i="28"/>
  <c r="N45" i="28"/>
  <c r="N185" i="28"/>
  <c r="N71" i="28"/>
  <c r="N101" i="28"/>
  <c r="N141" i="28"/>
  <c r="N140" i="28"/>
  <c r="N39" i="28"/>
  <c r="N75" i="28"/>
  <c r="N138" i="28"/>
  <c r="N37" i="28"/>
  <c r="N29" i="28"/>
  <c r="N86" i="28"/>
  <c r="N55" i="28"/>
  <c r="N53" i="28"/>
  <c r="N84" i="28"/>
  <c r="N155" i="28"/>
  <c r="N134" i="28"/>
  <c r="N51" i="28"/>
  <c r="N43" i="28"/>
  <c r="N35" i="28"/>
  <c r="N183" i="28"/>
  <c r="N79" i="28"/>
  <c r="N31" i="28"/>
  <c r="N131" i="28"/>
  <c r="N163" i="28"/>
  <c r="N130" i="28"/>
  <c r="D16" i="28"/>
  <c r="D12" i="28"/>
  <c r="D8" i="28"/>
  <c r="D4" i="28"/>
  <c r="D5" i="28"/>
  <c r="D15" i="28"/>
  <c r="D11" i="28"/>
  <c r="D7" i="28"/>
  <c r="D3" i="28"/>
  <c r="D13" i="28"/>
  <c r="D14" i="28"/>
  <c r="D10" i="28"/>
  <c r="D6" i="28"/>
  <c r="D9" i="28"/>
  <c r="N178" i="28"/>
  <c r="N191" i="28"/>
  <c r="G197" i="28"/>
  <c r="C18" i="28" s="1"/>
  <c r="N182" i="28"/>
  <c r="N85" i="28"/>
  <c r="M23" i="28"/>
  <c r="F31" i="25" l="1"/>
  <c r="D30" i="25"/>
  <c r="P15" i="25"/>
  <c r="D6" i="25"/>
  <c r="D5" i="25"/>
  <c r="D4" i="25"/>
  <c r="D3" i="25"/>
  <c r="F29" i="25"/>
  <c r="D28" i="25"/>
  <c r="F27" i="25"/>
  <c r="D26" i="25"/>
  <c r="F25" i="25"/>
  <c r="H19" i="25"/>
  <c r="O17" i="25"/>
  <c r="K17" i="25"/>
  <c r="L17" i="25" s="1"/>
  <c r="O16" i="25"/>
  <c r="K16" i="25"/>
  <c r="L16" i="25" s="1"/>
  <c r="K15" i="25"/>
  <c r="L15" i="25" s="1"/>
  <c r="C7" i="25"/>
  <c r="C8" i="25" s="1"/>
  <c r="P19" i="22" l="1"/>
  <c r="P18" i="22"/>
  <c r="P17" i="22"/>
  <c r="N19" i="22"/>
  <c r="N18" i="22"/>
  <c r="N17" i="22"/>
  <c r="H17" i="22"/>
  <c r="L17" i="22"/>
  <c r="M17" i="22" s="1"/>
  <c r="H18" i="22"/>
  <c r="L18" i="22"/>
  <c r="M18" i="22" s="1"/>
  <c r="H19" i="22"/>
  <c r="L19" i="22"/>
  <c r="M19" i="22" s="1"/>
  <c r="F58" i="4"/>
  <c r="G58" i="4"/>
  <c r="H58" i="4"/>
  <c r="F24" i="4"/>
  <c r="G24" i="4"/>
  <c r="H24" i="4"/>
  <c r="F26" i="4"/>
  <c r="X36" i="32" s="1"/>
  <c r="Q36" i="44" s="1"/>
  <c r="G26" i="4"/>
  <c r="O36" i="32" s="1"/>
  <c r="H26" i="4"/>
  <c r="G36" i="32" s="1"/>
  <c r="F28" i="4"/>
  <c r="X37" i="32" s="1"/>
  <c r="G28" i="4"/>
  <c r="O37" i="32" s="1"/>
  <c r="H28" i="4"/>
  <c r="G37" i="32" s="1"/>
  <c r="F30" i="4"/>
  <c r="X38" i="32" s="1"/>
  <c r="Q37" i="44" s="1"/>
  <c r="G30" i="4"/>
  <c r="O38" i="32" s="1"/>
  <c r="H30" i="4"/>
  <c r="G38" i="32" s="1"/>
  <c r="F32" i="4"/>
  <c r="X47" i="32" s="1"/>
  <c r="G32" i="4"/>
  <c r="O47" i="32" s="1"/>
  <c r="H32" i="4"/>
  <c r="G47" i="32" s="1"/>
  <c r="F34" i="4"/>
  <c r="X55" i="32" s="1"/>
  <c r="Q52" i="44" s="1"/>
  <c r="G34" i="4"/>
  <c r="O55" i="32" s="1"/>
  <c r="H34" i="4"/>
  <c r="G55" i="32" s="1"/>
  <c r="F36" i="4"/>
  <c r="X56" i="32" s="1"/>
  <c r="G36" i="4"/>
  <c r="O56" i="32" s="1"/>
  <c r="H36" i="4"/>
  <c r="G56" i="32" s="1"/>
  <c r="L103" i="32" s="1"/>
  <c r="F38" i="4"/>
  <c r="X57" i="32" s="1"/>
  <c r="G38" i="4"/>
  <c r="O57" i="32" s="1"/>
  <c r="R54" i="44" s="1"/>
  <c r="H38" i="4"/>
  <c r="G57" i="32" s="1"/>
  <c r="F40" i="4"/>
  <c r="X58" i="32" s="1"/>
  <c r="Q55" i="44" s="1"/>
  <c r="G40" i="4"/>
  <c r="O58" i="32" s="1"/>
  <c r="R55" i="44" s="1"/>
  <c r="H40" i="4"/>
  <c r="G58" i="32" s="1"/>
  <c r="F42" i="4"/>
  <c r="G42" i="4"/>
  <c r="H42" i="4"/>
  <c r="F44" i="4"/>
  <c r="X72" i="32" s="1"/>
  <c r="D145" i="43" s="1"/>
  <c r="G44" i="4"/>
  <c r="O72" i="32" s="1"/>
  <c r="F145" i="43" s="1"/>
  <c r="H44" i="4"/>
  <c r="G72" i="32" s="1"/>
  <c r="F46" i="4"/>
  <c r="X73" i="32" s="1"/>
  <c r="D162" i="43" s="1"/>
  <c r="G46" i="4"/>
  <c r="O73" i="32" s="1"/>
  <c r="F162" i="43" s="1"/>
  <c r="H46" i="4"/>
  <c r="G73" i="32" s="1"/>
  <c r="F48" i="4"/>
  <c r="X77" i="32" s="1"/>
  <c r="G48" i="4"/>
  <c r="O77" i="32" s="1"/>
  <c r="H48" i="4"/>
  <c r="G77" i="32" s="1"/>
  <c r="F50" i="4"/>
  <c r="G50" i="4"/>
  <c r="H50" i="4"/>
  <c r="F52" i="4"/>
  <c r="G52" i="4"/>
  <c r="H52" i="4"/>
  <c r="F54" i="4"/>
  <c r="X87" i="32" s="1"/>
  <c r="G54" i="4"/>
  <c r="O87" i="32" s="1"/>
  <c r="H54" i="4"/>
  <c r="G87" i="32" s="1"/>
  <c r="F56" i="4"/>
  <c r="X91" i="32" s="1"/>
  <c r="D242" i="43" s="1"/>
  <c r="G56" i="4"/>
  <c r="O91" i="32" s="1"/>
  <c r="F242" i="43" s="1"/>
  <c r="H56" i="4"/>
  <c r="G91" i="32" s="1"/>
  <c r="H21" i="4"/>
  <c r="G21" i="4"/>
  <c r="F21" i="4"/>
  <c r="H19" i="4"/>
  <c r="S23" i="33" s="1"/>
  <c r="G19" i="4"/>
  <c r="S25" i="33" s="1"/>
  <c r="F19" i="4"/>
  <c r="S27" i="33" s="1"/>
  <c r="F17" i="4"/>
  <c r="L27" i="33" s="1"/>
  <c r="G17" i="4"/>
  <c r="L25" i="33" s="1"/>
  <c r="H17" i="4"/>
  <c r="L23" i="33" s="1"/>
  <c r="Q54" i="44" l="1"/>
  <c r="S54" i="44"/>
  <c r="I8" i="44" s="1"/>
  <c r="S55" i="44"/>
  <c r="K107" i="32"/>
  <c r="R52" i="44"/>
  <c r="S52" i="44" s="1"/>
  <c r="F113" i="43"/>
  <c r="R36" i="44"/>
  <c r="S36" i="44" s="1"/>
  <c r="I29" i="44" s="1"/>
  <c r="L107" i="32"/>
  <c r="L104" i="32" s="1"/>
  <c r="K104" i="32" s="1"/>
  <c r="N104" i="32" s="1"/>
  <c r="R53" i="44"/>
  <c r="L111" i="32"/>
  <c r="Q53" i="44"/>
  <c r="Q57" i="44" s="1"/>
  <c r="F137" i="43"/>
  <c r="R37" i="44"/>
  <c r="S37" i="44" s="1"/>
  <c r="I30" i="44" s="1"/>
  <c r="D247" i="43"/>
  <c r="Q44" i="44"/>
  <c r="F247" i="43"/>
  <c r="R44" i="44"/>
  <c r="O19" i="22"/>
  <c r="Q19" i="22" s="1"/>
  <c r="T51" i="22" s="1"/>
  <c r="M111" i="32"/>
  <c r="D137" i="43"/>
  <c r="X146" i="32"/>
  <c r="F191" i="43"/>
  <c r="D191" i="43"/>
  <c r="D113" i="43"/>
  <c r="X145" i="32"/>
  <c r="X75" i="32"/>
  <c r="X82" i="32" s="1"/>
  <c r="X89" i="32" s="1"/>
  <c r="X93" i="32" s="1"/>
  <c r="X124" i="32" s="1"/>
  <c r="K111" i="32"/>
  <c r="K114" i="32" s="1"/>
  <c r="X183" i="32"/>
  <c r="O18" i="22"/>
  <c r="Q18" i="22" s="1"/>
  <c r="O17" i="22"/>
  <c r="O146" i="32"/>
  <c r="K103" i="32"/>
  <c r="G60" i="32"/>
  <c r="X22" i="32"/>
  <c r="X23" i="32"/>
  <c r="O183" i="32"/>
  <c r="O60" i="32"/>
  <c r="O145" i="32"/>
  <c r="G22" i="32"/>
  <c r="O23" i="32"/>
  <c r="M103" i="32"/>
  <c r="X60" i="32"/>
  <c r="O22" i="32"/>
  <c r="G23" i="32"/>
  <c r="M107" i="32"/>
  <c r="O75" i="32"/>
  <c r="X95" i="32" l="1"/>
  <c r="L114" i="32"/>
  <c r="U28" i="43"/>
  <c r="Q22" i="44"/>
  <c r="U27" i="43"/>
  <c r="R22" i="44"/>
  <c r="Z21" i="44" s="1"/>
  <c r="AB24" i="43"/>
  <c r="R23" i="44"/>
  <c r="AC21" i="44" s="1"/>
  <c r="R57" i="44"/>
  <c r="AB25" i="43"/>
  <c r="Q23" i="44"/>
  <c r="S44" i="44"/>
  <c r="S53" i="44"/>
  <c r="R19" i="22"/>
  <c r="R18" i="22"/>
  <c r="T50" i="22"/>
  <c r="N111" i="32"/>
  <c r="O111" i="32" s="1"/>
  <c r="Q17" i="22"/>
  <c r="M106" i="32"/>
  <c r="N107" i="32"/>
  <c r="K105" i="32"/>
  <c r="N105" i="32" s="1"/>
  <c r="L113" i="32"/>
  <c r="N103" i="32"/>
  <c r="G75" i="32"/>
  <c r="Y256" i="20"/>
  <c r="W256" i="20"/>
  <c r="X256" i="20" s="1"/>
  <c r="Y255" i="20"/>
  <c r="W255" i="20"/>
  <c r="Y254" i="20"/>
  <c r="W254" i="20"/>
  <c r="X254" i="20" s="1"/>
  <c r="Y253" i="20"/>
  <c r="W253" i="20"/>
  <c r="X253" i="20" s="1"/>
  <c r="Y252" i="20"/>
  <c r="W252" i="20"/>
  <c r="X252" i="20" s="1"/>
  <c r="Y251" i="20"/>
  <c r="W251" i="20"/>
  <c r="X251" i="20" s="1"/>
  <c r="Y250" i="20"/>
  <c r="W250" i="20"/>
  <c r="X250" i="20" s="1"/>
  <c r="Y249" i="20"/>
  <c r="W249" i="20"/>
  <c r="X249" i="20" s="1"/>
  <c r="Y248" i="20"/>
  <c r="W248" i="20"/>
  <c r="X248" i="20" s="1"/>
  <c r="Y247" i="20"/>
  <c r="W247" i="20"/>
  <c r="X247" i="20" s="1"/>
  <c r="Y246" i="20"/>
  <c r="X246" i="20"/>
  <c r="W246" i="20"/>
  <c r="Y245" i="20"/>
  <c r="W245" i="20"/>
  <c r="X245" i="20" s="1"/>
  <c r="Y244" i="20"/>
  <c r="W244" i="20"/>
  <c r="X244" i="20" s="1"/>
  <c r="Y243" i="20"/>
  <c r="W243" i="20"/>
  <c r="X243" i="20" s="1"/>
  <c r="Y242" i="20"/>
  <c r="W242" i="20"/>
  <c r="X242" i="20" s="1"/>
  <c r="L256" i="20"/>
  <c r="K256" i="20" s="1"/>
  <c r="O256" i="20" s="1"/>
  <c r="U256" i="20" s="1"/>
  <c r="L255" i="20"/>
  <c r="K255" i="20" s="1"/>
  <c r="O255" i="20" s="1"/>
  <c r="L254" i="20"/>
  <c r="K254" i="20" s="1"/>
  <c r="O254" i="20" s="1"/>
  <c r="U254" i="20" s="1"/>
  <c r="L253" i="20"/>
  <c r="K253" i="20" s="1"/>
  <c r="O253" i="20" s="1"/>
  <c r="L252" i="20"/>
  <c r="K252" i="20" s="1"/>
  <c r="O252" i="20" s="1"/>
  <c r="U252" i="20" s="1"/>
  <c r="L251" i="20"/>
  <c r="K251" i="20" s="1"/>
  <c r="O251" i="20" s="1"/>
  <c r="L250" i="20"/>
  <c r="K250" i="20" s="1"/>
  <c r="O250" i="20" s="1"/>
  <c r="U250" i="20" s="1"/>
  <c r="L249" i="20"/>
  <c r="K249" i="20" s="1"/>
  <c r="O249" i="20" s="1"/>
  <c r="L248" i="20"/>
  <c r="K248" i="20" s="1"/>
  <c r="O248" i="20" s="1"/>
  <c r="U248" i="20" s="1"/>
  <c r="L247" i="20"/>
  <c r="K247" i="20" s="1"/>
  <c r="O247" i="20" s="1"/>
  <c r="T247" i="20" s="1"/>
  <c r="L246" i="20"/>
  <c r="K246" i="20" s="1"/>
  <c r="O246" i="20" s="1"/>
  <c r="U246" i="20" s="1"/>
  <c r="L245" i="20"/>
  <c r="K245" i="20" s="1"/>
  <c r="O245" i="20" s="1"/>
  <c r="L244" i="20"/>
  <c r="K244" i="20" s="1"/>
  <c r="O244" i="20" s="1"/>
  <c r="U244" i="20" s="1"/>
  <c r="L243" i="20"/>
  <c r="K243" i="20" s="1"/>
  <c r="O243" i="20" s="1"/>
  <c r="L242" i="20"/>
  <c r="K242" i="20" s="1"/>
  <c r="O242" i="20" s="1"/>
  <c r="U242" i="20" s="1"/>
  <c r="L241" i="20"/>
  <c r="K241" i="20" s="1"/>
  <c r="O241" i="20" s="1"/>
  <c r="L240" i="20"/>
  <c r="K240" i="20" s="1"/>
  <c r="O240" i="20" s="1"/>
  <c r="Y241" i="20"/>
  <c r="W241" i="20"/>
  <c r="X241" i="20" s="1"/>
  <c r="Y240" i="20"/>
  <c r="W240" i="20"/>
  <c r="X240" i="20" s="1"/>
  <c r="Y239" i="20"/>
  <c r="W239" i="20"/>
  <c r="X239" i="20" s="1"/>
  <c r="L239" i="20"/>
  <c r="K239" i="20" s="1"/>
  <c r="N277" i="20"/>
  <c r="M277" i="20"/>
  <c r="W276" i="20"/>
  <c r="W287" i="20"/>
  <c r="Z24" i="44" l="1"/>
  <c r="S22" i="44"/>
  <c r="S23" i="44"/>
  <c r="AC24" i="44"/>
  <c r="R17" i="22"/>
  <c r="T49" i="22"/>
  <c r="K113" i="32"/>
  <c r="O107" i="32"/>
  <c r="N109" i="32"/>
  <c r="N108" i="32"/>
  <c r="M113" i="32"/>
  <c r="N106" i="32"/>
  <c r="N113" i="32" s="1"/>
  <c r="O103" i="32"/>
  <c r="T249" i="20"/>
  <c r="U249" i="20"/>
  <c r="T243" i="20"/>
  <c r="U243" i="20"/>
  <c r="T253" i="20"/>
  <c r="U253" i="20"/>
  <c r="Z253" i="20" s="1"/>
  <c r="AB253" i="20" s="1"/>
  <c r="AG256" i="37" s="1"/>
  <c r="T245" i="20"/>
  <c r="U245" i="20"/>
  <c r="AA245" i="20" s="1"/>
  <c r="T255" i="20"/>
  <c r="U255" i="20"/>
  <c r="AA255" i="20" s="1"/>
  <c r="T251" i="20"/>
  <c r="U251" i="20"/>
  <c r="O239" i="20"/>
  <c r="U239" i="20" s="1"/>
  <c r="U247" i="20"/>
  <c r="Z249" i="20"/>
  <c r="AB249" i="20" s="1"/>
  <c r="AG252" i="37" s="1"/>
  <c r="X255" i="20"/>
  <c r="AA242" i="20"/>
  <c r="Z242" i="20"/>
  <c r="AB242" i="20" s="1"/>
  <c r="AG245" i="37" s="1"/>
  <c r="AA246" i="20"/>
  <c r="Z246" i="20"/>
  <c r="AB246" i="20" s="1"/>
  <c r="AG249" i="37" s="1"/>
  <c r="AA252" i="20"/>
  <c r="Z252" i="20"/>
  <c r="AB252" i="20" s="1"/>
  <c r="AG255" i="37" s="1"/>
  <c r="AA248" i="20"/>
  <c r="Z248" i="20"/>
  <c r="AB248" i="20" s="1"/>
  <c r="AG251" i="37" s="1"/>
  <c r="AA254" i="20"/>
  <c r="Z254" i="20"/>
  <c r="AB254" i="20" s="1"/>
  <c r="AG257" i="37" s="1"/>
  <c r="AA244" i="20"/>
  <c r="Z244" i="20"/>
  <c r="AB244" i="20" s="1"/>
  <c r="AG247" i="37" s="1"/>
  <c r="AA250" i="20"/>
  <c r="Z250" i="20"/>
  <c r="AB250" i="20" s="1"/>
  <c r="AG253" i="37" s="1"/>
  <c r="AA256" i="20"/>
  <c r="Z256" i="20"/>
  <c r="AB256" i="20" s="1"/>
  <c r="AG259" i="37" s="1"/>
  <c r="Z243" i="20"/>
  <c r="AB243" i="20" s="1"/>
  <c r="AG246" i="37" s="1"/>
  <c r="Z245" i="20"/>
  <c r="AB245" i="20" s="1"/>
  <c r="AG248" i="37" s="1"/>
  <c r="T242" i="20"/>
  <c r="AA243" i="20"/>
  <c r="T244" i="20"/>
  <c r="T246" i="20"/>
  <c r="AA247" i="20"/>
  <c r="T248" i="20"/>
  <c r="AA249" i="20"/>
  <c r="T250" i="20"/>
  <c r="AA251" i="20"/>
  <c r="T252" i="20"/>
  <c r="T254" i="20"/>
  <c r="T256" i="20"/>
  <c r="Z247" i="20"/>
  <c r="AB247" i="20" s="1"/>
  <c r="AG250" i="37" s="1"/>
  <c r="Z251" i="20"/>
  <c r="AB251" i="20" s="1"/>
  <c r="AG254" i="37" s="1"/>
  <c r="T241" i="20"/>
  <c r="U241" i="20"/>
  <c r="U240" i="20"/>
  <c r="Z240" i="20" s="1"/>
  <c r="AB240" i="20" s="1"/>
  <c r="AG243" i="37" s="1"/>
  <c r="T240" i="20"/>
  <c r="AA239" i="20"/>
  <c r="Z239" i="20"/>
  <c r="AB239" i="20" s="1"/>
  <c r="AG242" i="37" s="1"/>
  <c r="T239" i="20"/>
  <c r="Z255" i="20" l="1"/>
  <c r="AB255" i="20" s="1"/>
  <c r="AG258" i="37" s="1"/>
  <c r="AA253" i="20"/>
  <c r="AC249" i="20"/>
  <c r="AC255" i="20"/>
  <c r="AC251" i="20"/>
  <c r="AC247" i="20"/>
  <c r="AC256" i="20"/>
  <c r="AC253" i="20"/>
  <c r="AC245" i="20"/>
  <c r="AC244" i="20"/>
  <c r="AC254" i="20"/>
  <c r="AC248" i="20"/>
  <c r="AC243" i="20"/>
  <c r="AC250" i="20"/>
  <c r="AC252" i="20"/>
  <c r="AC246" i="20"/>
  <c r="AC242" i="20"/>
  <c r="AA240" i="20"/>
  <c r="Z241" i="20"/>
  <c r="AB241" i="20" s="1"/>
  <c r="AG244" i="37" s="1"/>
  <c r="AA241" i="20"/>
  <c r="AC240" i="20"/>
  <c r="AC239" i="20"/>
  <c r="M64" i="23"/>
  <c r="O64" i="23" s="1"/>
  <c r="M63" i="23"/>
  <c r="O63" i="23" s="1"/>
  <c r="M62" i="23"/>
  <c r="O62" i="23" s="1"/>
  <c r="M61" i="23"/>
  <c r="O61" i="23" s="1"/>
  <c r="M60" i="23"/>
  <c r="O60" i="23" s="1"/>
  <c r="M59" i="23"/>
  <c r="O59" i="23" s="1"/>
  <c r="M58" i="23"/>
  <c r="O58" i="23" s="1"/>
  <c r="M57" i="23"/>
  <c r="O57" i="23" s="1"/>
  <c r="M56" i="23"/>
  <c r="O56" i="23" s="1"/>
  <c r="M55" i="23"/>
  <c r="O55" i="23" s="1"/>
  <c r="M54" i="23"/>
  <c r="O54" i="23" s="1"/>
  <c r="M52" i="23"/>
  <c r="O52" i="23" s="1"/>
  <c r="M51" i="23"/>
  <c r="O51" i="23" s="1"/>
  <c r="M50" i="23"/>
  <c r="O50" i="23" s="1"/>
  <c r="M49" i="23"/>
  <c r="O49" i="23" s="1"/>
  <c r="M48" i="23"/>
  <c r="O48" i="23" s="1"/>
  <c r="M47" i="23"/>
  <c r="O47" i="23" s="1"/>
  <c r="M46" i="23"/>
  <c r="O46" i="23" s="1"/>
  <c r="M45" i="23"/>
  <c r="O45" i="23" s="1"/>
  <c r="M44" i="23"/>
  <c r="O44" i="23" s="1"/>
  <c r="M43" i="23"/>
  <c r="O43" i="23" s="1"/>
  <c r="M42" i="23"/>
  <c r="O42" i="23" s="1"/>
  <c r="E78" i="23"/>
  <c r="F79" i="23" s="1"/>
  <c r="I7" i="23" l="1"/>
  <c r="I8" i="23" s="1"/>
  <c r="N4" i="33"/>
  <c r="N8" i="33"/>
  <c r="M41" i="23"/>
  <c r="M53" i="23"/>
  <c r="J7" i="23"/>
  <c r="H8" i="23" s="1"/>
  <c r="Q90" i="23"/>
  <c r="AC241" i="20"/>
  <c r="O41" i="23"/>
  <c r="K70" i="23"/>
  <c r="L71" i="23" s="1"/>
  <c r="E70" i="23"/>
  <c r="F71" i="23" s="1"/>
  <c r="O53" i="23"/>
  <c r="P89" i="23" s="1"/>
  <c r="N29" i="33" l="1"/>
  <c r="N30" i="33"/>
  <c r="J8" i="23"/>
  <c r="H9" i="23" s="1"/>
  <c r="I9" i="23"/>
  <c r="K75" i="23"/>
  <c r="L76" i="23" s="1"/>
  <c r="F7" i="23"/>
  <c r="C8" i="23" s="1"/>
  <c r="E8" i="23" s="1"/>
  <c r="I10" i="23" l="1"/>
  <c r="E75" i="23"/>
  <c r="F76" i="23" s="1"/>
  <c r="J9" i="23"/>
  <c r="H10" i="23" s="1"/>
  <c r="J10" i="23" l="1"/>
  <c r="H11" i="23" s="1"/>
  <c r="I11" i="23"/>
  <c r="F8" i="23"/>
  <c r="C9" i="23" s="1"/>
  <c r="E9" i="23" s="1"/>
  <c r="I12" i="23" l="1"/>
  <c r="J11" i="23"/>
  <c r="H12" i="23" s="1"/>
  <c r="F9" i="23"/>
  <c r="C10" i="23" s="1"/>
  <c r="E10" i="23" s="1"/>
  <c r="J12" i="23" l="1"/>
  <c r="H13" i="23" s="1"/>
  <c r="I13" i="23"/>
  <c r="F10" i="23"/>
  <c r="C11" i="23" s="1"/>
  <c r="J13" i="23" l="1"/>
  <c r="H14" i="23" s="1"/>
  <c r="I14" i="23"/>
  <c r="E11" i="23"/>
  <c r="F11" i="23" s="1"/>
  <c r="C12" i="23" s="1"/>
  <c r="J14" i="23" l="1"/>
  <c r="H15" i="23" s="1"/>
  <c r="I15" i="23"/>
  <c r="E12" i="23"/>
  <c r="F12" i="23" s="1"/>
  <c r="C13" i="23" s="1"/>
  <c r="I16" i="23" l="1"/>
  <c r="I17" i="23" s="1"/>
  <c r="I18" i="23" s="1"/>
  <c r="I19" i="23" s="1"/>
  <c r="I20" i="23" s="1"/>
  <c r="I21" i="23" s="1"/>
  <c r="I22" i="23" s="1"/>
  <c r="I23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J15" i="23"/>
  <c r="H16" i="23" s="1"/>
  <c r="E13" i="23"/>
  <c r="F13" i="23" s="1"/>
  <c r="C14" i="23" s="1"/>
  <c r="J16" i="23" l="1"/>
  <c r="H17" i="23" s="1"/>
  <c r="J17" i="23" s="1"/>
  <c r="H18" i="23" s="1"/>
  <c r="J18" i="23" s="1"/>
  <c r="H19" i="23" s="1"/>
  <c r="J19" i="23" s="1"/>
  <c r="H20" i="23" s="1"/>
  <c r="J20" i="23" s="1"/>
  <c r="H21" i="23" s="1"/>
  <c r="J21" i="23" s="1"/>
  <c r="H22" i="23" s="1"/>
  <c r="J22" i="23" s="1"/>
  <c r="H23" i="23" s="1"/>
  <c r="J23" i="23" s="1"/>
  <c r="H24" i="23" s="1"/>
  <c r="J24" i="23" s="1"/>
  <c r="H25" i="23" s="1"/>
  <c r="J25" i="23" s="1"/>
  <c r="H26" i="23" s="1"/>
  <c r="J26" i="23" s="1"/>
  <c r="H27" i="23" s="1"/>
  <c r="J27" i="23" s="1"/>
  <c r="H28" i="23" s="1"/>
  <c r="J28" i="23" s="1"/>
  <c r="H29" i="23" s="1"/>
  <c r="J29" i="23" s="1"/>
  <c r="H30" i="23" s="1"/>
  <c r="J30" i="23" s="1"/>
  <c r="H31" i="23" s="1"/>
  <c r="J31" i="23" s="1"/>
  <c r="H32" i="23" s="1"/>
  <c r="J32" i="23" s="1"/>
  <c r="H33" i="23" s="1"/>
  <c r="J33" i="23" s="1"/>
  <c r="H34" i="23" s="1"/>
  <c r="J34" i="23" s="1"/>
  <c r="H35" i="23" s="1"/>
  <c r="J35" i="23" s="1"/>
  <c r="H36" i="23" s="1"/>
  <c r="J36" i="23" s="1"/>
  <c r="H37" i="23" s="1"/>
  <c r="J37" i="23" s="1"/>
  <c r="H38" i="23" s="1"/>
  <c r="J38" i="23" s="1"/>
  <c r="H39" i="23" s="1"/>
  <c r="J39" i="23" s="1"/>
  <c r="H40" i="23" s="1"/>
  <c r="J40" i="23" s="1"/>
  <c r="I41" i="23"/>
  <c r="E14" i="23"/>
  <c r="F14" i="23" s="1"/>
  <c r="C15" i="23" s="1"/>
  <c r="H41" i="23" l="1"/>
  <c r="J41" i="23" s="1"/>
  <c r="H42" i="23" s="1"/>
  <c r="I42" i="23"/>
  <c r="I43" i="23" s="1"/>
  <c r="I44" i="23" s="1"/>
  <c r="I45" i="23" s="1"/>
  <c r="I46" i="23" s="1"/>
  <c r="I47" i="23" s="1"/>
  <c r="I48" i="23" s="1"/>
  <c r="I49" i="23" s="1"/>
  <c r="I50" i="23" s="1"/>
  <c r="I51" i="23" s="1"/>
  <c r="I52" i="23" s="1"/>
  <c r="N15" i="33" s="1"/>
  <c r="E15" i="23"/>
  <c r="F15" i="23" s="1"/>
  <c r="C16" i="23" s="1"/>
  <c r="N23" i="33" l="1"/>
  <c r="O23" i="33" s="1"/>
  <c r="J42" i="23"/>
  <c r="H43" i="23" s="1"/>
  <c r="J43" i="23" s="1"/>
  <c r="H44" i="23" s="1"/>
  <c r="J44" i="23" s="1"/>
  <c r="H45" i="23" s="1"/>
  <c r="J45" i="23" s="1"/>
  <c r="H46" i="23" s="1"/>
  <c r="J46" i="23" s="1"/>
  <c r="H47" i="23" s="1"/>
  <c r="J47" i="23" s="1"/>
  <c r="H48" i="23" s="1"/>
  <c r="J48" i="23" s="1"/>
  <c r="H49" i="23" s="1"/>
  <c r="J49" i="23" s="1"/>
  <c r="H50" i="23" s="1"/>
  <c r="J50" i="23" s="1"/>
  <c r="H51" i="23" s="1"/>
  <c r="J51" i="23" s="1"/>
  <c r="H52" i="23" s="1"/>
  <c r="J52" i="23" s="1"/>
  <c r="P85" i="23"/>
  <c r="Q86" i="23" s="1"/>
  <c r="I53" i="23"/>
  <c r="E16" i="23"/>
  <c r="F16" i="23" s="1"/>
  <c r="C17" i="23" s="1"/>
  <c r="H53" i="23" l="1"/>
  <c r="Q52" i="23"/>
  <c r="J53" i="23"/>
  <c r="H54" i="23" s="1"/>
  <c r="I54" i="23"/>
  <c r="I55" i="23" s="1"/>
  <c r="I56" i="23" s="1"/>
  <c r="I57" i="23" s="1"/>
  <c r="I58" i="23" s="1"/>
  <c r="I59" i="23" s="1"/>
  <c r="I60" i="23" s="1"/>
  <c r="I61" i="23" s="1"/>
  <c r="I62" i="23" s="1"/>
  <c r="I63" i="23" s="1"/>
  <c r="I64" i="23" s="1"/>
  <c r="E17" i="23"/>
  <c r="F17" i="23" s="1"/>
  <c r="C18" i="23" s="1"/>
  <c r="I65" i="23" l="1"/>
  <c r="N18" i="33"/>
  <c r="J54" i="23"/>
  <c r="H55" i="23" s="1"/>
  <c r="J55" i="23" s="1"/>
  <c r="H56" i="23" s="1"/>
  <c r="J56" i="23" s="1"/>
  <c r="H57" i="23" s="1"/>
  <c r="J57" i="23" s="1"/>
  <c r="H58" i="23" s="1"/>
  <c r="J58" i="23" s="1"/>
  <c r="H59" i="23" s="1"/>
  <c r="J59" i="23" s="1"/>
  <c r="H60" i="23" s="1"/>
  <c r="J60" i="23" s="1"/>
  <c r="H61" i="23" s="1"/>
  <c r="J61" i="23" s="1"/>
  <c r="H62" i="23" s="1"/>
  <c r="J62" i="23" s="1"/>
  <c r="H63" i="23" s="1"/>
  <c r="J63" i="23" s="1"/>
  <c r="H64" i="23" s="1"/>
  <c r="J64" i="23" s="1"/>
  <c r="P96" i="23"/>
  <c r="E18" i="23"/>
  <c r="F18" i="23" s="1"/>
  <c r="C19" i="23" s="1"/>
  <c r="I66" i="23" l="1"/>
  <c r="N21" i="33" s="1"/>
  <c r="Z22" i="44"/>
  <c r="Z25" i="44" s="1"/>
  <c r="N16" i="33"/>
  <c r="N25" i="33"/>
  <c r="O25" i="33" s="1"/>
  <c r="N19" i="33"/>
  <c r="N33" i="33" s="1"/>
  <c r="N27" i="33"/>
  <c r="O27" i="33" s="1"/>
  <c r="Q97" i="23"/>
  <c r="I49" i="5" s="1"/>
  <c r="I161" i="5"/>
  <c r="H65" i="23"/>
  <c r="J65" i="23" s="1"/>
  <c r="H66" i="23" s="1"/>
  <c r="J66" i="23" s="1"/>
  <c r="E19" i="23"/>
  <c r="F19" i="23" s="1"/>
  <c r="C20" i="23" s="1"/>
  <c r="M49" i="5" l="1"/>
  <c r="Q64" i="23"/>
  <c r="N32" i="33"/>
  <c r="E20" i="23"/>
  <c r="F20" i="23" s="1"/>
  <c r="C21" i="23" s="1"/>
  <c r="E21" i="23" l="1"/>
  <c r="F21" i="23" s="1"/>
  <c r="C22" i="23" s="1"/>
  <c r="E22" i="23" l="1"/>
  <c r="F22" i="23" s="1"/>
  <c r="C23" i="23" s="1"/>
  <c r="E23" i="23" l="1"/>
  <c r="F23" i="23" s="1"/>
  <c r="C24" i="23" s="1"/>
  <c r="E24" i="23" l="1"/>
  <c r="F24" i="23" s="1"/>
  <c r="C25" i="23" s="1"/>
  <c r="E25" i="23" l="1"/>
  <c r="F25" i="23" s="1"/>
  <c r="C26" i="23" s="1"/>
  <c r="E26" i="23" l="1"/>
  <c r="F26" i="23" s="1"/>
  <c r="C27" i="23" s="1"/>
  <c r="E27" i="23" l="1"/>
  <c r="F27" i="23" s="1"/>
  <c r="C28" i="23" s="1"/>
  <c r="E28" i="23" l="1"/>
  <c r="F28" i="23" s="1"/>
  <c r="C29" i="23" s="1"/>
  <c r="E29" i="23" l="1"/>
  <c r="F29" i="23" s="1"/>
  <c r="C30" i="23" s="1"/>
  <c r="E30" i="23" l="1"/>
  <c r="F30" i="23" s="1"/>
  <c r="C31" i="23" s="1"/>
  <c r="E31" i="23" l="1"/>
  <c r="F31" i="23" s="1"/>
  <c r="C32" i="23" s="1"/>
  <c r="E32" i="23" l="1"/>
  <c r="F32" i="23" s="1"/>
  <c r="C33" i="23" s="1"/>
  <c r="E33" i="23" l="1"/>
  <c r="F33" i="23" s="1"/>
  <c r="C34" i="23" s="1"/>
  <c r="E34" i="23" l="1"/>
  <c r="F34" i="23" s="1"/>
  <c r="C35" i="23" s="1"/>
  <c r="E35" i="23" l="1"/>
  <c r="F35" i="23" s="1"/>
  <c r="C36" i="23" s="1"/>
  <c r="E36" i="23" l="1"/>
  <c r="F36" i="23" s="1"/>
  <c r="C37" i="23" s="1"/>
  <c r="E37" i="23" l="1"/>
  <c r="F37" i="23" s="1"/>
  <c r="C38" i="23" s="1"/>
  <c r="E38" i="23" l="1"/>
  <c r="F38" i="23" s="1"/>
  <c r="C39" i="23" s="1"/>
  <c r="E39" i="23" l="1"/>
  <c r="F39" i="23" s="1"/>
  <c r="C40" i="23" s="1"/>
  <c r="E40" i="23" l="1"/>
  <c r="F40" i="23" s="1"/>
  <c r="E31" i="30" l="1"/>
  <c r="C41" i="23"/>
  <c r="E33" i="30" l="1"/>
  <c r="E22" i="30" s="1"/>
  <c r="F22" i="30" s="1"/>
  <c r="E41" i="23"/>
  <c r="F41" i="23" l="1"/>
  <c r="C42" i="23" s="1"/>
  <c r="E42" i="23" l="1"/>
  <c r="F42" i="23" l="1"/>
  <c r="C43" i="23" s="1"/>
  <c r="E43" i="23"/>
  <c r="F43" i="23" s="1"/>
  <c r="C44" i="23" s="1"/>
  <c r="E44" i="23" l="1"/>
  <c r="F44" i="23" l="1"/>
  <c r="C45" i="23" s="1"/>
  <c r="E45" i="23" l="1"/>
  <c r="F45" i="23" l="1"/>
  <c r="C46" i="23" s="1"/>
  <c r="E46" i="23"/>
  <c r="F46" i="23" s="1"/>
  <c r="C47" i="23" s="1"/>
  <c r="E47" i="23" l="1"/>
  <c r="F47" i="23" s="1"/>
  <c r="C48" i="23" s="1"/>
  <c r="E48" i="23" l="1"/>
  <c r="F48" i="23" s="1"/>
  <c r="C49" i="23" s="1"/>
  <c r="E49" i="23" l="1"/>
  <c r="F49" i="23" s="1"/>
  <c r="C50" i="23" s="1"/>
  <c r="E50" i="23" l="1"/>
  <c r="F50" i="23" s="1"/>
  <c r="C51" i="23" s="1"/>
  <c r="E51" i="23" l="1"/>
  <c r="F51" i="23" s="1"/>
  <c r="C52" i="23" s="1"/>
  <c r="E52" i="23" l="1"/>
  <c r="P82" i="23" s="1"/>
  <c r="F52" i="23" l="1"/>
  <c r="Q83" i="23"/>
  <c r="R52" i="23" l="1"/>
  <c r="T40" i="23"/>
  <c r="U40" i="23" s="1"/>
  <c r="C53" i="23"/>
  <c r="N64" i="5" l="1"/>
  <c r="O64" i="5"/>
  <c r="E53" i="23"/>
  <c r="F53" i="23" l="1"/>
  <c r="C54" i="23" s="1"/>
  <c r="E54" i="23" s="1"/>
  <c r="F54" i="23" s="1"/>
  <c r="C55" i="23" s="1"/>
  <c r="E55" i="23" s="1"/>
  <c r="F55" i="23" s="1"/>
  <c r="C56" i="23" s="1"/>
  <c r="E56" i="23" s="1"/>
  <c r="F56" i="23" s="1"/>
  <c r="C57" i="23" s="1"/>
  <c r="E57" i="23" l="1"/>
  <c r="F57" i="23" s="1"/>
  <c r="C58" i="23" s="1"/>
  <c r="E58" i="23" l="1"/>
  <c r="F58" i="23" s="1"/>
  <c r="C59" i="23" s="1"/>
  <c r="E59" i="23" l="1"/>
  <c r="F59" i="23" s="1"/>
  <c r="C60" i="23" s="1"/>
  <c r="E60" i="23" l="1"/>
  <c r="F60" i="23" s="1"/>
  <c r="C61" i="23" s="1"/>
  <c r="E61" i="23" l="1"/>
  <c r="F61" i="23" s="1"/>
  <c r="C62" i="23" s="1"/>
  <c r="E62" i="23" l="1"/>
  <c r="F62" i="23" s="1"/>
  <c r="C63" i="23" s="1"/>
  <c r="E63" i="23" l="1"/>
  <c r="F63" i="23" s="1"/>
  <c r="C64" i="23" s="1"/>
  <c r="E64" i="23" l="1"/>
  <c r="P93" i="23" s="1"/>
  <c r="Q94" i="23" l="1"/>
  <c r="I57" i="5" s="1"/>
  <c r="I176" i="5"/>
  <c r="F64" i="23"/>
  <c r="T52" i="23" l="1"/>
  <c r="U52" i="23" s="1"/>
  <c r="M57" i="5"/>
  <c r="R64" i="23"/>
  <c r="C65" i="23"/>
  <c r="E65" i="23" l="1"/>
  <c r="Z35" i="44"/>
  <c r="N66" i="5"/>
  <c r="O66" i="5"/>
  <c r="F65" i="23" l="1"/>
  <c r="C66" i="23" s="1"/>
  <c r="Z36" i="44"/>
  <c r="G34" i="32"/>
  <c r="G45" i="32"/>
  <c r="P45" i="32" s="1"/>
  <c r="H4" i="4"/>
  <c r="G11" i="32" s="1"/>
  <c r="O200" i="32" s="1"/>
  <c r="N29" i="22"/>
  <c r="N27" i="22"/>
  <c r="N26" i="22"/>
  <c r="N25" i="22"/>
  <c r="N24" i="22"/>
  <c r="N23" i="22"/>
  <c r="N22" i="22"/>
  <c r="N21" i="22"/>
  <c r="M21" i="22"/>
  <c r="M29" i="22"/>
  <c r="M27" i="22"/>
  <c r="M26" i="22"/>
  <c r="M25" i="22"/>
  <c r="M24" i="22"/>
  <c r="M23" i="22"/>
  <c r="M22" i="22"/>
  <c r="L21" i="22"/>
  <c r="L29" i="22"/>
  <c r="L27" i="22"/>
  <c r="L26" i="22"/>
  <c r="L25" i="22"/>
  <c r="L24" i="22"/>
  <c r="L23" i="22"/>
  <c r="L22" i="22"/>
  <c r="Z37" i="44" l="1"/>
  <c r="I35" i="44" s="1"/>
  <c r="I76" i="44"/>
  <c r="E66" i="23"/>
  <c r="F66" i="23"/>
  <c r="T64" i="23" s="1"/>
  <c r="H16" i="22"/>
  <c r="H15" i="22"/>
  <c r="H27" i="22"/>
  <c r="H26" i="22"/>
  <c r="H25" i="22"/>
  <c r="H24" i="22"/>
  <c r="H23" i="22"/>
  <c r="H22" i="22"/>
  <c r="H21" i="22"/>
  <c r="H29" i="22"/>
  <c r="P29" i="22"/>
  <c r="P27" i="22"/>
  <c r="P26" i="22"/>
  <c r="P25" i="22"/>
  <c r="O25" i="22"/>
  <c r="Q25" i="22" s="1"/>
  <c r="P24" i="22"/>
  <c r="P23" i="22"/>
  <c r="O23" i="22"/>
  <c r="Q23" i="22" s="1"/>
  <c r="P22" i="22"/>
  <c r="U64" i="23" l="1"/>
  <c r="N68" i="5"/>
  <c r="O34" i="32" s="1"/>
  <c r="R25" i="22"/>
  <c r="R23" i="22"/>
  <c r="O22" i="22"/>
  <c r="Q22" i="22" s="1"/>
  <c r="R22" i="22" s="1"/>
  <c r="O24" i="22"/>
  <c r="Q24" i="22" s="1"/>
  <c r="R24" i="22" s="1"/>
  <c r="O26" i="22"/>
  <c r="Q26" i="22" s="1"/>
  <c r="R26" i="22" s="1"/>
  <c r="O27" i="22"/>
  <c r="Q27" i="22" s="1"/>
  <c r="R27" i="22" s="1"/>
  <c r="O29" i="22"/>
  <c r="Q29" i="22" s="1"/>
  <c r="R29" i="22" s="1"/>
  <c r="D69" i="43" l="1"/>
  <c r="R34" i="44"/>
  <c r="P34" i="32"/>
  <c r="Y34" i="32"/>
  <c r="C27" i="22"/>
  <c r="C26" i="22"/>
  <c r="C25" i="22"/>
  <c r="C24" i="22"/>
  <c r="C23" i="22"/>
  <c r="C22" i="22"/>
  <c r="C21" i="22"/>
  <c r="Q5" i="33" s="1"/>
  <c r="O166" i="32" s="1"/>
  <c r="P21" i="22"/>
  <c r="Z34" i="44" l="1"/>
  <c r="Z40" i="44" s="1"/>
  <c r="S34" i="44"/>
  <c r="I73" i="44" s="1"/>
  <c r="AC9" i="43"/>
  <c r="O179" i="32"/>
  <c r="C30" i="22"/>
  <c r="O21" i="22"/>
  <c r="L16" i="22"/>
  <c r="L15" i="22"/>
  <c r="M15" i="22" s="1"/>
  <c r="C6" i="22"/>
  <c r="P16" i="22"/>
  <c r="N16" i="22"/>
  <c r="P15" i="22"/>
  <c r="N15" i="22"/>
  <c r="D3" i="22" l="1"/>
  <c r="D4" i="22"/>
  <c r="Q21" i="22"/>
  <c r="P30" i="22"/>
  <c r="P31" i="22" s="1"/>
  <c r="M16" i="22"/>
  <c r="O15" i="22"/>
  <c r="O16" i="22"/>
  <c r="Q16" i="22" s="1"/>
  <c r="D5" i="22" l="1"/>
  <c r="R16" i="22"/>
  <c r="T48" i="22"/>
  <c r="Q15" i="22"/>
  <c r="R21" i="22"/>
  <c r="T47" i="22" l="1"/>
  <c r="Q30" i="22"/>
  <c r="Q31" i="22" s="1"/>
  <c r="R15" i="22"/>
  <c r="R30" i="22" s="1"/>
  <c r="R31" i="22" s="1"/>
  <c r="Q19" i="33" l="1"/>
  <c r="T66" i="22"/>
  <c r="AC22" i="44" s="1"/>
  <c r="O128" i="32"/>
  <c r="Z48" i="43" s="1"/>
  <c r="C7" i="22"/>
  <c r="AC25" i="44" l="1"/>
  <c r="I50" i="44"/>
  <c r="Y298" i="20"/>
  <c r="W298" i="20"/>
  <c r="X298" i="20" s="1"/>
  <c r="L298" i="20"/>
  <c r="K298" i="20" s="1"/>
  <c r="O298" i="20" s="1"/>
  <c r="Y297" i="20"/>
  <c r="W297" i="20"/>
  <c r="X297" i="20" s="1"/>
  <c r="L297" i="20"/>
  <c r="K297" i="20" s="1"/>
  <c r="O297" i="20" s="1"/>
  <c r="W261" i="20"/>
  <c r="X261" i="20" s="1"/>
  <c r="W286" i="20"/>
  <c r="X286" i="20" s="1"/>
  <c r="W285" i="20"/>
  <c r="X285" i="20" s="1"/>
  <c r="W284" i="20"/>
  <c r="X284" i="20" s="1"/>
  <c r="W283" i="20"/>
  <c r="X283" i="20" s="1"/>
  <c r="Y288" i="20"/>
  <c r="X288" i="20"/>
  <c r="L288" i="20"/>
  <c r="K288" i="20" s="1"/>
  <c r="O288" i="20" s="1"/>
  <c r="Y287" i="20"/>
  <c r="X287" i="20"/>
  <c r="L287" i="20"/>
  <c r="K287" i="20" s="1"/>
  <c r="O287" i="20" s="1"/>
  <c r="Y286" i="20"/>
  <c r="L286" i="20"/>
  <c r="K286" i="20" s="1"/>
  <c r="O286" i="20" s="1"/>
  <c r="Y285" i="20"/>
  <c r="L285" i="20"/>
  <c r="K285" i="20" s="1"/>
  <c r="O285" i="20" s="1"/>
  <c r="Y284" i="20"/>
  <c r="L284" i="20"/>
  <c r="K284" i="20" s="1"/>
  <c r="O284" i="20" s="1"/>
  <c r="Y283" i="20"/>
  <c r="L283" i="20"/>
  <c r="K283" i="20" s="1"/>
  <c r="O283" i="20" s="1"/>
  <c r="Y261" i="20"/>
  <c r="L261" i="20"/>
  <c r="K261" i="20" s="1"/>
  <c r="O261" i="20" s="1"/>
  <c r="W296" i="20"/>
  <c r="W295" i="20"/>
  <c r="W294" i="20"/>
  <c r="W293" i="20"/>
  <c r="W282" i="20"/>
  <c r="W281" i="20"/>
  <c r="W279" i="20"/>
  <c r="W278" i="20"/>
  <c r="W271" i="20"/>
  <c r="W264" i="20"/>
  <c r="W260" i="20"/>
  <c r="W259" i="20"/>
  <c r="W224" i="20"/>
  <c r="W223" i="20"/>
  <c r="W222" i="20"/>
  <c r="W205" i="20"/>
  <c r="W204" i="20"/>
  <c r="W191" i="20"/>
  <c r="W95" i="20"/>
  <c r="W94" i="20"/>
  <c r="W93" i="20"/>
  <c r="W92" i="20"/>
  <c r="W91" i="20"/>
  <c r="W90" i="20"/>
  <c r="W89" i="20"/>
  <c r="W88" i="20"/>
  <c r="W87" i="20"/>
  <c r="W86" i="20"/>
  <c r="W85" i="20"/>
  <c r="W84" i="20"/>
  <c r="W83" i="20"/>
  <c r="W82" i="20"/>
  <c r="W81" i="20"/>
  <c r="W80" i="20"/>
  <c r="W79" i="20"/>
  <c r="W78" i="20"/>
  <c r="W77" i="20"/>
  <c r="W76" i="20"/>
  <c r="W75" i="20"/>
  <c r="W74" i="20"/>
  <c r="W73" i="20"/>
  <c r="W72" i="20"/>
  <c r="W71" i="20"/>
  <c r="W70" i="20"/>
  <c r="W69" i="20"/>
  <c r="W68" i="20"/>
  <c r="W67" i="20"/>
  <c r="W66" i="20"/>
  <c r="W65" i="20"/>
  <c r="W64" i="20"/>
  <c r="W63" i="20"/>
  <c r="W62" i="20"/>
  <c r="W61" i="20"/>
  <c r="W60" i="20"/>
  <c r="W59" i="20"/>
  <c r="W58" i="20"/>
  <c r="W57" i="20"/>
  <c r="W56" i="20"/>
  <c r="W55" i="20"/>
  <c r="W54" i="20"/>
  <c r="W53" i="20"/>
  <c r="W52" i="20"/>
  <c r="W51" i="20"/>
  <c r="W50" i="20"/>
  <c r="W49" i="20"/>
  <c r="W48" i="20"/>
  <c r="W47" i="20"/>
  <c r="W46" i="20"/>
  <c r="W45" i="20"/>
  <c r="W44" i="20"/>
  <c r="W43" i="20"/>
  <c r="W42" i="20"/>
  <c r="W41" i="20"/>
  <c r="T298" i="20" l="1"/>
  <c r="U298" i="20"/>
  <c r="T297" i="20"/>
  <c r="U297" i="20"/>
  <c r="T286" i="20"/>
  <c r="U286" i="20"/>
  <c r="T284" i="20"/>
  <c r="U284" i="20"/>
  <c r="T287" i="20"/>
  <c r="U287" i="20"/>
  <c r="T283" i="20"/>
  <c r="U283" i="20"/>
  <c r="T285" i="20"/>
  <c r="U285" i="20"/>
  <c r="T288" i="20"/>
  <c r="U288" i="20"/>
  <c r="T261" i="20"/>
  <c r="U261" i="20"/>
  <c r="I193" i="5"/>
  <c r="I192" i="5"/>
  <c r="I191" i="5"/>
  <c r="I190" i="5"/>
  <c r="I189" i="5"/>
  <c r="I188" i="5"/>
  <c r="I187" i="5"/>
  <c r="I186" i="5"/>
  <c r="I185" i="5"/>
  <c r="I184" i="5"/>
  <c r="I182" i="5"/>
  <c r="I181" i="5"/>
  <c r="I180" i="5"/>
  <c r="I179" i="5"/>
  <c r="I177" i="5"/>
  <c r="I175" i="5"/>
  <c r="I174" i="5"/>
  <c r="I173" i="5"/>
  <c r="I172" i="5"/>
  <c r="I170" i="5"/>
  <c r="I169" i="5"/>
  <c r="I168" i="5"/>
  <c r="I167" i="5"/>
  <c r="I166" i="5"/>
  <c r="I165" i="5"/>
  <c r="I164" i="5"/>
  <c r="I162" i="5"/>
  <c r="I160" i="5"/>
  <c r="I159" i="5"/>
  <c r="I158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W39" i="20"/>
  <c r="W38" i="20"/>
  <c r="W37" i="20"/>
  <c r="W36" i="20"/>
  <c r="W35" i="20"/>
  <c r="W34" i="20"/>
  <c r="W33" i="20"/>
  <c r="W32" i="20"/>
  <c r="J80" i="43" l="1"/>
  <c r="J81" i="43" s="1"/>
  <c r="O85" i="32"/>
  <c r="Z298" i="20"/>
  <c r="AB298" i="20" s="1"/>
  <c r="AG342" i="37" s="1"/>
  <c r="AA298" i="20"/>
  <c r="Z297" i="20"/>
  <c r="AB297" i="20" s="1"/>
  <c r="AG341" i="37" s="1"/>
  <c r="AA297" i="20"/>
  <c r="AA288" i="20"/>
  <c r="Z288" i="20"/>
  <c r="AB288" i="20" s="1"/>
  <c r="AG322" i="37" s="1"/>
  <c r="Z283" i="20"/>
  <c r="AB283" i="20" s="1"/>
  <c r="AG317" i="37" s="1"/>
  <c r="AA283" i="20"/>
  <c r="AA284" i="20"/>
  <c r="Z284" i="20"/>
  <c r="AB284" i="20" s="1"/>
  <c r="AG318" i="37" s="1"/>
  <c r="Z285" i="20"/>
  <c r="AB285" i="20" s="1"/>
  <c r="AG319" i="37" s="1"/>
  <c r="AA285" i="20"/>
  <c r="Z287" i="20"/>
  <c r="AB287" i="20" s="1"/>
  <c r="AG321" i="37" s="1"/>
  <c r="AA287" i="20"/>
  <c r="AA286" i="20"/>
  <c r="Z286" i="20"/>
  <c r="AB286" i="20" s="1"/>
  <c r="AG320" i="37" s="1"/>
  <c r="Z261" i="20"/>
  <c r="AB261" i="20" s="1"/>
  <c r="AG295" i="37" s="1"/>
  <c r="AA261" i="20"/>
  <c r="L27" i="20"/>
  <c r="AC301" i="20"/>
  <c r="AB301" i="20"/>
  <c r="Y296" i="20"/>
  <c r="X296" i="20"/>
  <c r="L296" i="20"/>
  <c r="K296" i="20" s="1"/>
  <c r="O296" i="20" s="1"/>
  <c r="U296" i="20" s="1"/>
  <c r="Y295" i="20"/>
  <c r="X295" i="20"/>
  <c r="L295" i="20"/>
  <c r="K295" i="20" s="1"/>
  <c r="O295" i="20" s="1"/>
  <c r="Y294" i="20"/>
  <c r="X294" i="20"/>
  <c r="L294" i="20"/>
  <c r="K294" i="20" s="1"/>
  <c r="O294" i="20" s="1"/>
  <c r="Y293" i="20"/>
  <c r="X293" i="20"/>
  <c r="L293" i="20"/>
  <c r="K293" i="20" s="1"/>
  <c r="O293" i="20" s="1"/>
  <c r="Y292" i="20"/>
  <c r="W292" i="20"/>
  <c r="X292" i="20" s="1"/>
  <c r="L292" i="20"/>
  <c r="K292" i="20" s="1"/>
  <c r="O292" i="20" s="1"/>
  <c r="U292" i="20" s="1"/>
  <c r="Y291" i="20"/>
  <c r="W291" i="20"/>
  <c r="X291" i="20" s="1"/>
  <c r="L291" i="20"/>
  <c r="K291" i="20" s="1"/>
  <c r="O291" i="20" s="1"/>
  <c r="Y290" i="20"/>
  <c r="W290" i="20"/>
  <c r="X290" i="20" s="1"/>
  <c r="L290" i="20"/>
  <c r="K290" i="20" s="1"/>
  <c r="O290" i="20" s="1"/>
  <c r="Y282" i="20"/>
  <c r="X282" i="20"/>
  <c r="L282" i="20"/>
  <c r="K282" i="20" s="1"/>
  <c r="O282" i="20" s="1"/>
  <c r="Y281" i="20"/>
  <c r="X281" i="20"/>
  <c r="L281" i="20"/>
  <c r="K281" i="20" s="1"/>
  <c r="O281" i="20" s="1"/>
  <c r="U281" i="20" s="1"/>
  <c r="Y280" i="20"/>
  <c r="W280" i="20"/>
  <c r="X280" i="20" s="1"/>
  <c r="L280" i="20"/>
  <c r="K280" i="20" s="1"/>
  <c r="O280" i="20" s="1"/>
  <c r="Y279" i="20"/>
  <c r="X279" i="20"/>
  <c r="L279" i="20"/>
  <c r="K279" i="20" s="1"/>
  <c r="O279" i="20" s="1"/>
  <c r="Y278" i="20"/>
  <c r="X278" i="20"/>
  <c r="L278" i="20"/>
  <c r="K278" i="20" s="1"/>
  <c r="O278" i="20" s="1"/>
  <c r="Y277" i="20"/>
  <c r="W277" i="20"/>
  <c r="X277" i="20" s="1"/>
  <c r="L277" i="20"/>
  <c r="K277" i="20" s="1"/>
  <c r="O277" i="20" s="1"/>
  <c r="U277" i="20" s="1"/>
  <c r="Y276" i="20"/>
  <c r="X276" i="20"/>
  <c r="L276" i="20"/>
  <c r="K276" i="20" s="1"/>
  <c r="O276" i="20" s="1"/>
  <c r="Y275" i="20"/>
  <c r="W275" i="20"/>
  <c r="X275" i="20" s="1"/>
  <c r="L275" i="20"/>
  <c r="K275" i="20" s="1"/>
  <c r="O275" i="20" s="1"/>
  <c r="Y274" i="20"/>
  <c r="W274" i="20"/>
  <c r="X274" i="20" s="1"/>
  <c r="L274" i="20"/>
  <c r="K274" i="20" s="1"/>
  <c r="O274" i="20" s="1"/>
  <c r="Y273" i="20"/>
  <c r="W273" i="20"/>
  <c r="X273" i="20" s="1"/>
  <c r="L273" i="20"/>
  <c r="K273" i="20" s="1"/>
  <c r="O273" i="20" s="1"/>
  <c r="U273" i="20" s="1"/>
  <c r="Y272" i="20"/>
  <c r="W272" i="20"/>
  <c r="X272" i="20" s="1"/>
  <c r="L272" i="20"/>
  <c r="K272" i="20" s="1"/>
  <c r="O272" i="20" s="1"/>
  <c r="Y271" i="20"/>
  <c r="X271" i="20"/>
  <c r="L271" i="20"/>
  <c r="K271" i="20" s="1"/>
  <c r="O271" i="20" s="1"/>
  <c r="Y270" i="20"/>
  <c r="X270" i="20"/>
  <c r="L270" i="20"/>
  <c r="K270" i="20" s="1"/>
  <c r="O270" i="20" s="1"/>
  <c r="U270" i="20" s="1"/>
  <c r="AA270" i="20" s="1"/>
  <c r="Y269" i="20"/>
  <c r="X269" i="20"/>
  <c r="L269" i="20"/>
  <c r="K269" i="20" s="1"/>
  <c r="O269" i="20" s="1"/>
  <c r="Y268" i="20"/>
  <c r="W268" i="20"/>
  <c r="X268" i="20" s="1"/>
  <c r="L268" i="20"/>
  <c r="K268" i="20" s="1"/>
  <c r="O268" i="20" s="1"/>
  <c r="U268" i="20" s="1"/>
  <c r="AA268" i="20" s="1"/>
  <c r="Y267" i="20"/>
  <c r="W267" i="20"/>
  <c r="X267" i="20" s="1"/>
  <c r="L267" i="20"/>
  <c r="K267" i="20" s="1"/>
  <c r="O267" i="20" s="1"/>
  <c r="Y266" i="20"/>
  <c r="W266" i="20"/>
  <c r="X266" i="20" s="1"/>
  <c r="L266" i="20"/>
  <c r="K266" i="20" s="1"/>
  <c r="O266" i="20" s="1"/>
  <c r="Y265" i="20"/>
  <c r="W265" i="20"/>
  <c r="X265" i="20" s="1"/>
  <c r="L265" i="20"/>
  <c r="K265" i="20" s="1"/>
  <c r="O265" i="20" s="1"/>
  <c r="U265" i="20" s="1"/>
  <c r="Y264" i="20"/>
  <c r="X264" i="20"/>
  <c r="L264" i="20"/>
  <c r="K264" i="20" s="1"/>
  <c r="O264" i="20" s="1"/>
  <c r="W263" i="20"/>
  <c r="X263" i="20" s="1"/>
  <c r="N263" i="20"/>
  <c r="Y263" i="20" s="1"/>
  <c r="M263" i="20"/>
  <c r="L263" i="20" s="1"/>
  <c r="K263" i="20" s="1"/>
  <c r="Y260" i="20"/>
  <c r="X260" i="20"/>
  <c r="L260" i="20"/>
  <c r="K260" i="20" s="1"/>
  <c r="O260" i="20" s="1"/>
  <c r="Y259" i="20"/>
  <c r="X259" i="20"/>
  <c r="L259" i="20"/>
  <c r="K259" i="20" s="1"/>
  <c r="O259" i="20" s="1"/>
  <c r="Y258" i="20"/>
  <c r="W258" i="20"/>
  <c r="X258" i="20" s="1"/>
  <c r="L258" i="20"/>
  <c r="K258" i="20" s="1"/>
  <c r="O258" i="20" s="1"/>
  <c r="Y238" i="20"/>
  <c r="W238" i="20"/>
  <c r="X238" i="20" s="1"/>
  <c r="L238" i="20"/>
  <c r="K238" i="20" s="1"/>
  <c r="O238" i="20" s="1"/>
  <c r="Y237" i="20"/>
  <c r="W237" i="20"/>
  <c r="X237" i="20" s="1"/>
  <c r="L237" i="20"/>
  <c r="K237" i="20" s="1"/>
  <c r="O237" i="20" s="1"/>
  <c r="Y236" i="20"/>
  <c r="W236" i="20"/>
  <c r="X236" i="20" s="1"/>
  <c r="L236" i="20"/>
  <c r="K236" i="20" s="1"/>
  <c r="O236" i="20" s="1"/>
  <c r="Y235" i="20"/>
  <c r="W235" i="20"/>
  <c r="X235" i="20" s="1"/>
  <c r="L235" i="20"/>
  <c r="K235" i="20" s="1"/>
  <c r="O235" i="20" s="1"/>
  <c r="Y234" i="20"/>
  <c r="W234" i="20"/>
  <c r="X234" i="20" s="1"/>
  <c r="L234" i="20"/>
  <c r="K234" i="20" s="1"/>
  <c r="O234" i="20" s="1"/>
  <c r="U234" i="20" s="1"/>
  <c r="Y233" i="20"/>
  <c r="W233" i="20"/>
  <c r="X233" i="20" s="1"/>
  <c r="L233" i="20"/>
  <c r="K233" i="20" s="1"/>
  <c r="O233" i="20" s="1"/>
  <c r="Y232" i="20"/>
  <c r="W232" i="20"/>
  <c r="X232" i="20" s="1"/>
  <c r="L232" i="20"/>
  <c r="K232" i="20" s="1"/>
  <c r="O232" i="20" s="1"/>
  <c r="Y231" i="20"/>
  <c r="W231" i="20"/>
  <c r="X231" i="20" s="1"/>
  <c r="L231" i="20"/>
  <c r="K231" i="20" s="1"/>
  <c r="O231" i="20" s="1"/>
  <c r="Y230" i="20"/>
  <c r="W230" i="20"/>
  <c r="X230" i="20" s="1"/>
  <c r="L230" i="20"/>
  <c r="K230" i="20" s="1"/>
  <c r="O230" i="20" s="1"/>
  <c r="Y229" i="20"/>
  <c r="W229" i="20"/>
  <c r="X229" i="20" s="1"/>
  <c r="L229" i="20"/>
  <c r="K229" i="20" s="1"/>
  <c r="O229" i="20" s="1"/>
  <c r="Y228" i="20"/>
  <c r="W228" i="20"/>
  <c r="X228" i="20" s="1"/>
  <c r="L228" i="20"/>
  <c r="K228" i="20" s="1"/>
  <c r="O228" i="20" s="1"/>
  <c r="Y227" i="20"/>
  <c r="W227" i="20"/>
  <c r="X227" i="20" s="1"/>
  <c r="L227" i="20"/>
  <c r="K227" i="20" s="1"/>
  <c r="O227" i="20" s="1"/>
  <c r="Y226" i="20"/>
  <c r="W226" i="20"/>
  <c r="X226" i="20" s="1"/>
  <c r="L226" i="20"/>
  <c r="K226" i="20" s="1"/>
  <c r="O226" i="20" s="1"/>
  <c r="U226" i="20" s="1"/>
  <c r="Y225" i="20"/>
  <c r="W225" i="20"/>
  <c r="X225" i="20" s="1"/>
  <c r="L225" i="20"/>
  <c r="K225" i="20" s="1"/>
  <c r="Y224" i="20"/>
  <c r="X224" i="20"/>
  <c r="L224" i="20"/>
  <c r="K224" i="20" s="1"/>
  <c r="O224" i="20" s="1"/>
  <c r="Y223" i="20"/>
  <c r="X223" i="20"/>
  <c r="L223" i="20"/>
  <c r="K223" i="20" s="1"/>
  <c r="O223" i="20" s="1"/>
  <c r="Y222" i="20"/>
  <c r="X222" i="20"/>
  <c r="L222" i="20"/>
  <c r="K222" i="20" s="1"/>
  <c r="O222" i="20" s="1"/>
  <c r="U222" i="20" s="1"/>
  <c r="Y221" i="20"/>
  <c r="W221" i="20"/>
  <c r="X221" i="20" s="1"/>
  <c r="L221" i="20"/>
  <c r="K221" i="20" s="1"/>
  <c r="O221" i="20" s="1"/>
  <c r="Y220" i="20"/>
  <c r="W220" i="20"/>
  <c r="X220" i="20" s="1"/>
  <c r="L220" i="20"/>
  <c r="K220" i="20" s="1"/>
  <c r="O220" i="20" s="1"/>
  <c r="Y219" i="20"/>
  <c r="W219" i="20"/>
  <c r="X219" i="20" s="1"/>
  <c r="L219" i="20"/>
  <c r="K219" i="20" s="1"/>
  <c r="O219" i="20" s="1"/>
  <c r="Y218" i="20"/>
  <c r="W218" i="20"/>
  <c r="X218" i="20" s="1"/>
  <c r="L218" i="20"/>
  <c r="K218" i="20" s="1"/>
  <c r="O218" i="20" s="1"/>
  <c r="U218" i="20" s="1"/>
  <c r="Y217" i="20"/>
  <c r="W217" i="20"/>
  <c r="X217" i="20" s="1"/>
  <c r="L217" i="20"/>
  <c r="K217" i="20" s="1"/>
  <c r="O217" i="20" s="1"/>
  <c r="Y216" i="20"/>
  <c r="W216" i="20"/>
  <c r="X216" i="20" s="1"/>
  <c r="L216" i="20"/>
  <c r="K216" i="20" s="1"/>
  <c r="O216" i="20" s="1"/>
  <c r="Y215" i="20"/>
  <c r="W215" i="20"/>
  <c r="X215" i="20" s="1"/>
  <c r="L215" i="20"/>
  <c r="K215" i="20" s="1"/>
  <c r="O215" i="20" s="1"/>
  <c r="U215" i="20" s="1"/>
  <c r="Y214" i="20"/>
  <c r="W214" i="20"/>
  <c r="X214" i="20" s="1"/>
  <c r="L214" i="20"/>
  <c r="K214" i="20" s="1"/>
  <c r="O214" i="20" s="1"/>
  <c r="Y213" i="20"/>
  <c r="W213" i="20"/>
  <c r="X213" i="20" s="1"/>
  <c r="L213" i="20"/>
  <c r="K213" i="20" s="1"/>
  <c r="O213" i="20" s="1"/>
  <c r="Y212" i="20"/>
  <c r="W212" i="20"/>
  <c r="X212" i="20" s="1"/>
  <c r="L212" i="20"/>
  <c r="K212" i="20" s="1"/>
  <c r="O212" i="20" s="1"/>
  <c r="Y211" i="20"/>
  <c r="W211" i="20"/>
  <c r="X211" i="20" s="1"/>
  <c r="L211" i="20"/>
  <c r="K211" i="20" s="1"/>
  <c r="O211" i="20" s="1"/>
  <c r="Y210" i="20"/>
  <c r="W210" i="20"/>
  <c r="X210" i="20" s="1"/>
  <c r="L210" i="20"/>
  <c r="K210" i="20" s="1"/>
  <c r="O210" i="20" s="1"/>
  <c r="U210" i="20" s="1"/>
  <c r="Y209" i="20"/>
  <c r="W209" i="20"/>
  <c r="X209" i="20" s="1"/>
  <c r="L209" i="20"/>
  <c r="K209" i="20" s="1"/>
  <c r="O209" i="20" s="1"/>
  <c r="W208" i="20"/>
  <c r="X208" i="20" s="1"/>
  <c r="N208" i="20"/>
  <c r="Y208" i="20" s="1"/>
  <c r="M208" i="20"/>
  <c r="L208" i="20" s="1"/>
  <c r="K208" i="20" s="1"/>
  <c r="Y207" i="20"/>
  <c r="W207" i="20"/>
  <c r="X207" i="20" s="1"/>
  <c r="L207" i="20"/>
  <c r="K207" i="20" s="1"/>
  <c r="O207" i="20" s="1"/>
  <c r="Y206" i="20"/>
  <c r="W206" i="20"/>
  <c r="X206" i="20" s="1"/>
  <c r="L206" i="20"/>
  <c r="K206" i="20" s="1"/>
  <c r="O206" i="20" s="1"/>
  <c r="U206" i="20" s="1"/>
  <c r="X205" i="20"/>
  <c r="N205" i="20"/>
  <c r="Y205" i="20" s="1"/>
  <c r="M205" i="20"/>
  <c r="L205" i="20" s="1"/>
  <c r="K205" i="20" s="1"/>
  <c r="O205" i="20" s="1"/>
  <c r="U205" i="20" s="1"/>
  <c r="X204" i="20"/>
  <c r="N204" i="20"/>
  <c r="Y204" i="20" s="1"/>
  <c r="M204" i="20"/>
  <c r="L204" i="20" s="1"/>
  <c r="K204" i="20" s="1"/>
  <c r="O204" i="20" s="1"/>
  <c r="W203" i="20"/>
  <c r="X203" i="20" s="1"/>
  <c r="N203" i="20"/>
  <c r="Y203" i="20" s="1"/>
  <c r="M203" i="20"/>
  <c r="L203" i="20" s="1"/>
  <c r="K203" i="20" s="1"/>
  <c r="O203" i="20" s="1"/>
  <c r="W202" i="20"/>
  <c r="X202" i="20" s="1"/>
  <c r="N202" i="20"/>
  <c r="Y202" i="20" s="1"/>
  <c r="M202" i="20"/>
  <c r="L202" i="20" s="1"/>
  <c r="K202" i="20" s="1"/>
  <c r="O202" i="20" s="1"/>
  <c r="U202" i="20" s="1"/>
  <c r="Z202" i="20" s="1"/>
  <c r="W201" i="20"/>
  <c r="X201" i="20" s="1"/>
  <c r="N201" i="20"/>
  <c r="Y201" i="20" s="1"/>
  <c r="M201" i="20"/>
  <c r="L201" i="20" s="1"/>
  <c r="K201" i="20" s="1"/>
  <c r="O201" i="20" s="1"/>
  <c r="U201" i="20" s="1"/>
  <c r="AB201" i="20" s="1"/>
  <c r="AG204" i="37" s="1"/>
  <c r="W200" i="20"/>
  <c r="X200" i="20" s="1"/>
  <c r="N200" i="20"/>
  <c r="Y200" i="20" s="1"/>
  <c r="M200" i="20"/>
  <c r="L200" i="20" s="1"/>
  <c r="K200" i="20" s="1"/>
  <c r="O200" i="20" s="1"/>
  <c r="T200" i="20" s="1"/>
  <c r="W199" i="20"/>
  <c r="X199" i="20" s="1"/>
  <c r="N199" i="20"/>
  <c r="Y199" i="20" s="1"/>
  <c r="M199" i="20"/>
  <c r="L199" i="20" s="1"/>
  <c r="K199" i="20" s="1"/>
  <c r="Y198" i="20"/>
  <c r="W198" i="20"/>
  <c r="X198" i="20" s="1"/>
  <c r="L198" i="20"/>
  <c r="K198" i="20" s="1"/>
  <c r="O198" i="20" s="1"/>
  <c r="Y197" i="20"/>
  <c r="W197" i="20"/>
  <c r="X197" i="20" s="1"/>
  <c r="L197" i="20"/>
  <c r="K197" i="20" s="1"/>
  <c r="O197" i="20" s="1"/>
  <c r="T197" i="20" s="1"/>
  <c r="Y196" i="20"/>
  <c r="W196" i="20"/>
  <c r="X196" i="20" s="1"/>
  <c r="L196" i="20"/>
  <c r="K196" i="20" s="1"/>
  <c r="O196" i="20" s="1"/>
  <c r="Y195" i="20"/>
  <c r="W195" i="20"/>
  <c r="X195" i="20" s="1"/>
  <c r="L195" i="20"/>
  <c r="K195" i="20" s="1"/>
  <c r="O195" i="20" s="1"/>
  <c r="T195" i="20" s="1"/>
  <c r="Y194" i="20"/>
  <c r="W194" i="20"/>
  <c r="X194" i="20" s="1"/>
  <c r="L194" i="20"/>
  <c r="K194" i="20" s="1"/>
  <c r="O194" i="20" s="1"/>
  <c r="Y193" i="20"/>
  <c r="W193" i="20"/>
  <c r="X193" i="20" s="1"/>
  <c r="L193" i="20"/>
  <c r="K193" i="20" s="1"/>
  <c r="O193" i="20" s="1"/>
  <c r="Y192" i="20"/>
  <c r="W192" i="20"/>
  <c r="X192" i="20" s="1"/>
  <c r="L192" i="20"/>
  <c r="K192" i="20" s="1"/>
  <c r="O192" i="20" s="1"/>
  <c r="Y191" i="20"/>
  <c r="X191" i="20"/>
  <c r="L191" i="20"/>
  <c r="K191" i="20" s="1"/>
  <c r="O191" i="20" s="1"/>
  <c r="Y190" i="20"/>
  <c r="W190" i="20"/>
  <c r="X190" i="20" s="1"/>
  <c r="L190" i="20"/>
  <c r="K190" i="20" s="1"/>
  <c r="O190" i="20" s="1"/>
  <c r="Y189" i="20"/>
  <c r="W189" i="20"/>
  <c r="X189" i="20" s="1"/>
  <c r="L189" i="20"/>
  <c r="K189" i="20" s="1"/>
  <c r="O189" i="20" s="1"/>
  <c r="T189" i="20" s="1"/>
  <c r="Y188" i="20"/>
  <c r="W188" i="20"/>
  <c r="X188" i="20" s="1"/>
  <c r="L188" i="20"/>
  <c r="K188" i="20" s="1"/>
  <c r="O188" i="20" s="1"/>
  <c r="Y187" i="20"/>
  <c r="W187" i="20"/>
  <c r="X187" i="20" s="1"/>
  <c r="L187" i="20"/>
  <c r="K187" i="20" s="1"/>
  <c r="O187" i="20" s="1"/>
  <c r="T187" i="20" s="1"/>
  <c r="Y186" i="20"/>
  <c r="W186" i="20"/>
  <c r="X186" i="20" s="1"/>
  <c r="L186" i="20"/>
  <c r="K186" i="20" s="1"/>
  <c r="O186" i="20" s="1"/>
  <c r="Y185" i="20"/>
  <c r="W185" i="20"/>
  <c r="X185" i="20" s="1"/>
  <c r="L185" i="20"/>
  <c r="K185" i="20" s="1"/>
  <c r="O185" i="20" s="1"/>
  <c r="T185" i="20" s="1"/>
  <c r="Y184" i="20"/>
  <c r="W184" i="20"/>
  <c r="X184" i="20" s="1"/>
  <c r="L184" i="20"/>
  <c r="K184" i="20" s="1"/>
  <c r="O184" i="20" s="1"/>
  <c r="Y183" i="20"/>
  <c r="W183" i="20"/>
  <c r="X183" i="20" s="1"/>
  <c r="L183" i="20"/>
  <c r="K183" i="20" s="1"/>
  <c r="O183" i="20" s="1"/>
  <c r="T183" i="20" s="1"/>
  <c r="Y182" i="20"/>
  <c r="W182" i="20"/>
  <c r="X182" i="20" s="1"/>
  <c r="L182" i="20"/>
  <c r="K182" i="20" s="1"/>
  <c r="O182" i="20" s="1"/>
  <c r="Y181" i="20"/>
  <c r="W181" i="20"/>
  <c r="X181" i="20" s="1"/>
  <c r="L181" i="20"/>
  <c r="K181" i="20" s="1"/>
  <c r="O181" i="20" s="1"/>
  <c r="T181" i="20" s="1"/>
  <c r="Y180" i="20"/>
  <c r="W180" i="20"/>
  <c r="X180" i="20" s="1"/>
  <c r="L180" i="20"/>
  <c r="K180" i="20" s="1"/>
  <c r="O180" i="20" s="1"/>
  <c r="Y179" i="20"/>
  <c r="W179" i="20"/>
  <c r="X179" i="20" s="1"/>
  <c r="L179" i="20"/>
  <c r="K179" i="20" s="1"/>
  <c r="O179" i="20" s="1"/>
  <c r="Y178" i="20"/>
  <c r="W178" i="20"/>
  <c r="X178" i="20" s="1"/>
  <c r="L178" i="20"/>
  <c r="K178" i="20" s="1"/>
  <c r="O178" i="20" s="1"/>
  <c r="Y177" i="20"/>
  <c r="W177" i="20"/>
  <c r="X177" i="20" s="1"/>
  <c r="L177" i="20"/>
  <c r="K177" i="20" s="1"/>
  <c r="O177" i="20" s="1"/>
  <c r="T177" i="20" s="1"/>
  <c r="Y176" i="20"/>
  <c r="W176" i="20"/>
  <c r="X176" i="20" s="1"/>
  <c r="L176" i="20"/>
  <c r="K176" i="20" s="1"/>
  <c r="O176" i="20" s="1"/>
  <c r="Y175" i="20"/>
  <c r="W175" i="20"/>
  <c r="X175" i="20" s="1"/>
  <c r="L175" i="20"/>
  <c r="K175" i="20" s="1"/>
  <c r="O175" i="20" s="1"/>
  <c r="Y174" i="20"/>
  <c r="W174" i="20"/>
  <c r="X174" i="20" s="1"/>
  <c r="L174" i="20"/>
  <c r="K174" i="20" s="1"/>
  <c r="O174" i="20" s="1"/>
  <c r="Y173" i="20"/>
  <c r="W173" i="20"/>
  <c r="X173" i="20" s="1"/>
  <c r="L173" i="20"/>
  <c r="K173" i="20" s="1"/>
  <c r="O173" i="20" s="1"/>
  <c r="T173" i="20" s="1"/>
  <c r="Y172" i="20"/>
  <c r="W172" i="20"/>
  <c r="X172" i="20" s="1"/>
  <c r="L172" i="20"/>
  <c r="K172" i="20" s="1"/>
  <c r="O172" i="20" s="1"/>
  <c r="Y171" i="20"/>
  <c r="W171" i="20"/>
  <c r="X171" i="20" s="1"/>
  <c r="L171" i="20"/>
  <c r="K171" i="20" s="1"/>
  <c r="O171" i="20" s="1"/>
  <c r="T171" i="20" s="1"/>
  <c r="Y170" i="20"/>
  <c r="W170" i="20"/>
  <c r="X170" i="20" s="1"/>
  <c r="L170" i="20"/>
  <c r="K170" i="20" s="1"/>
  <c r="O170" i="20" s="1"/>
  <c r="Y169" i="20"/>
  <c r="W169" i="20"/>
  <c r="X169" i="20" s="1"/>
  <c r="L169" i="20"/>
  <c r="K169" i="20" s="1"/>
  <c r="O169" i="20" s="1"/>
  <c r="T169" i="20" s="1"/>
  <c r="Y168" i="20"/>
  <c r="W168" i="20"/>
  <c r="X168" i="20" s="1"/>
  <c r="L168" i="20"/>
  <c r="K168" i="20" s="1"/>
  <c r="O168" i="20" s="1"/>
  <c r="Y167" i="20"/>
  <c r="W167" i="20"/>
  <c r="X167" i="20" s="1"/>
  <c r="L167" i="20"/>
  <c r="K167" i="20" s="1"/>
  <c r="O167" i="20" s="1"/>
  <c r="T167" i="20" s="1"/>
  <c r="Y166" i="20"/>
  <c r="W166" i="20"/>
  <c r="X166" i="20" s="1"/>
  <c r="L166" i="20"/>
  <c r="K166" i="20" s="1"/>
  <c r="O166" i="20" s="1"/>
  <c r="Y165" i="20"/>
  <c r="W165" i="20"/>
  <c r="X165" i="20" s="1"/>
  <c r="L165" i="20"/>
  <c r="K165" i="20" s="1"/>
  <c r="O165" i="20" s="1"/>
  <c r="T165" i="20" s="1"/>
  <c r="Y164" i="20"/>
  <c r="W164" i="20"/>
  <c r="X164" i="20" s="1"/>
  <c r="L164" i="20"/>
  <c r="K164" i="20" s="1"/>
  <c r="O164" i="20" s="1"/>
  <c r="Y163" i="20"/>
  <c r="W163" i="20"/>
  <c r="X163" i="20" s="1"/>
  <c r="L163" i="20"/>
  <c r="K163" i="20" s="1"/>
  <c r="O163" i="20" s="1"/>
  <c r="Y162" i="20"/>
  <c r="W162" i="20"/>
  <c r="X162" i="20" s="1"/>
  <c r="L162" i="20"/>
  <c r="K162" i="20" s="1"/>
  <c r="O162" i="20" s="1"/>
  <c r="Y161" i="20"/>
  <c r="W161" i="20"/>
  <c r="X161" i="20" s="1"/>
  <c r="L161" i="20"/>
  <c r="K161" i="20" s="1"/>
  <c r="O161" i="20" s="1"/>
  <c r="T161" i="20" s="1"/>
  <c r="Y160" i="20"/>
  <c r="W160" i="20"/>
  <c r="X160" i="20" s="1"/>
  <c r="L160" i="20"/>
  <c r="K160" i="20" s="1"/>
  <c r="O160" i="20" s="1"/>
  <c r="Y159" i="20"/>
  <c r="W159" i="20"/>
  <c r="X159" i="20" s="1"/>
  <c r="L159" i="20"/>
  <c r="K159" i="20" s="1"/>
  <c r="O159" i="20" s="1"/>
  <c r="Y158" i="20"/>
  <c r="W158" i="20"/>
  <c r="X158" i="20" s="1"/>
  <c r="L158" i="20"/>
  <c r="K158" i="20" s="1"/>
  <c r="O158" i="20" s="1"/>
  <c r="Y157" i="20"/>
  <c r="W157" i="20"/>
  <c r="X157" i="20" s="1"/>
  <c r="L157" i="20"/>
  <c r="K157" i="20" s="1"/>
  <c r="O157" i="20" s="1"/>
  <c r="T157" i="20" s="1"/>
  <c r="Y156" i="20"/>
  <c r="W156" i="20"/>
  <c r="X156" i="20" s="1"/>
  <c r="L156" i="20"/>
  <c r="K156" i="20" s="1"/>
  <c r="O156" i="20" s="1"/>
  <c r="Y155" i="20"/>
  <c r="W155" i="20"/>
  <c r="X155" i="20" s="1"/>
  <c r="L155" i="20"/>
  <c r="K155" i="20" s="1"/>
  <c r="O155" i="20" s="1"/>
  <c r="T155" i="20" s="1"/>
  <c r="Y154" i="20"/>
  <c r="W154" i="20"/>
  <c r="X154" i="20" s="1"/>
  <c r="L154" i="20"/>
  <c r="K154" i="20" s="1"/>
  <c r="O154" i="20" s="1"/>
  <c r="Y153" i="20"/>
  <c r="W153" i="20"/>
  <c r="X153" i="20" s="1"/>
  <c r="L153" i="20"/>
  <c r="K153" i="20" s="1"/>
  <c r="O153" i="20" s="1"/>
  <c r="T153" i="20" s="1"/>
  <c r="Y152" i="20"/>
  <c r="W152" i="20"/>
  <c r="X152" i="20" s="1"/>
  <c r="L152" i="20"/>
  <c r="K152" i="20" s="1"/>
  <c r="O152" i="20" s="1"/>
  <c r="Y151" i="20"/>
  <c r="W151" i="20"/>
  <c r="X151" i="20" s="1"/>
  <c r="L151" i="20"/>
  <c r="K151" i="20" s="1"/>
  <c r="O151" i="20" s="1"/>
  <c r="T151" i="20" s="1"/>
  <c r="Y150" i="20"/>
  <c r="W150" i="20"/>
  <c r="X150" i="20" s="1"/>
  <c r="L150" i="20"/>
  <c r="K150" i="20" s="1"/>
  <c r="O150" i="20" s="1"/>
  <c r="Y149" i="20"/>
  <c r="W149" i="20"/>
  <c r="X149" i="20" s="1"/>
  <c r="L149" i="20"/>
  <c r="K149" i="20" s="1"/>
  <c r="O149" i="20" s="1"/>
  <c r="T149" i="20" s="1"/>
  <c r="Y148" i="20"/>
  <c r="W148" i="20"/>
  <c r="X148" i="20" s="1"/>
  <c r="L148" i="20"/>
  <c r="K148" i="20" s="1"/>
  <c r="O148" i="20" s="1"/>
  <c r="Y147" i="20"/>
  <c r="W147" i="20"/>
  <c r="X147" i="20" s="1"/>
  <c r="L147" i="20"/>
  <c r="K147" i="20" s="1"/>
  <c r="O147" i="20" s="1"/>
  <c r="Y146" i="20"/>
  <c r="W146" i="20"/>
  <c r="X146" i="20" s="1"/>
  <c r="L146" i="20"/>
  <c r="K146" i="20" s="1"/>
  <c r="O146" i="20" s="1"/>
  <c r="Y145" i="20"/>
  <c r="W145" i="20"/>
  <c r="X145" i="20" s="1"/>
  <c r="L145" i="20"/>
  <c r="K145" i="20" s="1"/>
  <c r="O145" i="20" s="1"/>
  <c r="T145" i="20" s="1"/>
  <c r="Y144" i="20"/>
  <c r="W144" i="20"/>
  <c r="X144" i="20" s="1"/>
  <c r="L144" i="20"/>
  <c r="K144" i="20" s="1"/>
  <c r="O144" i="20" s="1"/>
  <c r="Y143" i="20"/>
  <c r="W143" i="20"/>
  <c r="X143" i="20" s="1"/>
  <c r="L143" i="20"/>
  <c r="K143" i="20" s="1"/>
  <c r="O143" i="20" s="1"/>
  <c r="Y142" i="20"/>
  <c r="W142" i="20"/>
  <c r="X142" i="20" s="1"/>
  <c r="L142" i="20"/>
  <c r="K142" i="20" s="1"/>
  <c r="O142" i="20" s="1"/>
  <c r="Y141" i="20"/>
  <c r="W141" i="20"/>
  <c r="X141" i="20" s="1"/>
  <c r="L141" i="20"/>
  <c r="K141" i="20" s="1"/>
  <c r="O141" i="20" s="1"/>
  <c r="Y140" i="20"/>
  <c r="W140" i="20"/>
  <c r="X140" i="20" s="1"/>
  <c r="L140" i="20"/>
  <c r="K140" i="20" s="1"/>
  <c r="O140" i="20" s="1"/>
  <c r="W139" i="20"/>
  <c r="X139" i="20" s="1"/>
  <c r="N139" i="20"/>
  <c r="Y139" i="20" s="1"/>
  <c r="M139" i="20"/>
  <c r="L139" i="20" s="1"/>
  <c r="K139" i="20" s="1"/>
  <c r="O139" i="20" s="1"/>
  <c r="W138" i="20"/>
  <c r="X138" i="20" s="1"/>
  <c r="N138" i="20"/>
  <c r="Y138" i="20" s="1"/>
  <c r="M138" i="20"/>
  <c r="L138" i="20" s="1"/>
  <c r="K138" i="20" s="1"/>
  <c r="W137" i="20"/>
  <c r="X137" i="20" s="1"/>
  <c r="N137" i="20"/>
  <c r="Y137" i="20" s="1"/>
  <c r="M137" i="20"/>
  <c r="L137" i="20" s="1"/>
  <c r="K137" i="20" s="1"/>
  <c r="O137" i="20" s="1"/>
  <c r="W136" i="20"/>
  <c r="X136" i="20" s="1"/>
  <c r="N136" i="20"/>
  <c r="Y136" i="20" s="1"/>
  <c r="M136" i="20"/>
  <c r="L136" i="20" s="1"/>
  <c r="K136" i="20" s="1"/>
  <c r="Y135" i="20"/>
  <c r="W135" i="20"/>
  <c r="X135" i="20" s="1"/>
  <c r="L135" i="20"/>
  <c r="K135" i="20" s="1"/>
  <c r="O135" i="20" s="1"/>
  <c r="Y134" i="20"/>
  <c r="W134" i="20"/>
  <c r="X134" i="20" s="1"/>
  <c r="L134" i="20"/>
  <c r="K134" i="20" s="1"/>
  <c r="O134" i="20" s="1"/>
  <c r="Y133" i="20"/>
  <c r="W133" i="20"/>
  <c r="X133" i="20" s="1"/>
  <c r="L133" i="20"/>
  <c r="K133" i="20" s="1"/>
  <c r="O133" i="20" s="1"/>
  <c r="Y132" i="20"/>
  <c r="W132" i="20"/>
  <c r="X132" i="20" s="1"/>
  <c r="L132" i="20"/>
  <c r="K132" i="20" s="1"/>
  <c r="O132" i="20" s="1"/>
  <c r="Y131" i="20"/>
  <c r="W131" i="20"/>
  <c r="X131" i="20" s="1"/>
  <c r="L131" i="20"/>
  <c r="K131" i="20" s="1"/>
  <c r="O131" i="20" s="1"/>
  <c r="T131" i="20" s="1"/>
  <c r="Y130" i="20"/>
  <c r="W130" i="20"/>
  <c r="X130" i="20" s="1"/>
  <c r="L130" i="20"/>
  <c r="K130" i="20" s="1"/>
  <c r="O130" i="20" s="1"/>
  <c r="U130" i="20" s="1"/>
  <c r="Y129" i="20"/>
  <c r="W129" i="20"/>
  <c r="X129" i="20" s="1"/>
  <c r="L129" i="20"/>
  <c r="K129" i="20" s="1"/>
  <c r="O129" i="20" s="1"/>
  <c r="Y128" i="20"/>
  <c r="W128" i="20"/>
  <c r="X128" i="20" s="1"/>
  <c r="L128" i="20"/>
  <c r="K128" i="20" s="1"/>
  <c r="O128" i="20" s="1"/>
  <c r="T128" i="20" s="1"/>
  <c r="Y127" i="20"/>
  <c r="W127" i="20"/>
  <c r="X127" i="20" s="1"/>
  <c r="L127" i="20"/>
  <c r="K127" i="20" s="1"/>
  <c r="O127" i="20" s="1"/>
  <c r="U127" i="20" s="1"/>
  <c r="Y126" i="20"/>
  <c r="W126" i="20"/>
  <c r="X126" i="20" s="1"/>
  <c r="L126" i="20"/>
  <c r="K126" i="20" s="1"/>
  <c r="O126" i="20" s="1"/>
  <c r="U126" i="20" s="1"/>
  <c r="Y125" i="20"/>
  <c r="W125" i="20"/>
  <c r="X125" i="20" s="1"/>
  <c r="L125" i="20"/>
  <c r="K125" i="20" s="1"/>
  <c r="O125" i="20" s="1"/>
  <c r="Y124" i="20"/>
  <c r="W124" i="20"/>
  <c r="X124" i="20" s="1"/>
  <c r="L124" i="20"/>
  <c r="K124" i="20" s="1"/>
  <c r="O124" i="20" s="1"/>
  <c r="T124" i="20" s="1"/>
  <c r="Y123" i="20"/>
  <c r="W123" i="20"/>
  <c r="X123" i="20" s="1"/>
  <c r="L123" i="20"/>
  <c r="K123" i="20" s="1"/>
  <c r="O123" i="20" s="1"/>
  <c r="U123" i="20" s="1"/>
  <c r="Y122" i="20"/>
  <c r="W122" i="20"/>
  <c r="X122" i="20" s="1"/>
  <c r="L122" i="20"/>
  <c r="K122" i="20" s="1"/>
  <c r="O122" i="20" s="1"/>
  <c r="U122" i="20" s="1"/>
  <c r="Y121" i="20"/>
  <c r="W121" i="20"/>
  <c r="X121" i="20" s="1"/>
  <c r="L121" i="20"/>
  <c r="K121" i="20" s="1"/>
  <c r="O121" i="20" s="1"/>
  <c r="Y120" i="20"/>
  <c r="W120" i="20"/>
  <c r="X120" i="20" s="1"/>
  <c r="L120" i="20"/>
  <c r="K120" i="20" s="1"/>
  <c r="O120" i="20" s="1"/>
  <c r="T120" i="20" s="1"/>
  <c r="Y119" i="20"/>
  <c r="W119" i="20"/>
  <c r="X119" i="20" s="1"/>
  <c r="L119" i="20"/>
  <c r="K119" i="20" s="1"/>
  <c r="O119" i="20" s="1"/>
  <c r="U119" i="20" s="1"/>
  <c r="Y118" i="20"/>
  <c r="W118" i="20"/>
  <c r="X118" i="20" s="1"/>
  <c r="L118" i="20"/>
  <c r="K118" i="20" s="1"/>
  <c r="O118" i="20" s="1"/>
  <c r="U118" i="20" s="1"/>
  <c r="Y117" i="20"/>
  <c r="W117" i="20"/>
  <c r="X117" i="20" s="1"/>
  <c r="L117" i="20"/>
  <c r="K117" i="20" s="1"/>
  <c r="O117" i="20" s="1"/>
  <c r="Y116" i="20"/>
  <c r="W116" i="20"/>
  <c r="X116" i="20" s="1"/>
  <c r="L116" i="20"/>
  <c r="K116" i="20" s="1"/>
  <c r="O116" i="20" s="1"/>
  <c r="T116" i="20" s="1"/>
  <c r="Y115" i="20"/>
  <c r="W115" i="20"/>
  <c r="X115" i="20" s="1"/>
  <c r="L115" i="20"/>
  <c r="K115" i="20" s="1"/>
  <c r="O115" i="20" s="1"/>
  <c r="U115" i="20" s="1"/>
  <c r="Y114" i="20"/>
  <c r="W114" i="20"/>
  <c r="X114" i="20" s="1"/>
  <c r="L114" i="20"/>
  <c r="K114" i="20" s="1"/>
  <c r="O114" i="20" s="1"/>
  <c r="U114" i="20" s="1"/>
  <c r="Y113" i="20"/>
  <c r="W113" i="20"/>
  <c r="X113" i="20" s="1"/>
  <c r="L113" i="20"/>
  <c r="K113" i="20" s="1"/>
  <c r="O113" i="20" s="1"/>
  <c r="Y112" i="20"/>
  <c r="W112" i="20"/>
  <c r="X112" i="20" s="1"/>
  <c r="L112" i="20"/>
  <c r="K112" i="20" s="1"/>
  <c r="O112" i="20" s="1"/>
  <c r="T112" i="20" s="1"/>
  <c r="Y111" i="20"/>
  <c r="W111" i="20"/>
  <c r="X111" i="20" s="1"/>
  <c r="L111" i="20"/>
  <c r="K111" i="20" s="1"/>
  <c r="O111" i="20" s="1"/>
  <c r="U111" i="20" s="1"/>
  <c r="Y110" i="20"/>
  <c r="W110" i="20"/>
  <c r="X110" i="20" s="1"/>
  <c r="L110" i="20"/>
  <c r="K110" i="20" s="1"/>
  <c r="O110" i="20" s="1"/>
  <c r="Y109" i="20"/>
  <c r="W109" i="20"/>
  <c r="X109" i="20" s="1"/>
  <c r="L109" i="20"/>
  <c r="K109" i="20" s="1"/>
  <c r="O109" i="20" s="1"/>
  <c r="U109" i="20" s="1"/>
  <c r="Y108" i="20"/>
  <c r="W108" i="20"/>
  <c r="X108" i="20" s="1"/>
  <c r="L108" i="20"/>
  <c r="K108" i="20" s="1"/>
  <c r="O108" i="20" s="1"/>
  <c r="Y107" i="20"/>
  <c r="W107" i="20"/>
  <c r="X107" i="20" s="1"/>
  <c r="L107" i="20"/>
  <c r="K107" i="20" s="1"/>
  <c r="O107" i="20" s="1"/>
  <c r="U107" i="20" s="1"/>
  <c r="Y106" i="20"/>
  <c r="W106" i="20"/>
  <c r="X106" i="20" s="1"/>
  <c r="L106" i="20"/>
  <c r="K106" i="20" s="1"/>
  <c r="O106" i="20" s="1"/>
  <c r="U106" i="20" s="1"/>
  <c r="Y105" i="20"/>
  <c r="W105" i="20"/>
  <c r="X105" i="20" s="1"/>
  <c r="L105" i="20"/>
  <c r="K105" i="20" s="1"/>
  <c r="O105" i="20" s="1"/>
  <c r="Y104" i="20"/>
  <c r="W104" i="20"/>
  <c r="X104" i="20" s="1"/>
  <c r="L104" i="20"/>
  <c r="K104" i="20" s="1"/>
  <c r="O104" i="20" s="1"/>
  <c r="T104" i="20" s="1"/>
  <c r="Y103" i="20"/>
  <c r="W103" i="20"/>
  <c r="X103" i="20" s="1"/>
  <c r="L103" i="20"/>
  <c r="K103" i="20" s="1"/>
  <c r="O103" i="20" s="1"/>
  <c r="Y102" i="20"/>
  <c r="W102" i="20"/>
  <c r="X102" i="20" s="1"/>
  <c r="L102" i="20"/>
  <c r="K102" i="20" s="1"/>
  <c r="O102" i="20" s="1"/>
  <c r="Y101" i="20"/>
  <c r="W101" i="20"/>
  <c r="X101" i="20" s="1"/>
  <c r="L101" i="20"/>
  <c r="K101" i="20" s="1"/>
  <c r="O101" i="20" s="1"/>
  <c r="U101" i="20" s="1"/>
  <c r="Y100" i="20"/>
  <c r="W100" i="20"/>
  <c r="X100" i="20" s="1"/>
  <c r="L100" i="20"/>
  <c r="K100" i="20" s="1"/>
  <c r="O100" i="20" s="1"/>
  <c r="Y99" i="20"/>
  <c r="W99" i="20"/>
  <c r="X99" i="20" s="1"/>
  <c r="L99" i="20"/>
  <c r="K99" i="20" s="1"/>
  <c r="O99" i="20" s="1"/>
  <c r="U99" i="20" s="1"/>
  <c r="Y98" i="20"/>
  <c r="W98" i="20"/>
  <c r="X98" i="20" s="1"/>
  <c r="L98" i="20"/>
  <c r="K98" i="20" s="1"/>
  <c r="O98" i="20" s="1"/>
  <c r="U98" i="20" s="1"/>
  <c r="Y97" i="20"/>
  <c r="W97" i="20"/>
  <c r="X97" i="20" s="1"/>
  <c r="L97" i="20"/>
  <c r="K97" i="20" s="1"/>
  <c r="O97" i="20" s="1"/>
  <c r="Y96" i="20"/>
  <c r="W96" i="20"/>
  <c r="X96" i="20" s="1"/>
  <c r="L96" i="20"/>
  <c r="K96" i="20" s="1"/>
  <c r="O96" i="20" s="1"/>
  <c r="T96" i="20" s="1"/>
  <c r="Y95" i="20"/>
  <c r="X95" i="20"/>
  <c r="L95" i="20"/>
  <c r="K95" i="20" s="1"/>
  <c r="O95" i="20" s="1"/>
  <c r="U95" i="20" s="1"/>
  <c r="AA95" i="20" s="1"/>
  <c r="Y94" i="20"/>
  <c r="X94" i="20"/>
  <c r="L94" i="20"/>
  <c r="K94" i="20" s="1"/>
  <c r="O94" i="20" s="1"/>
  <c r="Y93" i="20"/>
  <c r="X93" i="20"/>
  <c r="L93" i="20"/>
  <c r="K93" i="20" s="1"/>
  <c r="O93" i="20" s="1"/>
  <c r="U93" i="20" s="1"/>
  <c r="Y92" i="20"/>
  <c r="X92" i="20"/>
  <c r="L92" i="20"/>
  <c r="K92" i="20" s="1"/>
  <c r="O92" i="20" s="1"/>
  <c r="X91" i="20"/>
  <c r="S91" i="20"/>
  <c r="S300" i="20" s="1"/>
  <c r="R91" i="20"/>
  <c r="R300" i="20" s="1"/>
  <c r="N91" i="20"/>
  <c r="M91" i="20"/>
  <c r="Y90" i="20"/>
  <c r="X90" i="20"/>
  <c r="L90" i="20"/>
  <c r="K90" i="20" s="1"/>
  <c r="O90" i="20" s="1"/>
  <c r="U90" i="20" s="1"/>
  <c r="Y89" i="20"/>
  <c r="X89" i="20"/>
  <c r="L89" i="20"/>
  <c r="K89" i="20" s="1"/>
  <c r="O89" i="20" s="1"/>
  <c r="Y88" i="20"/>
  <c r="X88" i="20"/>
  <c r="L88" i="20"/>
  <c r="K88" i="20" s="1"/>
  <c r="O88" i="20" s="1"/>
  <c r="U88" i="20" s="1"/>
  <c r="Y87" i="20"/>
  <c r="X87" i="20"/>
  <c r="L87" i="20"/>
  <c r="K87" i="20" s="1"/>
  <c r="O87" i="20" s="1"/>
  <c r="U87" i="20" s="1"/>
  <c r="Y86" i="20"/>
  <c r="X86" i="20"/>
  <c r="L86" i="20"/>
  <c r="K86" i="20" s="1"/>
  <c r="O86" i="20" s="1"/>
  <c r="U86" i="20" s="1"/>
  <c r="Y85" i="20"/>
  <c r="X85" i="20"/>
  <c r="L85" i="20"/>
  <c r="K85" i="20" s="1"/>
  <c r="O85" i="20" s="1"/>
  <c r="Y84" i="20"/>
  <c r="X84" i="20"/>
  <c r="L84" i="20"/>
  <c r="K84" i="20" s="1"/>
  <c r="O84" i="20" s="1"/>
  <c r="Y83" i="20"/>
  <c r="X83" i="20"/>
  <c r="L83" i="20"/>
  <c r="K83" i="20" s="1"/>
  <c r="O83" i="20" s="1"/>
  <c r="U83" i="20" s="1"/>
  <c r="Y82" i="20"/>
  <c r="X82" i="20"/>
  <c r="L82" i="20"/>
  <c r="K82" i="20" s="1"/>
  <c r="O82" i="20" s="1"/>
  <c r="U82" i="20" s="1"/>
  <c r="Y81" i="20"/>
  <c r="X81" i="20"/>
  <c r="L81" i="20"/>
  <c r="K81" i="20" s="1"/>
  <c r="O81" i="20" s="1"/>
  <c r="Y80" i="20"/>
  <c r="X80" i="20"/>
  <c r="L80" i="20"/>
  <c r="K80" i="20" s="1"/>
  <c r="O80" i="20" s="1"/>
  <c r="Y79" i="20"/>
  <c r="X79" i="20"/>
  <c r="L79" i="20"/>
  <c r="K79" i="20" s="1"/>
  <c r="O79" i="20" s="1"/>
  <c r="U79" i="20" s="1"/>
  <c r="Y78" i="20"/>
  <c r="X78" i="20"/>
  <c r="L78" i="20"/>
  <c r="K78" i="20" s="1"/>
  <c r="O78" i="20" s="1"/>
  <c r="U78" i="20" s="1"/>
  <c r="Y77" i="20"/>
  <c r="X77" i="20"/>
  <c r="L77" i="20"/>
  <c r="K77" i="20" s="1"/>
  <c r="O77" i="20" s="1"/>
  <c r="Y76" i="20"/>
  <c r="X76" i="20"/>
  <c r="L76" i="20"/>
  <c r="K76" i="20" s="1"/>
  <c r="O76" i="20" s="1"/>
  <c r="Y75" i="20"/>
  <c r="X75" i="20"/>
  <c r="L75" i="20"/>
  <c r="K75" i="20" s="1"/>
  <c r="O75" i="20" s="1"/>
  <c r="U75" i="20" s="1"/>
  <c r="Y74" i="20"/>
  <c r="X74" i="20"/>
  <c r="L74" i="20"/>
  <c r="K74" i="20" s="1"/>
  <c r="O74" i="20" s="1"/>
  <c r="U74" i="20" s="1"/>
  <c r="Y73" i="20"/>
  <c r="X73" i="20"/>
  <c r="L73" i="20"/>
  <c r="K73" i="20" s="1"/>
  <c r="O73" i="20" s="1"/>
  <c r="Y72" i="20"/>
  <c r="X72" i="20"/>
  <c r="L72" i="20"/>
  <c r="K72" i="20" s="1"/>
  <c r="O72" i="20" s="1"/>
  <c r="Y71" i="20"/>
  <c r="X71" i="20"/>
  <c r="L71" i="20"/>
  <c r="K71" i="20" s="1"/>
  <c r="O71" i="20" s="1"/>
  <c r="U71" i="20" s="1"/>
  <c r="Y70" i="20"/>
  <c r="X70" i="20"/>
  <c r="L70" i="20"/>
  <c r="K70" i="20" s="1"/>
  <c r="O70" i="20" s="1"/>
  <c r="U70" i="20" s="1"/>
  <c r="Y69" i="20"/>
  <c r="X69" i="20"/>
  <c r="L69" i="20"/>
  <c r="K69" i="20" s="1"/>
  <c r="O69" i="20" s="1"/>
  <c r="Y68" i="20"/>
  <c r="X68" i="20"/>
  <c r="L68" i="20"/>
  <c r="K68" i="20" s="1"/>
  <c r="O68" i="20" s="1"/>
  <c r="Y67" i="20"/>
  <c r="X67" i="20"/>
  <c r="L67" i="20"/>
  <c r="K67" i="20" s="1"/>
  <c r="O67" i="20" s="1"/>
  <c r="U67" i="20" s="1"/>
  <c r="Y66" i="20"/>
  <c r="X66" i="20"/>
  <c r="L66" i="20"/>
  <c r="K66" i="20" s="1"/>
  <c r="O66" i="20" s="1"/>
  <c r="U66" i="20" s="1"/>
  <c r="Y65" i="20"/>
  <c r="X65" i="20"/>
  <c r="L65" i="20"/>
  <c r="K65" i="20" s="1"/>
  <c r="O65" i="20" s="1"/>
  <c r="Y64" i="20"/>
  <c r="X64" i="20"/>
  <c r="L64" i="20"/>
  <c r="K64" i="20" s="1"/>
  <c r="O64" i="20" s="1"/>
  <c r="Y63" i="20"/>
  <c r="X63" i="20"/>
  <c r="L63" i="20"/>
  <c r="K63" i="20" s="1"/>
  <c r="O63" i="20" s="1"/>
  <c r="U63" i="20" s="1"/>
  <c r="Y62" i="20"/>
  <c r="X62" i="20"/>
  <c r="L62" i="20"/>
  <c r="K62" i="20" s="1"/>
  <c r="O62" i="20" s="1"/>
  <c r="U62" i="20" s="1"/>
  <c r="Y61" i="20"/>
  <c r="X61" i="20"/>
  <c r="L61" i="20"/>
  <c r="K61" i="20" s="1"/>
  <c r="O61" i="20" s="1"/>
  <c r="Y60" i="20"/>
  <c r="X60" i="20"/>
  <c r="L60" i="20"/>
  <c r="K60" i="20" s="1"/>
  <c r="O60" i="20" s="1"/>
  <c r="Y59" i="20"/>
  <c r="X59" i="20"/>
  <c r="L59" i="20"/>
  <c r="K59" i="20" s="1"/>
  <c r="O59" i="20" s="1"/>
  <c r="U59" i="20" s="1"/>
  <c r="Y58" i="20"/>
  <c r="X58" i="20"/>
  <c r="L58" i="20"/>
  <c r="K58" i="20" s="1"/>
  <c r="O58" i="20" s="1"/>
  <c r="U58" i="20" s="1"/>
  <c r="Y57" i="20"/>
  <c r="X57" i="20"/>
  <c r="L57" i="20"/>
  <c r="K57" i="20" s="1"/>
  <c r="O57" i="20" s="1"/>
  <c r="Y56" i="20"/>
  <c r="X56" i="20"/>
  <c r="L56" i="20"/>
  <c r="K56" i="20" s="1"/>
  <c r="O56" i="20" s="1"/>
  <c r="Y55" i="20"/>
  <c r="X55" i="20"/>
  <c r="L55" i="20"/>
  <c r="K55" i="20" s="1"/>
  <c r="O55" i="20" s="1"/>
  <c r="U55" i="20" s="1"/>
  <c r="Y54" i="20"/>
  <c r="X54" i="20"/>
  <c r="L54" i="20"/>
  <c r="K54" i="20" s="1"/>
  <c r="O54" i="20" s="1"/>
  <c r="U54" i="20" s="1"/>
  <c r="Y53" i="20"/>
  <c r="X53" i="20"/>
  <c r="L53" i="20"/>
  <c r="K53" i="20" s="1"/>
  <c r="O53" i="20" s="1"/>
  <c r="Y52" i="20"/>
  <c r="X52" i="20"/>
  <c r="L52" i="20"/>
  <c r="K52" i="20" s="1"/>
  <c r="O52" i="20" s="1"/>
  <c r="Y51" i="20"/>
  <c r="X51" i="20"/>
  <c r="L51" i="20"/>
  <c r="K51" i="20" s="1"/>
  <c r="O51" i="20" s="1"/>
  <c r="U51" i="20" s="1"/>
  <c r="Y50" i="20"/>
  <c r="X50" i="20"/>
  <c r="L50" i="20"/>
  <c r="K50" i="20" s="1"/>
  <c r="O50" i="20" s="1"/>
  <c r="U50" i="20" s="1"/>
  <c r="Y49" i="20"/>
  <c r="X49" i="20"/>
  <c r="L49" i="20"/>
  <c r="K49" i="20" s="1"/>
  <c r="O49" i="20" s="1"/>
  <c r="Y48" i="20"/>
  <c r="X48" i="20"/>
  <c r="L48" i="20"/>
  <c r="K48" i="20" s="1"/>
  <c r="O48" i="20" s="1"/>
  <c r="Y47" i="20"/>
  <c r="X47" i="20"/>
  <c r="L47" i="20"/>
  <c r="K47" i="20" s="1"/>
  <c r="O47" i="20" s="1"/>
  <c r="U47" i="20" s="1"/>
  <c r="Y46" i="20"/>
  <c r="X46" i="20"/>
  <c r="L46" i="20"/>
  <c r="K46" i="20" s="1"/>
  <c r="O46" i="20" s="1"/>
  <c r="U46" i="20" s="1"/>
  <c r="Y45" i="20"/>
  <c r="X45" i="20"/>
  <c r="L45" i="20"/>
  <c r="K45" i="20" s="1"/>
  <c r="O45" i="20" s="1"/>
  <c r="Y44" i="20"/>
  <c r="X44" i="20"/>
  <c r="L44" i="20"/>
  <c r="K44" i="20" s="1"/>
  <c r="O44" i="20" s="1"/>
  <c r="Y43" i="20"/>
  <c r="X43" i="20"/>
  <c r="L43" i="20"/>
  <c r="K43" i="20" s="1"/>
  <c r="O43" i="20" s="1"/>
  <c r="U43" i="20" s="1"/>
  <c r="Y42" i="20"/>
  <c r="X42" i="20"/>
  <c r="L42" i="20"/>
  <c r="K42" i="20" s="1"/>
  <c r="O42" i="20" s="1"/>
  <c r="U42" i="20" s="1"/>
  <c r="Y41" i="20"/>
  <c r="X41" i="20"/>
  <c r="L41" i="20"/>
  <c r="K41" i="20" s="1"/>
  <c r="O41" i="20" s="1"/>
  <c r="Y39" i="20"/>
  <c r="X39" i="20"/>
  <c r="L39" i="20"/>
  <c r="K39" i="20" s="1"/>
  <c r="O39" i="20" s="1"/>
  <c r="U39" i="20" s="1"/>
  <c r="Y38" i="20"/>
  <c r="X38" i="20"/>
  <c r="L38" i="20"/>
  <c r="K38" i="20" s="1"/>
  <c r="O38" i="20" s="1"/>
  <c r="Y37" i="20"/>
  <c r="X37" i="20"/>
  <c r="L37" i="20"/>
  <c r="K37" i="20" s="1"/>
  <c r="O37" i="20" s="1"/>
  <c r="T37" i="20" s="1"/>
  <c r="Y36" i="20"/>
  <c r="X36" i="20"/>
  <c r="L36" i="20"/>
  <c r="K36" i="20" s="1"/>
  <c r="O36" i="20" s="1"/>
  <c r="Y35" i="20"/>
  <c r="X35" i="20"/>
  <c r="L35" i="20"/>
  <c r="K35" i="20" s="1"/>
  <c r="O35" i="20" s="1"/>
  <c r="T35" i="20" s="1"/>
  <c r="Y34" i="20"/>
  <c r="X34" i="20"/>
  <c r="L34" i="20"/>
  <c r="K34" i="20" s="1"/>
  <c r="O34" i="20" s="1"/>
  <c r="Y33" i="20"/>
  <c r="X33" i="20"/>
  <c r="L33" i="20"/>
  <c r="K33" i="20" s="1"/>
  <c r="O33" i="20" s="1"/>
  <c r="T33" i="20" s="1"/>
  <c r="Y32" i="20"/>
  <c r="X32" i="20"/>
  <c r="L32" i="20"/>
  <c r="K32" i="20" s="1"/>
  <c r="O32" i="20" s="1"/>
  <c r="Y30" i="20"/>
  <c r="W30" i="20"/>
  <c r="X30" i="20" s="1"/>
  <c r="L30" i="20"/>
  <c r="K30" i="20" s="1"/>
  <c r="L26" i="20"/>
  <c r="L25" i="20"/>
  <c r="L24" i="20"/>
  <c r="L23" i="20"/>
  <c r="L22" i="20"/>
  <c r="C23" i="20"/>
  <c r="D4" i="20"/>
  <c r="G84" i="32"/>
  <c r="I90" i="5"/>
  <c r="I84" i="5"/>
  <c r="M84" i="5" s="1"/>
  <c r="I82" i="5"/>
  <c r="I77" i="5"/>
  <c r="M77" i="5" s="1"/>
  <c r="I71" i="5"/>
  <c r="M71" i="5" s="1"/>
  <c r="I70" i="5"/>
  <c r="M70" i="5" s="1"/>
  <c r="I60" i="5"/>
  <c r="M60" i="5" s="1"/>
  <c r="I45" i="5"/>
  <c r="M45" i="5" s="1"/>
  <c r="I42" i="5"/>
  <c r="M42" i="5" s="1"/>
  <c r="I37" i="5"/>
  <c r="M37" i="5" s="1"/>
  <c r="I27" i="5"/>
  <c r="M27" i="5" s="1"/>
  <c r="I26" i="5"/>
  <c r="M26" i="5" s="1"/>
  <c r="I25" i="5"/>
  <c r="M25" i="5" s="1"/>
  <c r="I22" i="5"/>
  <c r="M22" i="5" s="1"/>
  <c r="I21" i="5"/>
  <c r="M21" i="5" s="1"/>
  <c r="I20" i="5"/>
  <c r="M20" i="5" s="1"/>
  <c r="I18" i="5"/>
  <c r="M18" i="5" s="1"/>
  <c r="O30" i="20" l="1"/>
  <c r="D10" i="20"/>
  <c r="E79" i="43"/>
  <c r="E80" i="43" s="1"/>
  <c r="J83" i="43"/>
  <c r="O86" i="32"/>
  <c r="F224" i="43" s="1"/>
  <c r="F219" i="43"/>
  <c r="E16" i="16"/>
  <c r="E19" i="37"/>
  <c r="E55" i="17"/>
  <c r="E11" i="37"/>
  <c r="E16" i="37"/>
  <c r="G79" i="32"/>
  <c r="M90" i="5"/>
  <c r="M82" i="5"/>
  <c r="G85" i="32"/>
  <c r="G86" i="32" s="1"/>
  <c r="G78" i="32"/>
  <c r="F4" i="33"/>
  <c r="I64" i="5"/>
  <c r="M64" i="5" s="1"/>
  <c r="I76" i="5"/>
  <c r="M76" i="5" s="1"/>
  <c r="I5" i="5"/>
  <c r="I13" i="5"/>
  <c r="M13" i="5" s="1"/>
  <c r="I17" i="5"/>
  <c r="M17" i="5" s="1"/>
  <c r="E11" i="20"/>
  <c r="E19" i="20"/>
  <c r="I56" i="5"/>
  <c r="M56" i="5" s="1"/>
  <c r="I73" i="5"/>
  <c r="M73" i="5" s="1"/>
  <c r="I6" i="5"/>
  <c r="M6" i="5" s="1"/>
  <c r="I14" i="5"/>
  <c r="M14" i="5" s="1"/>
  <c r="E16" i="20"/>
  <c r="I74" i="5"/>
  <c r="M74" i="5" s="1"/>
  <c r="I7" i="5"/>
  <c r="M7" i="5" s="1"/>
  <c r="I15" i="5"/>
  <c r="M15" i="5" s="1"/>
  <c r="O56" i="5"/>
  <c r="I75" i="5"/>
  <c r="M75" i="5" s="1"/>
  <c r="E14" i="28"/>
  <c r="E5" i="28"/>
  <c r="E13" i="28"/>
  <c r="O208" i="20"/>
  <c r="T208" i="20" s="1"/>
  <c r="O199" i="20"/>
  <c r="O138" i="20"/>
  <c r="H195" i="5"/>
  <c r="I24" i="5"/>
  <c r="M24" i="5" s="1"/>
  <c r="I23" i="5"/>
  <c r="M23" i="5" s="1"/>
  <c r="R4" i="33"/>
  <c r="R23" i="33" s="1"/>
  <c r="Q4" i="33"/>
  <c r="Q15" i="33"/>
  <c r="AC298" i="20"/>
  <c r="AC297" i="20"/>
  <c r="AC283" i="20"/>
  <c r="AC284" i="20"/>
  <c r="AC285" i="20"/>
  <c r="AC287" i="20"/>
  <c r="AC288" i="20"/>
  <c r="AC286" i="20"/>
  <c r="AC261" i="20"/>
  <c r="O225" i="20"/>
  <c r="U225" i="20" s="1"/>
  <c r="Z210" i="20"/>
  <c r="Z218" i="20"/>
  <c r="T103" i="20"/>
  <c r="U103" i="20"/>
  <c r="AA103" i="20" s="1"/>
  <c r="Z39" i="20"/>
  <c r="T226" i="20"/>
  <c r="Z234" i="20"/>
  <c r="T268" i="20"/>
  <c r="N300" i="20"/>
  <c r="O263" i="20"/>
  <c r="T263" i="20" s="1"/>
  <c r="U223" i="20"/>
  <c r="AA223" i="20" s="1"/>
  <c r="T223" i="20"/>
  <c r="U197" i="20"/>
  <c r="Z197" i="20" s="1"/>
  <c r="AB197" i="20" s="1"/>
  <c r="AG200" i="37" s="1"/>
  <c r="T206" i="20"/>
  <c r="U37" i="20"/>
  <c r="Z37" i="20" s="1"/>
  <c r="T139" i="20"/>
  <c r="U139" i="20"/>
  <c r="AB139" i="20" s="1"/>
  <c r="AG142" i="37" s="1"/>
  <c r="U235" i="20"/>
  <c r="Z235" i="20" s="1"/>
  <c r="AB235" i="20" s="1"/>
  <c r="AG238" i="37" s="1"/>
  <c r="T235" i="20"/>
  <c r="U211" i="20"/>
  <c r="Z211" i="20" s="1"/>
  <c r="AB211" i="20" s="1"/>
  <c r="AG214" i="37" s="1"/>
  <c r="T211" i="20"/>
  <c r="O136" i="20"/>
  <c r="AB202" i="20"/>
  <c r="AG205" i="37" s="1"/>
  <c r="U238" i="20"/>
  <c r="Z238" i="20" s="1"/>
  <c r="T238" i="20"/>
  <c r="U263" i="20"/>
  <c r="Z222" i="20"/>
  <c r="AB222" i="20" s="1"/>
  <c r="AG225" i="37" s="1"/>
  <c r="Z226" i="20"/>
  <c r="AB226" i="20" s="1"/>
  <c r="AG229" i="37" s="1"/>
  <c r="U219" i="20"/>
  <c r="T219" i="20"/>
  <c r="U231" i="20"/>
  <c r="AA231" i="20" s="1"/>
  <c r="T231" i="20"/>
  <c r="U258" i="20"/>
  <c r="T258" i="20"/>
  <c r="U105" i="20"/>
  <c r="T105" i="20"/>
  <c r="T141" i="20"/>
  <c r="U141" i="20"/>
  <c r="AA141" i="20" s="1"/>
  <c r="T143" i="20"/>
  <c r="U143" i="20"/>
  <c r="AA143" i="20" s="1"/>
  <c r="T147" i="20"/>
  <c r="U147" i="20"/>
  <c r="AA147" i="20" s="1"/>
  <c r="T159" i="20"/>
  <c r="U159" i="20"/>
  <c r="AA159" i="20" s="1"/>
  <c r="T163" i="20"/>
  <c r="U163" i="20"/>
  <c r="Z163" i="20" s="1"/>
  <c r="AB163" i="20" s="1"/>
  <c r="AG166" i="37" s="1"/>
  <c r="T175" i="20"/>
  <c r="U175" i="20"/>
  <c r="Z175" i="20" s="1"/>
  <c r="AB175" i="20" s="1"/>
  <c r="AG178" i="37" s="1"/>
  <c r="T179" i="20"/>
  <c r="U179" i="20"/>
  <c r="Z179" i="20" s="1"/>
  <c r="AB179" i="20" s="1"/>
  <c r="AG182" i="37" s="1"/>
  <c r="T191" i="20"/>
  <c r="U191" i="20"/>
  <c r="Z191" i="20" s="1"/>
  <c r="AB191" i="20" s="1"/>
  <c r="AG194" i="37" s="1"/>
  <c r="U269" i="20"/>
  <c r="T269" i="20"/>
  <c r="U97" i="20"/>
  <c r="T97" i="20"/>
  <c r="T193" i="20"/>
  <c r="U193" i="20"/>
  <c r="Z193" i="20" s="1"/>
  <c r="U227" i="20"/>
  <c r="Z227" i="20" s="1"/>
  <c r="AB227" i="20" s="1"/>
  <c r="AG230" i="37" s="1"/>
  <c r="T227" i="20"/>
  <c r="T130" i="20"/>
  <c r="U155" i="20"/>
  <c r="AA155" i="20" s="1"/>
  <c r="T215" i="20"/>
  <c r="T39" i="20"/>
  <c r="T95" i="20"/>
  <c r="U151" i="20"/>
  <c r="Z151" i="20" s="1"/>
  <c r="AB151" i="20" s="1"/>
  <c r="AG154" i="37" s="1"/>
  <c r="U167" i="20"/>
  <c r="Z167" i="20" s="1"/>
  <c r="AB167" i="20" s="1"/>
  <c r="AG170" i="37" s="1"/>
  <c r="U183" i="20"/>
  <c r="Z183" i="20" s="1"/>
  <c r="AB183" i="20" s="1"/>
  <c r="AG186" i="37" s="1"/>
  <c r="AA201" i="20"/>
  <c r="AC201" i="20" s="1"/>
  <c r="T202" i="20"/>
  <c r="T210" i="20"/>
  <c r="T222" i="20"/>
  <c r="T277" i="20"/>
  <c r="U171" i="20"/>
  <c r="AA171" i="20" s="1"/>
  <c r="U187" i="20"/>
  <c r="Z201" i="20"/>
  <c r="AB210" i="20"/>
  <c r="AG213" i="37" s="1"/>
  <c r="T201" i="20"/>
  <c r="T270" i="20"/>
  <c r="T292" i="20"/>
  <c r="T32" i="20"/>
  <c r="U32" i="20"/>
  <c r="U45" i="20"/>
  <c r="T45" i="20"/>
  <c r="U53" i="20"/>
  <c r="T53" i="20"/>
  <c r="U61" i="20"/>
  <c r="T61" i="20"/>
  <c r="U69" i="20"/>
  <c r="T69" i="20"/>
  <c r="U77" i="20"/>
  <c r="T77" i="20"/>
  <c r="U85" i="20"/>
  <c r="T85" i="20"/>
  <c r="AA106" i="20"/>
  <c r="Z106" i="20"/>
  <c r="AB106" i="20" s="1"/>
  <c r="AG109" i="37" s="1"/>
  <c r="AA107" i="20"/>
  <c r="Z107" i="20"/>
  <c r="AB107" i="20" s="1"/>
  <c r="AG110" i="37" s="1"/>
  <c r="U110" i="20"/>
  <c r="T110" i="20"/>
  <c r="T38" i="20"/>
  <c r="U38" i="20"/>
  <c r="AA42" i="20"/>
  <c r="Z42" i="20"/>
  <c r="AB42" i="20" s="1"/>
  <c r="AG45" i="37" s="1"/>
  <c r="AA47" i="20"/>
  <c r="Z47" i="20"/>
  <c r="AB47" i="20" s="1"/>
  <c r="AG50" i="37" s="1"/>
  <c r="T48" i="20"/>
  <c r="U48" i="20"/>
  <c r="AA50" i="20"/>
  <c r="Z50" i="20"/>
  <c r="AB50" i="20" s="1"/>
  <c r="AG53" i="37" s="1"/>
  <c r="AA55" i="20"/>
  <c r="Z55" i="20"/>
  <c r="AB55" i="20" s="1"/>
  <c r="AG58" i="37" s="1"/>
  <c r="T56" i="20"/>
  <c r="U56" i="20"/>
  <c r="AA58" i="20"/>
  <c r="Z58" i="20"/>
  <c r="AB58" i="20" s="1"/>
  <c r="AG61" i="37" s="1"/>
  <c r="AA63" i="20"/>
  <c r="Z63" i="20"/>
  <c r="AB63" i="20" s="1"/>
  <c r="AG66" i="37" s="1"/>
  <c r="T64" i="20"/>
  <c r="U64" i="20"/>
  <c r="AA66" i="20"/>
  <c r="Z66" i="20"/>
  <c r="AB66" i="20" s="1"/>
  <c r="AG69" i="37" s="1"/>
  <c r="AA71" i="20"/>
  <c r="Z71" i="20"/>
  <c r="AB71" i="20" s="1"/>
  <c r="AG74" i="37" s="1"/>
  <c r="T72" i="20"/>
  <c r="U72" i="20"/>
  <c r="AA74" i="20"/>
  <c r="Z74" i="20"/>
  <c r="AB74" i="20" s="1"/>
  <c r="AG77" i="37" s="1"/>
  <c r="AA79" i="20"/>
  <c r="Z79" i="20"/>
  <c r="AB79" i="20" s="1"/>
  <c r="AG82" i="37" s="1"/>
  <c r="T80" i="20"/>
  <c r="U80" i="20"/>
  <c r="AA82" i="20"/>
  <c r="Z82" i="20"/>
  <c r="AB82" i="20" s="1"/>
  <c r="AG85" i="37" s="1"/>
  <c r="AA87" i="20"/>
  <c r="Z87" i="20"/>
  <c r="AB87" i="20" s="1"/>
  <c r="AG90" i="37" s="1"/>
  <c r="AA88" i="20"/>
  <c r="Z88" i="20"/>
  <c r="AB88" i="20" s="1"/>
  <c r="AG91" i="37" s="1"/>
  <c r="AA98" i="20"/>
  <c r="Z98" i="20"/>
  <c r="AB98" i="20" s="1"/>
  <c r="AG101" i="37" s="1"/>
  <c r="AA99" i="20"/>
  <c r="Z99" i="20"/>
  <c r="AB99" i="20" s="1"/>
  <c r="AG102" i="37" s="1"/>
  <c r="U102" i="20"/>
  <c r="T102" i="20"/>
  <c r="T108" i="20"/>
  <c r="U108" i="20"/>
  <c r="AA111" i="20"/>
  <c r="Z111" i="20"/>
  <c r="AB111" i="20" s="1"/>
  <c r="AG114" i="37" s="1"/>
  <c r="AA119" i="20"/>
  <c r="Z119" i="20"/>
  <c r="AB119" i="20" s="1"/>
  <c r="AG122" i="37" s="1"/>
  <c r="AA127" i="20"/>
  <c r="Z127" i="20"/>
  <c r="AB127" i="20" s="1"/>
  <c r="AG130" i="37" s="1"/>
  <c r="U35" i="20"/>
  <c r="T36" i="20"/>
  <c r="U36" i="20"/>
  <c r="U41" i="20"/>
  <c r="T41" i="20"/>
  <c r="U49" i="20"/>
  <c r="T49" i="20"/>
  <c r="U57" i="20"/>
  <c r="T57" i="20"/>
  <c r="U65" i="20"/>
  <c r="T65" i="20"/>
  <c r="U73" i="20"/>
  <c r="T73" i="20"/>
  <c r="U81" i="20"/>
  <c r="T81" i="20"/>
  <c r="T89" i="20"/>
  <c r="U89" i="20"/>
  <c r="U94" i="20"/>
  <c r="T94" i="20"/>
  <c r="T100" i="20"/>
  <c r="U100" i="20"/>
  <c r="U30" i="20"/>
  <c r="T30" i="20"/>
  <c r="U33" i="20"/>
  <c r="T34" i="20"/>
  <c r="U34" i="20"/>
  <c r="AA43" i="20"/>
  <c r="Z43" i="20"/>
  <c r="AB43" i="20" s="1"/>
  <c r="AG46" i="37" s="1"/>
  <c r="T44" i="20"/>
  <c r="U44" i="20"/>
  <c r="AA46" i="20"/>
  <c r="Z46" i="20"/>
  <c r="AB46" i="20" s="1"/>
  <c r="AG49" i="37" s="1"/>
  <c r="AA51" i="20"/>
  <c r="Z51" i="20"/>
  <c r="AB51" i="20" s="1"/>
  <c r="AG54" i="37" s="1"/>
  <c r="T52" i="20"/>
  <c r="U52" i="20"/>
  <c r="AA54" i="20"/>
  <c r="Z54" i="20"/>
  <c r="AB54" i="20" s="1"/>
  <c r="AG57" i="37" s="1"/>
  <c r="AA59" i="20"/>
  <c r="Z59" i="20"/>
  <c r="AB59" i="20" s="1"/>
  <c r="AG62" i="37" s="1"/>
  <c r="T60" i="20"/>
  <c r="U60" i="20"/>
  <c r="AA62" i="20"/>
  <c r="Z62" i="20"/>
  <c r="AB62" i="20" s="1"/>
  <c r="AG65" i="37" s="1"/>
  <c r="AA67" i="20"/>
  <c r="Z67" i="20"/>
  <c r="AB67" i="20" s="1"/>
  <c r="AG70" i="37" s="1"/>
  <c r="T68" i="20"/>
  <c r="U68" i="20"/>
  <c r="AA70" i="20"/>
  <c r="Z70" i="20"/>
  <c r="AB70" i="20" s="1"/>
  <c r="AG73" i="37" s="1"/>
  <c r="AA75" i="20"/>
  <c r="Z75" i="20"/>
  <c r="AB75" i="20" s="1"/>
  <c r="AG78" i="37" s="1"/>
  <c r="T76" i="20"/>
  <c r="U76" i="20"/>
  <c r="AA78" i="20"/>
  <c r="Z78" i="20"/>
  <c r="AB78" i="20" s="1"/>
  <c r="AG81" i="37" s="1"/>
  <c r="AA83" i="20"/>
  <c r="Z83" i="20"/>
  <c r="AB83" i="20" s="1"/>
  <c r="AG86" i="37" s="1"/>
  <c r="T84" i="20"/>
  <c r="U84" i="20"/>
  <c r="AA86" i="20"/>
  <c r="Z86" i="20"/>
  <c r="AB86" i="20" s="1"/>
  <c r="AG89" i="37" s="1"/>
  <c r="T92" i="20"/>
  <c r="U92" i="20"/>
  <c r="AA115" i="20"/>
  <c r="Z115" i="20"/>
  <c r="AB115" i="20" s="1"/>
  <c r="AG118" i="37" s="1"/>
  <c r="AA123" i="20"/>
  <c r="Z123" i="20"/>
  <c r="AB123" i="20" s="1"/>
  <c r="AG126" i="37" s="1"/>
  <c r="AB39" i="20"/>
  <c r="AG41" i="37" s="1"/>
  <c r="AA39" i="20"/>
  <c r="T43" i="20"/>
  <c r="T47" i="20"/>
  <c r="T51" i="20"/>
  <c r="T55" i="20"/>
  <c r="T59" i="20"/>
  <c r="T63" i="20"/>
  <c r="T67" i="20"/>
  <c r="T71" i="20"/>
  <c r="T75" i="20"/>
  <c r="T79" i="20"/>
  <c r="T83" i="20"/>
  <c r="T87" i="20"/>
  <c r="AA90" i="20"/>
  <c r="Z90" i="20"/>
  <c r="AB90" i="20" s="1"/>
  <c r="AG93" i="37" s="1"/>
  <c r="AA93" i="20"/>
  <c r="Z93" i="20"/>
  <c r="AB93" i="20" s="1"/>
  <c r="AG96" i="37" s="1"/>
  <c r="Z95" i="20"/>
  <c r="AB95" i="20" s="1"/>
  <c r="T98" i="20"/>
  <c r="AA101" i="20"/>
  <c r="Z101" i="20"/>
  <c r="AB101" i="20" s="1"/>
  <c r="AG104" i="37" s="1"/>
  <c r="T106" i="20"/>
  <c r="AA109" i="20"/>
  <c r="Z109" i="20"/>
  <c r="AB109" i="20" s="1"/>
  <c r="AG112" i="37" s="1"/>
  <c r="U129" i="20"/>
  <c r="T129" i="20"/>
  <c r="AA197" i="20"/>
  <c r="T42" i="20"/>
  <c r="T46" i="20"/>
  <c r="T50" i="20"/>
  <c r="T54" i="20"/>
  <c r="T58" i="20"/>
  <c r="T62" i="20"/>
  <c r="T66" i="20"/>
  <c r="T70" i="20"/>
  <c r="T74" i="20"/>
  <c r="T78" i="20"/>
  <c r="T82" i="20"/>
  <c r="T86" i="20"/>
  <c r="T88" i="20"/>
  <c r="T90" i="20"/>
  <c r="Y91" i="20"/>
  <c r="Y300" i="20" s="1"/>
  <c r="T93" i="20"/>
  <c r="U96" i="20"/>
  <c r="T99" i="20"/>
  <c r="T101" i="20"/>
  <c r="U104" i="20"/>
  <c r="T107" i="20"/>
  <c r="T109" i="20"/>
  <c r="T111" i="20"/>
  <c r="U112" i="20"/>
  <c r="U113" i="20"/>
  <c r="T113" i="20"/>
  <c r="AA114" i="20"/>
  <c r="Z114" i="20"/>
  <c r="AB114" i="20" s="1"/>
  <c r="AG117" i="37" s="1"/>
  <c r="T115" i="20"/>
  <c r="U116" i="20"/>
  <c r="U117" i="20"/>
  <c r="T117" i="20"/>
  <c r="AA118" i="20"/>
  <c r="Z118" i="20"/>
  <c r="AB118" i="20" s="1"/>
  <c r="AG121" i="37" s="1"/>
  <c r="T119" i="20"/>
  <c r="U120" i="20"/>
  <c r="U121" i="20"/>
  <c r="T121" i="20"/>
  <c r="AA122" i="20"/>
  <c r="Z122" i="20"/>
  <c r="AB122" i="20" s="1"/>
  <c r="AG125" i="37" s="1"/>
  <c r="T123" i="20"/>
  <c r="U124" i="20"/>
  <c r="U125" i="20"/>
  <c r="T125" i="20"/>
  <c r="AA126" i="20"/>
  <c r="Z126" i="20"/>
  <c r="AB126" i="20" s="1"/>
  <c r="AG129" i="37" s="1"/>
  <c r="T127" i="20"/>
  <c r="U128" i="20"/>
  <c r="T144" i="20"/>
  <c r="U144" i="20"/>
  <c r="T148" i="20"/>
  <c r="U148" i="20"/>
  <c r="T152" i="20"/>
  <c r="U152" i="20"/>
  <c r="T156" i="20"/>
  <c r="U156" i="20"/>
  <c r="T160" i="20"/>
  <c r="U160" i="20"/>
  <c r="T164" i="20"/>
  <c r="U164" i="20"/>
  <c r="T168" i="20"/>
  <c r="U168" i="20"/>
  <c r="T172" i="20"/>
  <c r="U172" i="20"/>
  <c r="T176" i="20"/>
  <c r="U176" i="20"/>
  <c r="T180" i="20"/>
  <c r="U180" i="20"/>
  <c r="T184" i="20"/>
  <c r="U184" i="20"/>
  <c r="T188" i="20"/>
  <c r="U188" i="20"/>
  <c r="T192" i="20"/>
  <c r="U192" i="20"/>
  <c r="U230" i="20"/>
  <c r="T230" i="20"/>
  <c r="AA97" i="20"/>
  <c r="Z97" i="20"/>
  <c r="AB97" i="20" s="1"/>
  <c r="AG100" i="37" s="1"/>
  <c r="AA105" i="20"/>
  <c r="Z105" i="20"/>
  <c r="AB105" i="20" s="1"/>
  <c r="AG108" i="37" s="1"/>
  <c r="T114" i="20"/>
  <c r="T118" i="20"/>
  <c r="T122" i="20"/>
  <c r="T126" i="20"/>
  <c r="U131" i="20"/>
  <c r="U138" i="20"/>
  <c r="T138" i="20"/>
  <c r="AA163" i="20"/>
  <c r="AA167" i="20"/>
  <c r="AA179" i="20"/>
  <c r="AA187" i="20"/>
  <c r="Z187" i="20"/>
  <c r="AB187" i="20" s="1"/>
  <c r="AG190" i="37" s="1"/>
  <c r="U199" i="20"/>
  <c r="T199" i="20"/>
  <c r="AA130" i="20"/>
  <c r="Z130" i="20"/>
  <c r="AB130" i="20" s="1"/>
  <c r="AG133" i="37" s="1"/>
  <c r="T132" i="20"/>
  <c r="U132" i="20"/>
  <c r="T133" i="20"/>
  <c r="U133" i="20"/>
  <c r="T134" i="20"/>
  <c r="U134" i="20"/>
  <c r="T135" i="20"/>
  <c r="U135" i="20"/>
  <c r="T136" i="20"/>
  <c r="U136" i="20"/>
  <c r="T137" i="20"/>
  <c r="U137" i="20"/>
  <c r="AA139" i="20"/>
  <c r="T146" i="20"/>
  <c r="U146" i="20"/>
  <c r="T150" i="20"/>
  <c r="U150" i="20"/>
  <c r="T154" i="20"/>
  <c r="U154" i="20"/>
  <c r="T158" i="20"/>
  <c r="U158" i="20"/>
  <c r="T162" i="20"/>
  <c r="U162" i="20"/>
  <c r="T166" i="20"/>
  <c r="U166" i="20"/>
  <c r="T170" i="20"/>
  <c r="U170" i="20"/>
  <c r="T174" i="20"/>
  <c r="U174" i="20"/>
  <c r="T178" i="20"/>
  <c r="U178" i="20"/>
  <c r="T182" i="20"/>
  <c r="U182" i="20"/>
  <c r="T186" i="20"/>
  <c r="U186" i="20"/>
  <c r="T190" i="20"/>
  <c r="U190" i="20"/>
  <c r="T198" i="20"/>
  <c r="U198" i="20"/>
  <c r="U214" i="20"/>
  <c r="T214" i="20"/>
  <c r="U195" i="20"/>
  <c r="T196" i="20"/>
  <c r="U196" i="20"/>
  <c r="U224" i="20"/>
  <c r="T224" i="20"/>
  <c r="U259" i="20"/>
  <c r="T259" i="20"/>
  <c r="M300" i="20"/>
  <c r="L91" i="20"/>
  <c r="K91" i="20" s="1"/>
  <c r="D3" i="20" s="1"/>
  <c r="U145" i="20"/>
  <c r="U149" i="20"/>
  <c r="U153" i="20"/>
  <c r="U157" i="20"/>
  <c r="U161" i="20"/>
  <c r="U165" i="20"/>
  <c r="U169" i="20"/>
  <c r="U173" i="20"/>
  <c r="U177" i="20"/>
  <c r="U181" i="20"/>
  <c r="U185" i="20"/>
  <c r="U189" i="20"/>
  <c r="T194" i="20"/>
  <c r="U194" i="20"/>
  <c r="AB205" i="20"/>
  <c r="AG208" i="37" s="1"/>
  <c r="AA205" i="20"/>
  <c r="Z205" i="20"/>
  <c r="U216" i="20"/>
  <c r="T216" i="20"/>
  <c r="U232" i="20"/>
  <c r="T232" i="20"/>
  <c r="U294" i="20"/>
  <c r="T294" i="20"/>
  <c r="T140" i="20"/>
  <c r="U140" i="20"/>
  <c r="T142" i="20"/>
  <c r="U142" i="20"/>
  <c r="U203" i="20"/>
  <c r="T203" i="20"/>
  <c r="U220" i="20"/>
  <c r="T220" i="20"/>
  <c r="U236" i="20"/>
  <c r="T236" i="20"/>
  <c r="U204" i="20"/>
  <c r="T204" i="20"/>
  <c r="U207" i="20"/>
  <c r="T207" i="20"/>
  <c r="AA218" i="20"/>
  <c r="AA234" i="20"/>
  <c r="U264" i="20"/>
  <c r="T264" i="20"/>
  <c r="U279" i="20"/>
  <c r="T279" i="20"/>
  <c r="U291" i="20"/>
  <c r="T291" i="20"/>
  <c r="T218" i="20"/>
  <c r="AB218" i="20"/>
  <c r="AG221" i="37" s="1"/>
  <c r="AA222" i="20"/>
  <c r="T234" i="20"/>
  <c r="AB234" i="20"/>
  <c r="AG237" i="37" s="1"/>
  <c r="U266" i="20"/>
  <c r="T266" i="20"/>
  <c r="Z270" i="20"/>
  <c r="AB270" i="20" s="1"/>
  <c r="U275" i="20"/>
  <c r="T275" i="20"/>
  <c r="U276" i="20"/>
  <c r="T276" i="20"/>
  <c r="U282" i="20"/>
  <c r="T282" i="20"/>
  <c r="U200" i="20"/>
  <c r="AA210" i="20"/>
  <c r="U212" i="20"/>
  <c r="T212" i="20"/>
  <c r="AA226" i="20"/>
  <c r="U228" i="20"/>
  <c r="T228" i="20"/>
  <c r="AB263" i="20"/>
  <c r="AG297" i="37" s="1"/>
  <c r="AA263" i="20"/>
  <c r="Z263" i="20"/>
  <c r="U274" i="20"/>
  <c r="T274" i="20"/>
  <c r="T205" i="20"/>
  <c r="U209" i="20"/>
  <c r="T209" i="20"/>
  <c r="U213" i="20"/>
  <c r="T213" i="20"/>
  <c r="U217" i="20"/>
  <c r="T217" i="20"/>
  <c r="U221" i="20"/>
  <c r="T221" i="20"/>
  <c r="U229" i="20"/>
  <c r="T229" i="20"/>
  <c r="U233" i="20"/>
  <c r="T233" i="20"/>
  <c r="U237" i="20"/>
  <c r="T237" i="20"/>
  <c r="U260" i="20"/>
  <c r="T260" i="20"/>
  <c r="AA269" i="20"/>
  <c r="AA202" i="20"/>
  <c r="AA206" i="20"/>
  <c r="Z206" i="20"/>
  <c r="AB206" i="20" s="1"/>
  <c r="AG209" i="37" s="1"/>
  <c r="AA211" i="20"/>
  <c r="Z215" i="20"/>
  <c r="AB215" i="20" s="1"/>
  <c r="AG218" i="37" s="1"/>
  <c r="AA215" i="20"/>
  <c r="Z219" i="20"/>
  <c r="AB219" i="20" s="1"/>
  <c r="AG222" i="37" s="1"/>
  <c r="AA219" i="20"/>
  <c r="Z231" i="20"/>
  <c r="AB231" i="20" s="1"/>
  <c r="AG234" i="37" s="1"/>
  <c r="Z258" i="20"/>
  <c r="AB258" i="20" s="1"/>
  <c r="AG292" i="37" s="1"/>
  <c r="AA258" i="20"/>
  <c r="U267" i="20"/>
  <c r="T267" i="20"/>
  <c r="U271" i="20"/>
  <c r="T271" i="20"/>
  <c r="U272" i="20"/>
  <c r="T272" i="20"/>
  <c r="Z277" i="20"/>
  <c r="AB277" i="20" s="1"/>
  <c r="AG311" i="37" s="1"/>
  <c r="AA277" i="20"/>
  <c r="Z292" i="20"/>
  <c r="AB292" i="20" s="1"/>
  <c r="AG336" i="37" s="1"/>
  <c r="AA292" i="20"/>
  <c r="Z265" i="20"/>
  <c r="AB265" i="20" s="1"/>
  <c r="AG299" i="37" s="1"/>
  <c r="AA265" i="20"/>
  <c r="Z273" i="20"/>
  <c r="AB273" i="20" s="1"/>
  <c r="AG307" i="37" s="1"/>
  <c r="AA273" i="20"/>
  <c r="U278" i="20"/>
  <c r="T278" i="20"/>
  <c r="U280" i="20"/>
  <c r="T280" i="20"/>
  <c r="Z281" i="20"/>
  <c r="AB281" i="20" s="1"/>
  <c r="AG315" i="37" s="1"/>
  <c r="AA281" i="20"/>
  <c r="U293" i="20"/>
  <c r="T293" i="20"/>
  <c r="U295" i="20"/>
  <c r="T295" i="20"/>
  <c r="Z296" i="20"/>
  <c r="AB296" i="20" s="1"/>
  <c r="AG340" i="37" s="1"/>
  <c r="AA296" i="20"/>
  <c r="T265" i="20"/>
  <c r="Z268" i="20"/>
  <c r="AB268" i="20" s="1"/>
  <c r="T273" i="20"/>
  <c r="T281" i="20"/>
  <c r="U290" i="20"/>
  <c r="T290" i="20"/>
  <c r="T296" i="20"/>
  <c r="H4" i="33"/>
  <c r="F15" i="33"/>
  <c r="I4" i="33"/>
  <c r="D4" i="33"/>
  <c r="G4" i="33"/>
  <c r="D15" i="33"/>
  <c r="G15" i="33"/>
  <c r="C15" i="33"/>
  <c r="D16" i="17"/>
  <c r="H26" i="17"/>
  <c r="D21" i="17"/>
  <c r="D24" i="17" s="1"/>
  <c r="E24" i="17" s="1"/>
  <c r="AA151" i="20" l="1"/>
  <c r="U208" i="20"/>
  <c r="AC268" i="20"/>
  <c r="AG302" i="37"/>
  <c r="T225" i="20"/>
  <c r="AC270" i="20"/>
  <c r="AG304" i="37"/>
  <c r="AC95" i="20"/>
  <c r="AG98" i="37"/>
  <c r="Q23" i="33"/>
  <c r="I26" i="17"/>
  <c r="G80" i="32"/>
  <c r="G82" i="32" s="1"/>
  <c r="G89" i="32" s="1"/>
  <c r="G93" i="32" s="1"/>
  <c r="E16" i="17"/>
  <c r="F19" i="11"/>
  <c r="E3" i="13"/>
  <c r="E8" i="39"/>
  <c r="E47" i="17"/>
  <c r="I56" i="17"/>
  <c r="E23" i="15"/>
  <c r="F20" i="11"/>
  <c r="E4" i="13"/>
  <c r="E21" i="15"/>
  <c r="E37" i="25"/>
  <c r="E37" i="14"/>
  <c r="E35" i="14"/>
  <c r="E22" i="15"/>
  <c r="E79" i="17"/>
  <c r="D26" i="17"/>
  <c r="E26" i="17" s="1"/>
  <c r="N56" i="5"/>
  <c r="M5" i="5"/>
  <c r="I23" i="33"/>
  <c r="L15" i="33"/>
  <c r="G23" i="33"/>
  <c r="H23" i="33"/>
  <c r="G44" i="32"/>
  <c r="I46" i="5"/>
  <c r="E15" i="33"/>
  <c r="C4" i="33"/>
  <c r="D23" i="33"/>
  <c r="F23" i="33"/>
  <c r="I38" i="5"/>
  <c r="E4" i="33"/>
  <c r="I55" i="5"/>
  <c r="I54" i="5"/>
  <c r="I81" i="5"/>
  <c r="I65" i="5"/>
  <c r="M65" i="5" s="1"/>
  <c r="F3" i="11"/>
  <c r="I80" i="5"/>
  <c r="I72" i="5"/>
  <c r="M72" i="5" s="1"/>
  <c r="I87" i="5"/>
  <c r="I67" i="5"/>
  <c r="M67" i="5" s="1"/>
  <c r="I59" i="5"/>
  <c r="I58" i="5"/>
  <c r="M58" i="5" s="1"/>
  <c r="I85" i="5"/>
  <c r="I69" i="5"/>
  <c r="M69" i="5" s="1"/>
  <c r="I61" i="5"/>
  <c r="M61" i="5" s="1"/>
  <c r="I68" i="5"/>
  <c r="M68" i="5" s="1"/>
  <c r="E5" i="25"/>
  <c r="I83" i="5"/>
  <c r="I63" i="5"/>
  <c r="M63" i="5" s="1"/>
  <c r="I86" i="5"/>
  <c r="I78" i="5"/>
  <c r="M78" i="5" s="1"/>
  <c r="I62" i="5"/>
  <c r="M62" i="5" s="1"/>
  <c r="I89" i="5"/>
  <c r="M89" i="5" s="1"/>
  <c r="AA193" i="20"/>
  <c r="Z171" i="20"/>
  <c r="AB171" i="20" s="1"/>
  <c r="AG174" i="37" s="1"/>
  <c r="Z155" i="20"/>
  <c r="AB155" i="20" s="1"/>
  <c r="AG158" i="37" s="1"/>
  <c r="Z147" i="20"/>
  <c r="AB147" i="20" s="1"/>
  <c r="AG150" i="37" s="1"/>
  <c r="Z139" i="20"/>
  <c r="AB193" i="20"/>
  <c r="AG196" i="37" s="1"/>
  <c r="Z141" i="20"/>
  <c r="AB141" i="20" s="1"/>
  <c r="Z223" i="20"/>
  <c r="AB223" i="20" s="1"/>
  <c r="AG226" i="37" s="1"/>
  <c r="AA175" i="20"/>
  <c r="AA183" i="20"/>
  <c r="AA191" i="20"/>
  <c r="Z159" i="20"/>
  <c r="AB159" i="20" s="1"/>
  <c r="AG162" i="37" s="1"/>
  <c r="Z143" i="20"/>
  <c r="AB143" i="20" s="1"/>
  <c r="AG146" i="37" s="1"/>
  <c r="D11" i="20"/>
  <c r="Z103" i="20"/>
  <c r="AB103" i="20" s="1"/>
  <c r="AA37" i="20"/>
  <c r="D13" i="20"/>
  <c r="I157" i="5"/>
  <c r="G195" i="5"/>
  <c r="H196" i="5" s="1"/>
  <c r="AC202" i="20"/>
  <c r="AB37" i="20"/>
  <c r="AG39" i="37" s="1"/>
  <c r="D14" i="20"/>
  <c r="D12" i="20"/>
  <c r="I43" i="5"/>
  <c r="M43" i="5" s="1"/>
  <c r="I41" i="5"/>
  <c r="I39" i="5"/>
  <c r="I40" i="5"/>
  <c r="I31" i="5"/>
  <c r="I34" i="5"/>
  <c r="M34" i="5" s="1"/>
  <c r="I33" i="5"/>
  <c r="I48" i="5"/>
  <c r="I32" i="5"/>
  <c r="I44" i="5"/>
  <c r="I29" i="5"/>
  <c r="I47" i="5"/>
  <c r="I35" i="5"/>
  <c r="M35" i="5" s="1"/>
  <c r="I50" i="5"/>
  <c r="I53" i="5"/>
  <c r="I51" i="5"/>
  <c r="AA235" i="20"/>
  <c r="AC235" i="20" s="1"/>
  <c r="AC210" i="20"/>
  <c r="AA238" i="20"/>
  <c r="AA227" i="20"/>
  <c r="AC227" i="20" s="1"/>
  <c r="AB238" i="20"/>
  <c r="AG241" i="37" s="1"/>
  <c r="AC226" i="20"/>
  <c r="AC273" i="20"/>
  <c r="AC231" i="20"/>
  <c r="AC206" i="20"/>
  <c r="AC234" i="20"/>
  <c r="AC139" i="20"/>
  <c r="AC163" i="20"/>
  <c r="AC222" i="20"/>
  <c r="AC205" i="20"/>
  <c r="AC193" i="20"/>
  <c r="AC39" i="20"/>
  <c r="AC179" i="20"/>
  <c r="AC147" i="20"/>
  <c r="Z269" i="20"/>
  <c r="AB269" i="20" s="1"/>
  <c r="AC296" i="20"/>
  <c r="Z295" i="20"/>
  <c r="AB295" i="20" s="1"/>
  <c r="AG339" i="37" s="1"/>
  <c r="AA295" i="20"/>
  <c r="AC265" i="20"/>
  <c r="AC211" i="20"/>
  <c r="Z274" i="20"/>
  <c r="AB274" i="20" s="1"/>
  <c r="AG308" i="37" s="1"/>
  <c r="AA274" i="20"/>
  <c r="Z140" i="20"/>
  <c r="AB140" i="20" s="1"/>
  <c r="AG143" i="37" s="1"/>
  <c r="AA140" i="20"/>
  <c r="AA185" i="20"/>
  <c r="Z185" i="20"/>
  <c r="AB185" i="20" s="1"/>
  <c r="AG188" i="37" s="1"/>
  <c r="AA169" i="20"/>
  <c r="Z169" i="20"/>
  <c r="AB169" i="20" s="1"/>
  <c r="AG172" i="37" s="1"/>
  <c r="AA153" i="20"/>
  <c r="Z153" i="20"/>
  <c r="AB153" i="20" s="1"/>
  <c r="AG156" i="37" s="1"/>
  <c r="Z224" i="20"/>
  <c r="AB224" i="20" s="1"/>
  <c r="AG227" i="37" s="1"/>
  <c r="AA224" i="20"/>
  <c r="Z190" i="20"/>
  <c r="AB190" i="20" s="1"/>
  <c r="AG193" i="37" s="1"/>
  <c r="AA190" i="20"/>
  <c r="Z182" i="20"/>
  <c r="AB182" i="20" s="1"/>
  <c r="AG185" i="37" s="1"/>
  <c r="AA182" i="20"/>
  <c r="Z174" i="20"/>
  <c r="AB174" i="20" s="1"/>
  <c r="AG177" i="37" s="1"/>
  <c r="AA174" i="20"/>
  <c r="Z166" i="20"/>
  <c r="AB166" i="20" s="1"/>
  <c r="AG169" i="37" s="1"/>
  <c r="AA166" i="20"/>
  <c r="Z158" i="20"/>
  <c r="AB158" i="20" s="1"/>
  <c r="AG161" i="37" s="1"/>
  <c r="AA158" i="20"/>
  <c r="Z150" i="20"/>
  <c r="AB150" i="20" s="1"/>
  <c r="AG153" i="37" s="1"/>
  <c r="AA150" i="20"/>
  <c r="Z188" i="20"/>
  <c r="AB188" i="20" s="1"/>
  <c r="AG191" i="37" s="1"/>
  <c r="AA188" i="20"/>
  <c r="Z180" i="20"/>
  <c r="AB180" i="20" s="1"/>
  <c r="AG183" i="37" s="1"/>
  <c r="AA180" i="20"/>
  <c r="Z172" i="20"/>
  <c r="AB172" i="20" s="1"/>
  <c r="AG175" i="37" s="1"/>
  <c r="AA172" i="20"/>
  <c r="Z164" i="20"/>
  <c r="AB164" i="20" s="1"/>
  <c r="AG167" i="37" s="1"/>
  <c r="AA164" i="20"/>
  <c r="Z156" i="20"/>
  <c r="AB156" i="20" s="1"/>
  <c r="AG159" i="37" s="1"/>
  <c r="AA156" i="20"/>
  <c r="Z148" i="20"/>
  <c r="AB148" i="20" s="1"/>
  <c r="AG151" i="37" s="1"/>
  <c r="AA148" i="20"/>
  <c r="AA125" i="20"/>
  <c r="Z125" i="20"/>
  <c r="AB125" i="20" s="1"/>
  <c r="AG128" i="37" s="1"/>
  <c r="AA120" i="20"/>
  <c r="Z120" i="20"/>
  <c r="AB120" i="20" s="1"/>
  <c r="AG123" i="37" s="1"/>
  <c r="AC118" i="20"/>
  <c r="AA96" i="20"/>
  <c r="Z96" i="20"/>
  <c r="AB96" i="20" s="1"/>
  <c r="AG99" i="37" s="1"/>
  <c r="AA34" i="20"/>
  <c r="Z34" i="20"/>
  <c r="AB34" i="20" s="1"/>
  <c r="AG36" i="37" s="1"/>
  <c r="Z30" i="20"/>
  <c r="AB30" i="20" s="1"/>
  <c r="AA30" i="20"/>
  <c r="AA36" i="20"/>
  <c r="Z36" i="20"/>
  <c r="AB36" i="20" s="1"/>
  <c r="AG38" i="37" s="1"/>
  <c r="AC99" i="20"/>
  <c r="AC82" i="20"/>
  <c r="AC74" i="20"/>
  <c r="AC66" i="20"/>
  <c r="AC58" i="20"/>
  <c r="AC50" i="20"/>
  <c r="AC42" i="20"/>
  <c r="AC106" i="20"/>
  <c r="AA77" i="20"/>
  <c r="Z77" i="20"/>
  <c r="AB77" i="20" s="1"/>
  <c r="AG80" i="37" s="1"/>
  <c r="AA61" i="20"/>
  <c r="Z61" i="20"/>
  <c r="AB61" i="20" s="1"/>
  <c r="AG64" i="37" s="1"/>
  <c r="AA45" i="20"/>
  <c r="Z45" i="20"/>
  <c r="AB45" i="20" s="1"/>
  <c r="AG48" i="37" s="1"/>
  <c r="Z290" i="20"/>
  <c r="AB290" i="20" s="1"/>
  <c r="AG334" i="37" s="1"/>
  <c r="AA290" i="20"/>
  <c r="Z278" i="20"/>
  <c r="AB278" i="20" s="1"/>
  <c r="AG312" i="37" s="1"/>
  <c r="AA278" i="20"/>
  <c r="AC277" i="20"/>
  <c r="Z272" i="20"/>
  <c r="AB272" i="20" s="1"/>
  <c r="AG306" i="37" s="1"/>
  <c r="AA272" i="20"/>
  <c r="AC215" i="20"/>
  <c r="Z260" i="20"/>
  <c r="AB260" i="20" s="1"/>
  <c r="AG294" i="37" s="1"/>
  <c r="AA260" i="20"/>
  <c r="Z233" i="20"/>
  <c r="AB233" i="20" s="1"/>
  <c r="AG236" i="37" s="1"/>
  <c r="AA233" i="20"/>
  <c r="Z225" i="20"/>
  <c r="AB225" i="20" s="1"/>
  <c r="AG228" i="37" s="1"/>
  <c r="AA225" i="20"/>
  <c r="Z217" i="20"/>
  <c r="AB217" i="20" s="1"/>
  <c r="AG220" i="37" s="1"/>
  <c r="AA217" i="20"/>
  <c r="Z209" i="20"/>
  <c r="AB209" i="20" s="1"/>
  <c r="AG212" i="37" s="1"/>
  <c r="AA209" i="20"/>
  <c r="Z212" i="20"/>
  <c r="AB212" i="20" s="1"/>
  <c r="AG215" i="37" s="1"/>
  <c r="AA212" i="20"/>
  <c r="Z282" i="20"/>
  <c r="AB282" i="20" s="1"/>
  <c r="AG316" i="37" s="1"/>
  <c r="AA282" i="20"/>
  <c r="Z275" i="20"/>
  <c r="AB275" i="20" s="1"/>
  <c r="AG309" i="37" s="1"/>
  <c r="AA275" i="20"/>
  <c r="Z266" i="20"/>
  <c r="AB266" i="20" s="1"/>
  <c r="AG300" i="37" s="1"/>
  <c r="AA266" i="20"/>
  <c r="Z279" i="20"/>
  <c r="AB279" i="20" s="1"/>
  <c r="AG313" i="37" s="1"/>
  <c r="AA279" i="20"/>
  <c r="AC218" i="20"/>
  <c r="Z204" i="20"/>
  <c r="AB204" i="20"/>
  <c r="AG207" i="37" s="1"/>
  <c r="AA204" i="20"/>
  <c r="Z220" i="20"/>
  <c r="AB220" i="20" s="1"/>
  <c r="AG223" i="37" s="1"/>
  <c r="AA220" i="20"/>
  <c r="AB203" i="20"/>
  <c r="AG206" i="37" s="1"/>
  <c r="AA203" i="20"/>
  <c r="Z203" i="20"/>
  <c r="Z232" i="20"/>
  <c r="AB232" i="20" s="1"/>
  <c r="AG235" i="37" s="1"/>
  <c r="AA232" i="20"/>
  <c r="AA181" i="20"/>
  <c r="Z181" i="20"/>
  <c r="AB181" i="20" s="1"/>
  <c r="AG184" i="37" s="1"/>
  <c r="AA165" i="20"/>
  <c r="Z165" i="20"/>
  <c r="AB165" i="20" s="1"/>
  <c r="AG168" i="37" s="1"/>
  <c r="AA149" i="20"/>
  <c r="Z149" i="20"/>
  <c r="AB149" i="20" s="1"/>
  <c r="AG152" i="37" s="1"/>
  <c r="AA196" i="20"/>
  <c r="Z196" i="20"/>
  <c r="AB196" i="20" s="1"/>
  <c r="AG199" i="37" s="1"/>
  <c r="Z214" i="20"/>
  <c r="AB214" i="20" s="1"/>
  <c r="AG217" i="37" s="1"/>
  <c r="AA214" i="20"/>
  <c r="AA137" i="20"/>
  <c r="Z137" i="20"/>
  <c r="AB137" i="20"/>
  <c r="AG140" i="37" s="1"/>
  <c r="Z135" i="20"/>
  <c r="AB135" i="20" s="1"/>
  <c r="AG138" i="37" s="1"/>
  <c r="AA135" i="20"/>
  <c r="Z133" i="20"/>
  <c r="AB133" i="20" s="1"/>
  <c r="AG136" i="37" s="1"/>
  <c r="AA133" i="20"/>
  <c r="AA199" i="20"/>
  <c r="Z199" i="20"/>
  <c r="AB199" i="20" s="1"/>
  <c r="AG202" i="37" s="1"/>
  <c r="AC183" i="20"/>
  <c r="AC167" i="20"/>
  <c r="AC151" i="20"/>
  <c r="AC105" i="20"/>
  <c r="Z230" i="20"/>
  <c r="AB230" i="20" s="1"/>
  <c r="AG233" i="37" s="1"/>
  <c r="AA230" i="20"/>
  <c r="AA124" i="20"/>
  <c r="Z124" i="20"/>
  <c r="AB124" i="20" s="1"/>
  <c r="AG127" i="37" s="1"/>
  <c r="AC122" i="20"/>
  <c r="AA113" i="20"/>
  <c r="Z113" i="20"/>
  <c r="AB113" i="20" s="1"/>
  <c r="AG116" i="37" s="1"/>
  <c r="AC197" i="20"/>
  <c r="AC109" i="20"/>
  <c r="AC90" i="20"/>
  <c r="AC115" i="20"/>
  <c r="AA94" i="20"/>
  <c r="Z94" i="20"/>
  <c r="AB94" i="20" s="1"/>
  <c r="AG97" i="37" s="1"/>
  <c r="AA81" i="20"/>
  <c r="Z81" i="20"/>
  <c r="AB81" i="20" s="1"/>
  <c r="AG84" i="37" s="1"/>
  <c r="AA65" i="20"/>
  <c r="Z65" i="20"/>
  <c r="AB65" i="20" s="1"/>
  <c r="AG68" i="37" s="1"/>
  <c r="AA49" i="20"/>
  <c r="Z49" i="20"/>
  <c r="AB49" i="20" s="1"/>
  <c r="AG52" i="37" s="1"/>
  <c r="AC111" i="20"/>
  <c r="AA102" i="20"/>
  <c r="Z102" i="20"/>
  <c r="AB102" i="20" s="1"/>
  <c r="AG105" i="37" s="1"/>
  <c r="AC87" i="20"/>
  <c r="AA80" i="20"/>
  <c r="Z80" i="20"/>
  <c r="AB80" i="20" s="1"/>
  <c r="AG83" i="37" s="1"/>
  <c r="AC79" i="20"/>
  <c r="AA72" i="20"/>
  <c r="Z72" i="20"/>
  <c r="AB72" i="20" s="1"/>
  <c r="AG75" i="37" s="1"/>
  <c r="AC71" i="20"/>
  <c r="AA64" i="20"/>
  <c r="Z64" i="20"/>
  <c r="AB64" i="20" s="1"/>
  <c r="AG67" i="37" s="1"/>
  <c r="AC63" i="20"/>
  <c r="AA56" i="20"/>
  <c r="Z56" i="20"/>
  <c r="AB56" i="20" s="1"/>
  <c r="AG59" i="37" s="1"/>
  <c r="AC55" i="20"/>
  <c r="AA48" i="20"/>
  <c r="Z48" i="20"/>
  <c r="AB48" i="20" s="1"/>
  <c r="AG51" i="37" s="1"/>
  <c r="AC47" i="20"/>
  <c r="AA38" i="20"/>
  <c r="Z38" i="20"/>
  <c r="AB38" i="20" s="1"/>
  <c r="AG40" i="37" s="1"/>
  <c r="AC107" i="20"/>
  <c r="AA32" i="20"/>
  <c r="Z32" i="20"/>
  <c r="AB32" i="20" s="1"/>
  <c r="AG34" i="37" s="1"/>
  <c r="Z293" i="20"/>
  <c r="AB293" i="20" s="1"/>
  <c r="AG337" i="37" s="1"/>
  <c r="AA293" i="20"/>
  <c r="AC292" i="20"/>
  <c r="Z267" i="20"/>
  <c r="AB267" i="20" s="1"/>
  <c r="AG301" i="37" s="1"/>
  <c r="AA267" i="20"/>
  <c r="AC219" i="20"/>
  <c r="Z228" i="20"/>
  <c r="AB228" i="20" s="1"/>
  <c r="AG231" i="37" s="1"/>
  <c r="AA228" i="20"/>
  <c r="Z142" i="20"/>
  <c r="AB142" i="20" s="1"/>
  <c r="AG145" i="37" s="1"/>
  <c r="AA142" i="20"/>
  <c r="AA177" i="20"/>
  <c r="Z177" i="20"/>
  <c r="AB177" i="20" s="1"/>
  <c r="AG180" i="37" s="1"/>
  <c r="AA161" i="20"/>
  <c r="Z161" i="20"/>
  <c r="AB161" i="20" s="1"/>
  <c r="AG164" i="37" s="1"/>
  <c r="AA145" i="20"/>
  <c r="Z145" i="20"/>
  <c r="AB145" i="20" s="1"/>
  <c r="AG148" i="37" s="1"/>
  <c r="Z259" i="20"/>
  <c r="AB259" i="20" s="1"/>
  <c r="AG293" i="37" s="1"/>
  <c r="AA259" i="20"/>
  <c r="AA198" i="20"/>
  <c r="Z198" i="20"/>
  <c r="AB198" i="20" s="1"/>
  <c r="AG201" i="37" s="1"/>
  <c r="Z186" i="20"/>
  <c r="AB186" i="20" s="1"/>
  <c r="AG189" i="37" s="1"/>
  <c r="AA186" i="20"/>
  <c r="Z178" i="20"/>
  <c r="AB178" i="20" s="1"/>
  <c r="AG181" i="37" s="1"/>
  <c r="AA178" i="20"/>
  <c r="Z170" i="20"/>
  <c r="AB170" i="20" s="1"/>
  <c r="AG173" i="37" s="1"/>
  <c r="AA170" i="20"/>
  <c r="Z162" i="20"/>
  <c r="AB162" i="20" s="1"/>
  <c r="AG165" i="37" s="1"/>
  <c r="AA162" i="20"/>
  <c r="Z154" i="20"/>
  <c r="AB154" i="20" s="1"/>
  <c r="AG157" i="37" s="1"/>
  <c r="AA154" i="20"/>
  <c r="Z146" i="20"/>
  <c r="AB146" i="20" s="1"/>
  <c r="AG149" i="37" s="1"/>
  <c r="AA146" i="20"/>
  <c r="AC187" i="20"/>
  <c r="AC171" i="20"/>
  <c r="AC155" i="20"/>
  <c r="AA138" i="20"/>
  <c r="Z138" i="20"/>
  <c r="AB138" i="20" s="1"/>
  <c r="AG141" i="37" s="1"/>
  <c r="Z192" i="20"/>
  <c r="AB192" i="20" s="1"/>
  <c r="AG195" i="37" s="1"/>
  <c r="AA192" i="20"/>
  <c r="Z184" i="20"/>
  <c r="AB184" i="20" s="1"/>
  <c r="AG187" i="37" s="1"/>
  <c r="AA184" i="20"/>
  <c r="Z176" i="20"/>
  <c r="AB176" i="20" s="1"/>
  <c r="AG179" i="37" s="1"/>
  <c r="AA176" i="20"/>
  <c r="Z168" i="20"/>
  <c r="AB168" i="20" s="1"/>
  <c r="AG171" i="37" s="1"/>
  <c r="AA168" i="20"/>
  <c r="Z160" i="20"/>
  <c r="AB160" i="20" s="1"/>
  <c r="AG163" i="37" s="1"/>
  <c r="AA160" i="20"/>
  <c r="Z152" i="20"/>
  <c r="AB152" i="20" s="1"/>
  <c r="AG155" i="37" s="1"/>
  <c r="AA152" i="20"/>
  <c r="Z144" i="20"/>
  <c r="AB144" i="20" s="1"/>
  <c r="AG147" i="37" s="1"/>
  <c r="AA144" i="20"/>
  <c r="AA128" i="20"/>
  <c r="Z128" i="20"/>
  <c r="AB128" i="20" s="1"/>
  <c r="AG131" i="37" s="1"/>
  <c r="AC126" i="20"/>
  <c r="AA117" i="20"/>
  <c r="Z117" i="20"/>
  <c r="AB117" i="20" s="1"/>
  <c r="AG120" i="37" s="1"/>
  <c r="AA112" i="20"/>
  <c r="Z112" i="20"/>
  <c r="AB112" i="20" s="1"/>
  <c r="AG115" i="37" s="1"/>
  <c r="AC101" i="20"/>
  <c r="AC123" i="20"/>
  <c r="AA92" i="20"/>
  <c r="Z92" i="20"/>
  <c r="AB92" i="20" s="1"/>
  <c r="AG95" i="37" s="1"/>
  <c r="AC86" i="20"/>
  <c r="AC78" i="20"/>
  <c r="AC70" i="20"/>
  <c r="AC62" i="20"/>
  <c r="AC54" i="20"/>
  <c r="AC46" i="20"/>
  <c r="AA33" i="20"/>
  <c r="Z33" i="20"/>
  <c r="AB33" i="20" s="1"/>
  <c r="AG35" i="37" s="1"/>
  <c r="AA100" i="20"/>
  <c r="Z100" i="20"/>
  <c r="AB100" i="20" s="1"/>
  <c r="AG103" i="37" s="1"/>
  <c r="AA89" i="20"/>
  <c r="Z89" i="20"/>
  <c r="AB89" i="20" s="1"/>
  <c r="AG92" i="37" s="1"/>
  <c r="AA35" i="20"/>
  <c r="Z35" i="20"/>
  <c r="AB35" i="20" s="1"/>
  <c r="AG37" i="37" s="1"/>
  <c r="AC119" i="20"/>
  <c r="AA108" i="20"/>
  <c r="Z108" i="20"/>
  <c r="AB108" i="20" s="1"/>
  <c r="AG111" i="37" s="1"/>
  <c r="AC88" i="20"/>
  <c r="AA110" i="20"/>
  <c r="Z110" i="20"/>
  <c r="AB110" i="20" s="1"/>
  <c r="AG113" i="37" s="1"/>
  <c r="AA85" i="20"/>
  <c r="Z85" i="20"/>
  <c r="AB85" i="20" s="1"/>
  <c r="AG88" i="37" s="1"/>
  <c r="AA69" i="20"/>
  <c r="Z69" i="20"/>
  <c r="AB69" i="20" s="1"/>
  <c r="AG72" i="37" s="1"/>
  <c r="AA53" i="20"/>
  <c r="Z53" i="20"/>
  <c r="AB53" i="20" s="1"/>
  <c r="AG56" i="37" s="1"/>
  <c r="AC281" i="20"/>
  <c r="Z280" i="20"/>
  <c r="AB280" i="20" s="1"/>
  <c r="AG314" i="37" s="1"/>
  <c r="AA280" i="20"/>
  <c r="Z271" i="20"/>
  <c r="AB271" i="20" s="1"/>
  <c r="AG305" i="37" s="1"/>
  <c r="AA271" i="20"/>
  <c r="AC258" i="20"/>
  <c r="AC223" i="20"/>
  <c r="Z237" i="20"/>
  <c r="AB237" i="20" s="1"/>
  <c r="AG240" i="37" s="1"/>
  <c r="AA237" i="20"/>
  <c r="Z229" i="20"/>
  <c r="AB229" i="20" s="1"/>
  <c r="AG232" i="37" s="1"/>
  <c r="AA229" i="20"/>
  <c r="Z221" i="20"/>
  <c r="AB221" i="20" s="1"/>
  <c r="AG224" i="37" s="1"/>
  <c r="AA221" i="20"/>
  <c r="Z213" i="20"/>
  <c r="AB213" i="20" s="1"/>
  <c r="AG216" i="37" s="1"/>
  <c r="AA213" i="20"/>
  <c r="AC263" i="20"/>
  <c r="Z200" i="20"/>
  <c r="AB200" i="20"/>
  <c r="AG203" i="37" s="1"/>
  <c r="AA200" i="20"/>
  <c r="Z276" i="20"/>
  <c r="AB276" i="20" s="1"/>
  <c r="AG310" i="37" s="1"/>
  <c r="AA276" i="20"/>
  <c r="Z291" i="20"/>
  <c r="AB291" i="20" s="1"/>
  <c r="AG335" i="37" s="1"/>
  <c r="AA291" i="20"/>
  <c r="Z264" i="20"/>
  <c r="AB264" i="20" s="1"/>
  <c r="AG298" i="37" s="1"/>
  <c r="AA264" i="20"/>
  <c r="AA207" i="20"/>
  <c r="Z207" i="20"/>
  <c r="AB207" i="20" s="1"/>
  <c r="AG210" i="37" s="1"/>
  <c r="Z236" i="20"/>
  <c r="AB236" i="20" s="1"/>
  <c r="AG239" i="37" s="1"/>
  <c r="AA236" i="20"/>
  <c r="Z208" i="20"/>
  <c r="AB208" i="20" s="1"/>
  <c r="AG211" i="37" s="1"/>
  <c r="AA208" i="20"/>
  <c r="Z294" i="20"/>
  <c r="AB294" i="20" s="1"/>
  <c r="AG338" i="37" s="1"/>
  <c r="AA294" i="20"/>
  <c r="Z216" i="20"/>
  <c r="AB216" i="20" s="1"/>
  <c r="AG219" i="37" s="1"/>
  <c r="AA216" i="20"/>
  <c r="AA194" i="20"/>
  <c r="Z194" i="20"/>
  <c r="AB194" i="20" s="1"/>
  <c r="AG197" i="37" s="1"/>
  <c r="AA189" i="20"/>
  <c r="Z189" i="20"/>
  <c r="AB189" i="20" s="1"/>
  <c r="AG192" i="37" s="1"/>
  <c r="AA173" i="20"/>
  <c r="Z173" i="20"/>
  <c r="AB173" i="20" s="1"/>
  <c r="AG176" i="37" s="1"/>
  <c r="AA157" i="20"/>
  <c r="Z157" i="20"/>
  <c r="AB157" i="20" s="1"/>
  <c r="AG160" i="37" s="1"/>
  <c r="O91" i="20"/>
  <c r="D7" i="20"/>
  <c r="D9" i="20"/>
  <c r="D5" i="20"/>
  <c r="D6" i="20"/>
  <c r="D8" i="20"/>
  <c r="AA195" i="20"/>
  <c r="Z195" i="20"/>
  <c r="AB195" i="20" s="1"/>
  <c r="AG198" i="37" s="1"/>
  <c r="AA136" i="20"/>
  <c r="Z136" i="20"/>
  <c r="AB136" i="20" s="1"/>
  <c r="AG139" i="37" s="1"/>
  <c r="AA134" i="20"/>
  <c r="Z134" i="20"/>
  <c r="AB134" i="20" s="1"/>
  <c r="AG137" i="37" s="1"/>
  <c r="AA132" i="20"/>
  <c r="Z132" i="20"/>
  <c r="AB132" i="20" s="1"/>
  <c r="AG135" i="37" s="1"/>
  <c r="AC130" i="20"/>
  <c r="AC191" i="20"/>
  <c r="AC175" i="20"/>
  <c r="AC159" i="20"/>
  <c r="AC143" i="20"/>
  <c r="AA131" i="20"/>
  <c r="Z131" i="20"/>
  <c r="AB131" i="20" s="1"/>
  <c r="AG134" i="37" s="1"/>
  <c r="AC97" i="20"/>
  <c r="AA121" i="20"/>
  <c r="Z121" i="20"/>
  <c r="AB121" i="20" s="1"/>
  <c r="AG124" i="37" s="1"/>
  <c r="AA116" i="20"/>
  <c r="Z116" i="20"/>
  <c r="AB116" i="20" s="1"/>
  <c r="AG119" i="37" s="1"/>
  <c r="AC114" i="20"/>
  <c r="AA104" i="20"/>
  <c r="Z104" i="20"/>
  <c r="AB104" i="20" s="1"/>
  <c r="AG107" i="37" s="1"/>
  <c r="AA129" i="20"/>
  <c r="Z129" i="20"/>
  <c r="AB129" i="20" s="1"/>
  <c r="AG132" i="37" s="1"/>
  <c r="AC93" i="20"/>
  <c r="AA84" i="20"/>
  <c r="Z84" i="20"/>
  <c r="AB84" i="20" s="1"/>
  <c r="AG87" i="37" s="1"/>
  <c r="AC83" i="20"/>
  <c r="AA76" i="20"/>
  <c r="Z76" i="20"/>
  <c r="AB76" i="20" s="1"/>
  <c r="AG79" i="37" s="1"/>
  <c r="AC75" i="20"/>
  <c r="AA68" i="20"/>
  <c r="Z68" i="20"/>
  <c r="AB68" i="20" s="1"/>
  <c r="AG71" i="37" s="1"/>
  <c r="AC67" i="20"/>
  <c r="AA60" i="20"/>
  <c r="Z60" i="20"/>
  <c r="AB60" i="20" s="1"/>
  <c r="AG63" i="37" s="1"/>
  <c r="AC59" i="20"/>
  <c r="AA52" i="20"/>
  <c r="Z52" i="20"/>
  <c r="AB52" i="20" s="1"/>
  <c r="AG55" i="37" s="1"/>
  <c r="AC51" i="20"/>
  <c r="AA44" i="20"/>
  <c r="Z44" i="20"/>
  <c r="AB44" i="20" s="1"/>
  <c r="AG47" i="37" s="1"/>
  <c r="AC43" i="20"/>
  <c r="AA73" i="20"/>
  <c r="Z73" i="20"/>
  <c r="AB73" i="20" s="1"/>
  <c r="AG76" i="37" s="1"/>
  <c r="AA57" i="20"/>
  <c r="Z57" i="20"/>
  <c r="AB57" i="20" s="1"/>
  <c r="AG60" i="37" s="1"/>
  <c r="AA41" i="20"/>
  <c r="Z41" i="20"/>
  <c r="AB41" i="20" s="1"/>
  <c r="AG44" i="37" s="1"/>
  <c r="AC127" i="20"/>
  <c r="AC98" i="20"/>
  <c r="AC37" i="20"/>
  <c r="L4" i="33"/>
  <c r="H10" i="16"/>
  <c r="O10" i="16" s="1"/>
  <c r="D3" i="16"/>
  <c r="G12" i="16"/>
  <c r="C4" i="16"/>
  <c r="C5" i="16" s="1"/>
  <c r="E19" i="33" l="1"/>
  <c r="C19" i="33"/>
  <c r="G19" i="33"/>
  <c r="AC269" i="20"/>
  <c r="AG303" i="37"/>
  <c r="F19" i="33" s="1"/>
  <c r="AC103" i="20"/>
  <c r="AG106" i="37"/>
  <c r="AC141" i="20"/>
  <c r="AG144" i="37"/>
  <c r="K15" i="33"/>
  <c r="M51" i="5"/>
  <c r="Q12" i="33" s="1"/>
  <c r="Q8" i="33"/>
  <c r="M50" i="5"/>
  <c r="R12" i="33" s="1"/>
  <c r="R8" i="33"/>
  <c r="R25" i="33" s="1"/>
  <c r="M47" i="5"/>
  <c r="F18" i="33"/>
  <c r="F32" i="33" s="1"/>
  <c r="M44" i="5"/>
  <c r="D18" i="33"/>
  <c r="D32" i="33" s="1"/>
  <c r="M48" i="5"/>
  <c r="G18" i="33"/>
  <c r="G32" i="33" s="1"/>
  <c r="E5" i="39"/>
  <c r="M46" i="5"/>
  <c r="E18" i="33"/>
  <c r="E32" i="33" s="1"/>
  <c r="F18" i="11"/>
  <c r="E8" i="37"/>
  <c r="M40" i="5"/>
  <c r="G8" i="33"/>
  <c r="M41" i="5"/>
  <c r="L18" i="33"/>
  <c r="C18" i="33"/>
  <c r="C32" i="33" s="1"/>
  <c r="E38" i="25"/>
  <c r="E7" i="39"/>
  <c r="M38" i="5"/>
  <c r="E8" i="33"/>
  <c r="M53" i="5"/>
  <c r="Q21" i="33" s="1"/>
  <c r="Q27" i="33" s="1"/>
  <c r="Q18" i="33"/>
  <c r="Q32" i="33" s="1"/>
  <c r="E9" i="37"/>
  <c r="M29" i="5"/>
  <c r="E3" i="20"/>
  <c r="M32" i="5"/>
  <c r="I8" i="33"/>
  <c r="E11" i="39"/>
  <c r="E12" i="39"/>
  <c r="E10" i="39"/>
  <c r="E13" i="39"/>
  <c r="M33" i="5"/>
  <c r="C8" i="33"/>
  <c r="H8" i="33"/>
  <c r="M31" i="5"/>
  <c r="M39" i="5"/>
  <c r="F8" i="33"/>
  <c r="E17" i="37"/>
  <c r="E6" i="39"/>
  <c r="E9" i="39"/>
  <c r="E3" i="39"/>
  <c r="E36" i="22"/>
  <c r="M59" i="5"/>
  <c r="E4" i="39" s="1"/>
  <c r="M54" i="5"/>
  <c r="E35" i="25" s="1"/>
  <c r="O58" i="5"/>
  <c r="O44" i="32" s="1"/>
  <c r="R43" i="44" s="1"/>
  <c r="R46" i="44" s="1"/>
  <c r="M55" i="5"/>
  <c r="E36" i="25" s="1"/>
  <c r="N58" i="5"/>
  <c r="O33" i="32" s="1"/>
  <c r="M85" i="5"/>
  <c r="M87" i="5"/>
  <c r="M80" i="5"/>
  <c r="M86" i="5"/>
  <c r="M83" i="5"/>
  <c r="M81" i="5"/>
  <c r="E23" i="33"/>
  <c r="T23" i="33"/>
  <c r="E3" i="25"/>
  <c r="E20" i="20"/>
  <c r="J15" i="33"/>
  <c r="E12" i="20"/>
  <c r="B4" i="33"/>
  <c r="G49" i="32"/>
  <c r="G33" i="32"/>
  <c r="C23" i="33"/>
  <c r="E4" i="25"/>
  <c r="E3" i="22"/>
  <c r="E21" i="20"/>
  <c r="E18" i="20"/>
  <c r="E22" i="20"/>
  <c r="E8" i="20"/>
  <c r="E14" i="20"/>
  <c r="E15" i="20"/>
  <c r="E6" i="25"/>
  <c r="E11" i="28"/>
  <c r="E12" i="28"/>
  <c r="E4" i="28"/>
  <c r="E4" i="30"/>
  <c r="E15" i="28"/>
  <c r="E9" i="20"/>
  <c r="E6" i="20"/>
  <c r="E9" i="28"/>
  <c r="E4" i="29"/>
  <c r="E7" i="20"/>
  <c r="E5" i="20"/>
  <c r="E13" i="20"/>
  <c r="E7" i="28"/>
  <c r="E3" i="30"/>
  <c r="E8" i="28"/>
  <c r="E5" i="29"/>
  <c r="E6" i="28"/>
  <c r="E16" i="28"/>
  <c r="E3" i="28"/>
  <c r="E10" i="28"/>
  <c r="E3" i="29"/>
  <c r="E5" i="22"/>
  <c r="E4" i="22"/>
  <c r="I30" i="5"/>
  <c r="M30" i="5" s="1"/>
  <c r="AC238" i="20"/>
  <c r="AC204" i="20"/>
  <c r="AC267" i="20"/>
  <c r="AC73" i="20"/>
  <c r="AC170" i="20"/>
  <c r="AC142" i="20"/>
  <c r="AC136" i="20"/>
  <c r="AC49" i="20"/>
  <c r="AC199" i="20"/>
  <c r="AC137" i="20"/>
  <c r="AC165" i="20"/>
  <c r="AC182" i="20"/>
  <c r="AC200" i="20"/>
  <c r="AC221" i="20"/>
  <c r="AC233" i="20"/>
  <c r="AC108" i="20"/>
  <c r="AC161" i="20"/>
  <c r="AC32" i="20"/>
  <c r="AC38" i="20"/>
  <c r="AC45" i="20"/>
  <c r="AC150" i="20"/>
  <c r="AC57" i="20"/>
  <c r="AC132" i="20"/>
  <c r="AC131" i="20"/>
  <c r="U91" i="20"/>
  <c r="T91" i="20"/>
  <c r="T300" i="20" s="1"/>
  <c r="O300" i="20"/>
  <c r="AC189" i="20"/>
  <c r="AC194" i="20"/>
  <c r="AC294" i="20"/>
  <c r="AC264" i="20"/>
  <c r="AC291" i="20"/>
  <c r="AC229" i="20"/>
  <c r="AC53" i="20"/>
  <c r="AC35" i="20"/>
  <c r="AC89" i="20"/>
  <c r="AC112" i="20"/>
  <c r="AC144" i="20"/>
  <c r="AC176" i="20"/>
  <c r="AC146" i="20"/>
  <c r="AC178" i="20"/>
  <c r="AC259" i="20"/>
  <c r="AC145" i="20"/>
  <c r="AC293" i="20"/>
  <c r="AC65" i="20"/>
  <c r="AC133" i="20"/>
  <c r="AC149" i="20"/>
  <c r="AC232" i="20"/>
  <c r="AC203" i="20"/>
  <c r="AC212" i="20"/>
  <c r="AC209" i="20"/>
  <c r="AC260" i="20"/>
  <c r="AC272" i="20"/>
  <c r="AC36" i="20"/>
  <c r="AC164" i="20"/>
  <c r="AC158" i="20"/>
  <c r="AC190" i="20"/>
  <c r="AC185" i="20"/>
  <c r="AC295" i="20"/>
  <c r="AC41" i="20"/>
  <c r="AC121" i="20"/>
  <c r="AC195" i="20"/>
  <c r="AC104" i="20"/>
  <c r="AC116" i="20"/>
  <c r="AC173" i="20"/>
  <c r="AC216" i="20"/>
  <c r="AC110" i="20"/>
  <c r="AC33" i="20"/>
  <c r="AC168" i="20"/>
  <c r="AC48" i="20"/>
  <c r="AC56" i="20"/>
  <c r="AC64" i="20"/>
  <c r="AC72" i="20"/>
  <c r="AC80" i="20"/>
  <c r="AC102" i="20"/>
  <c r="AC113" i="20"/>
  <c r="AC124" i="20"/>
  <c r="AC214" i="20"/>
  <c r="AC279" i="20"/>
  <c r="AC282" i="20"/>
  <c r="AC77" i="20"/>
  <c r="AC30" i="20"/>
  <c r="AC125" i="20"/>
  <c r="AC156" i="20"/>
  <c r="AC188" i="20"/>
  <c r="AC169" i="20"/>
  <c r="AC274" i="20"/>
  <c r="AC44" i="20"/>
  <c r="AC52" i="20"/>
  <c r="AC60" i="20"/>
  <c r="AC68" i="20"/>
  <c r="AC76" i="20"/>
  <c r="AC84" i="20"/>
  <c r="AC129" i="20"/>
  <c r="AC134" i="20"/>
  <c r="AC157" i="20"/>
  <c r="AC236" i="20"/>
  <c r="AC207" i="20"/>
  <c r="AC213" i="20"/>
  <c r="AC85" i="20"/>
  <c r="AC160" i="20"/>
  <c r="AC192" i="20"/>
  <c r="AC162" i="20"/>
  <c r="AC198" i="20"/>
  <c r="AC177" i="20"/>
  <c r="AC94" i="20"/>
  <c r="AC230" i="20"/>
  <c r="AC196" i="20"/>
  <c r="AC181" i="20"/>
  <c r="AC220" i="20"/>
  <c r="AC275" i="20"/>
  <c r="AC225" i="20"/>
  <c r="AC290" i="20"/>
  <c r="AC61" i="20"/>
  <c r="AC96" i="20"/>
  <c r="AC120" i="20"/>
  <c r="AC148" i="20"/>
  <c r="AC180" i="20"/>
  <c r="AC174" i="20"/>
  <c r="AC224" i="20"/>
  <c r="AC153" i="20"/>
  <c r="AC208" i="20"/>
  <c r="AC276" i="20"/>
  <c r="AC237" i="20"/>
  <c r="AC271" i="20"/>
  <c r="AC280" i="20"/>
  <c r="AC69" i="20"/>
  <c r="AC100" i="20"/>
  <c r="AC92" i="20"/>
  <c r="AC117" i="20"/>
  <c r="AC128" i="20"/>
  <c r="AC152" i="20"/>
  <c r="AC184" i="20"/>
  <c r="AC138" i="20"/>
  <c r="AC154" i="20"/>
  <c r="AC186" i="20"/>
  <c r="AC228" i="20"/>
  <c r="AC81" i="20"/>
  <c r="AC135" i="20"/>
  <c r="AC266" i="20"/>
  <c r="AC217" i="20"/>
  <c r="AC278" i="20"/>
  <c r="AC34" i="20"/>
  <c r="AC172" i="20"/>
  <c r="AC166" i="20"/>
  <c r="AC140" i="20"/>
  <c r="E15" i="15"/>
  <c r="D6" i="15"/>
  <c r="D5" i="15"/>
  <c r="D4" i="15"/>
  <c r="D3" i="15"/>
  <c r="G15" i="14"/>
  <c r="F91" i="43" l="1"/>
  <c r="R33" i="44"/>
  <c r="P33" i="32"/>
  <c r="O127" i="32" s="1"/>
  <c r="Q30" i="33"/>
  <c r="E35" i="22"/>
  <c r="O187" i="32"/>
  <c r="O195" i="32" s="1"/>
  <c r="D92" i="43"/>
  <c r="E37" i="22"/>
  <c r="Q33" i="33"/>
  <c r="H12" i="33"/>
  <c r="H27" i="33" s="1"/>
  <c r="E5" i="37"/>
  <c r="C12" i="33"/>
  <c r="C30" i="33" s="1"/>
  <c r="E7" i="37"/>
  <c r="B8" i="33"/>
  <c r="B29" i="33" s="1"/>
  <c r="E12" i="33"/>
  <c r="E30" i="33" s="1"/>
  <c r="E12" i="37"/>
  <c r="K18" i="33"/>
  <c r="J18" i="33"/>
  <c r="G12" i="33"/>
  <c r="E14" i="37"/>
  <c r="D21" i="33"/>
  <c r="E18" i="37"/>
  <c r="E14" i="39"/>
  <c r="I12" i="33"/>
  <c r="I27" i="33" s="1"/>
  <c r="E6" i="37"/>
  <c r="B12" i="33"/>
  <c r="E3" i="37"/>
  <c r="Q25" i="33"/>
  <c r="E4" i="37"/>
  <c r="F12" i="33"/>
  <c r="E13" i="37"/>
  <c r="L21" i="33"/>
  <c r="C21" i="33"/>
  <c r="C33" i="33" s="1"/>
  <c r="E15" i="37"/>
  <c r="E21" i="33"/>
  <c r="E33" i="33" s="1"/>
  <c r="E20" i="37"/>
  <c r="G21" i="33"/>
  <c r="G33" i="33" s="1"/>
  <c r="E22" i="37"/>
  <c r="F21" i="33"/>
  <c r="F33" i="33" s="1"/>
  <c r="E21" i="37"/>
  <c r="R27" i="33"/>
  <c r="T27" i="33" s="1"/>
  <c r="R30" i="33"/>
  <c r="K4" i="33"/>
  <c r="N60" i="5"/>
  <c r="X33" i="32" s="1"/>
  <c r="O60" i="5"/>
  <c r="X44" i="32" s="1"/>
  <c r="O49" i="32"/>
  <c r="F25" i="33"/>
  <c r="F29" i="33"/>
  <c r="C25" i="33"/>
  <c r="C29" i="33"/>
  <c r="B23" i="33"/>
  <c r="J4" i="33"/>
  <c r="Q29" i="33"/>
  <c r="G40" i="32"/>
  <c r="G51" i="32" s="1"/>
  <c r="G62" i="32" s="1"/>
  <c r="H25" i="33"/>
  <c r="H29" i="33"/>
  <c r="I25" i="33"/>
  <c r="I29" i="33"/>
  <c r="E29" i="33"/>
  <c r="E25" i="33"/>
  <c r="G25" i="33"/>
  <c r="G29" i="33"/>
  <c r="R29" i="33"/>
  <c r="E4" i="20"/>
  <c r="AA91" i="20"/>
  <c r="AB91" i="20"/>
  <c r="AG94" i="37" s="1"/>
  <c r="AG344" i="37" s="1"/>
  <c r="W22" i="44" s="1"/>
  <c r="I12" i="44" s="1"/>
  <c r="Z91" i="20"/>
  <c r="D16" i="20" s="1"/>
  <c r="U300" i="20"/>
  <c r="AF30" i="20"/>
  <c r="C6" i="14"/>
  <c r="D17" i="15"/>
  <c r="G15" i="15"/>
  <c r="G14" i="15"/>
  <c r="G13" i="15"/>
  <c r="G12" i="15"/>
  <c r="C7" i="15"/>
  <c r="D31" i="14"/>
  <c r="E13" i="14" s="1"/>
  <c r="G14" i="14"/>
  <c r="G12" i="14"/>
  <c r="G11" i="14"/>
  <c r="W34" i="44" l="1"/>
  <c r="F92" i="43"/>
  <c r="Q43" i="44"/>
  <c r="Q33" i="44"/>
  <c r="Y33" i="32"/>
  <c r="X151" i="32" s="1"/>
  <c r="D19" i="33"/>
  <c r="J19" i="33" s="1"/>
  <c r="D91" i="43"/>
  <c r="H30" i="33"/>
  <c r="F27" i="33"/>
  <c r="X49" i="32"/>
  <c r="X187" i="32"/>
  <c r="X195" i="32" s="1"/>
  <c r="G27" i="33"/>
  <c r="F30" i="33"/>
  <c r="G30" i="33"/>
  <c r="B25" i="33"/>
  <c r="B30" i="33"/>
  <c r="J21" i="33"/>
  <c r="K21" i="33"/>
  <c r="B27" i="33"/>
  <c r="I30" i="33"/>
  <c r="E27" i="33"/>
  <c r="C27" i="33"/>
  <c r="J32" i="33"/>
  <c r="J23" i="33"/>
  <c r="T25" i="33"/>
  <c r="AB300" i="20"/>
  <c r="D18" i="20"/>
  <c r="D21" i="20"/>
  <c r="D15" i="20"/>
  <c r="D20" i="20"/>
  <c r="D17" i="20"/>
  <c r="D19" i="20"/>
  <c r="D22" i="20"/>
  <c r="Z300" i="20"/>
  <c r="AC91" i="20"/>
  <c r="AC300" i="20" s="1"/>
  <c r="AC302" i="20" s="1"/>
  <c r="AA300" i="20"/>
  <c r="AA302" i="20" s="1"/>
  <c r="C8" i="15"/>
  <c r="D13" i="14"/>
  <c r="D17" i="14" s="1"/>
  <c r="X128" i="32" l="1"/>
  <c r="Z46" i="43" s="1"/>
  <c r="S43" i="44"/>
  <c r="Q46" i="44"/>
  <c r="W39" i="44"/>
  <c r="W40" i="44" s="1"/>
  <c r="S33" i="44"/>
  <c r="I79" i="44" s="1"/>
  <c r="J33" i="33"/>
  <c r="D33" i="33"/>
  <c r="C24" i="20"/>
  <c r="AB302" i="20"/>
  <c r="D5" i="14"/>
  <c r="D4" i="14"/>
  <c r="D3" i="14"/>
  <c r="K23" i="33"/>
  <c r="J35" i="33"/>
  <c r="C7" i="14"/>
  <c r="G13" i="14"/>
  <c r="I128" i="5" l="1"/>
  <c r="I178" i="5"/>
  <c r="O79" i="32" s="1"/>
  <c r="F208" i="43" s="1"/>
  <c r="I194" i="5"/>
  <c r="I88" i="5"/>
  <c r="M88" i="5" s="1"/>
  <c r="I79" i="5"/>
  <c r="I66" i="5"/>
  <c r="I36" i="5"/>
  <c r="I16" i="5"/>
  <c r="M16" i="5" s="1"/>
  <c r="E36" i="14" l="1"/>
  <c r="M36" i="5"/>
  <c r="D8" i="33"/>
  <c r="L8" i="33"/>
  <c r="M66" i="5"/>
  <c r="N78" i="5"/>
  <c r="O35" i="32" s="1"/>
  <c r="M79" i="5"/>
  <c r="O80" i="32"/>
  <c r="E10" i="20"/>
  <c r="O23" i="12"/>
  <c r="O19" i="12"/>
  <c r="O11" i="12"/>
  <c r="O22" i="12"/>
  <c r="O21" i="12"/>
  <c r="O20" i="12"/>
  <c r="O18" i="12"/>
  <c r="O17" i="12"/>
  <c r="O16" i="12"/>
  <c r="O14" i="12"/>
  <c r="J23" i="12"/>
  <c r="K23" i="12" s="1"/>
  <c r="J22" i="12"/>
  <c r="L22" i="12" s="1"/>
  <c r="J21" i="12"/>
  <c r="K21" i="12" s="1"/>
  <c r="J17" i="12"/>
  <c r="L17" i="12" s="1"/>
  <c r="J16" i="12"/>
  <c r="K16" i="12" s="1"/>
  <c r="J18" i="12"/>
  <c r="K18" i="12" s="1"/>
  <c r="J20" i="12"/>
  <c r="K20" i="12" s="1"/>
  <c r="J19" i="12"/>
  <c r="L19" i="12" s="1"/>
  <c r="J15" i="12"/>
  <c r="K15" i="12" s="1"/>
  <c r="O15" i="12"/>
  <c r="J12" i="12"/>
  <c r="K12" i="12" s="1"/>
  <c r="O13" i="12"/>
  <c r="O12" i="12"/>
  <c r="J13" i="12"/>
  <c r="K13" i="12" s="1"/>
  <c r="J11" i="12"/>
  <c r="K11" i="12" s="1"/>
  <c r="J10" i="12"/>
  <c r="K10" i="12" s="1"/>
  <c r="I12" i="5"/>
  <c r="J14" i="12"/>
  <c r="K14" i="12" s="1"/>
  <c r="C4" i="12"/>
  <c r="F105" i="43" l="1"/>
  <c r="R35" i="44"/>
  <c r="R39" i="44" s="1"/>
  <c r="R48" i="44" s="1"/>
  <c r="R59" i="44" s="1"/>
  <c r="O82" i="32"/>
  <c r="O89" i="32" s="1"/>
  <c r="O93" i="32" s="1"/>
  <c r="O106" i="32" s="1"/>
  <c r="F209" i="43"/>
  <c r="D12" i="33"/>
  <c r="D30" i="33" s="1"/>
  <c r="E10" i="37"/>
  <c r="L12" i="33"/>
  <c r="K8" i="33"/>
  <c r="E24" i="15"/>
  <c r="L13" i="12"/>
  <c r="M13" i="12" s="1"/>
  <c r="L18" i="12"/>
  <c r="M18" i="12" s="1"/>
  <c r="K22" i="12"/>
  <c r="M22" i="12" s="1"/>
  <c r="L11" i="12"/>
  <c r="M11" i="12" s="1"/>
  <c r="L12" i="12"/>
  <c r="M12" i="12" s="1"/>
  <c r="K19" i="12"/>
  <c r="M19" i="12" s="1"/>
  <c r="L14" i="12"/>
  <c r="M14" i="12" s="1"/>
  <c r="O144" i="32"/>
  <c r="O40" i="32"/>
  <c r="O51" i="32" s="1"/>
  <c r="O62" i="32" s="1"/>
  <c r="N80" i="5"/>
  <c r="X35" i="32" s="1"/>
  <c r="Q35" i="44" s="1"/>
  <c r="M12" i="5"/>
  <c r="D29" i="33"/>
  <c r="D25" i="33"/>
  <c r="J8" i="33"/>
  <c r="J25" i="33" s="1"/>
  <c r="I195" i="5"/>
  <c r="L23" i="12"/>
  <c r="N22" i="12"/>
  <c r="L21" i="12"/>
  <c r="L20" i="12"/>
  <c r="N19" i="12"/>
  <c r="N17" i="12"/>
  <c r="L16" i="12"/>
  <c r="K17" i="12"/>
  <c r="M17" i="12" s="1"/>
  <c r="L15" i="12"/>
  <c r="L10" i="12"/>
  <c r="D3" i="12"/>
  <c r="O10" i="12"/>
  <c r="G25" i="12"/>
  <c r="C5" i="12" s="1"/>
  <c r="D4" i="11"/>
  <c r="D3" i="11"/>
  <c r="G13" i="11"/>
  <c r="F13" i="11"/>
  <c r="U11" i="11"/>
  <c r="R11" i="11"/>
  <c r="U10" i="11"/>
  <c r="R10" i="11"/>
  <c r="C5" i="11"/>
  <c r="N18" i="12" l="1"/>
  <c r="S35" i="44"/>
  <c r="I28" i="44" s="1"/>
  <c r="Q39" i="44"/>
  <c r="Q48" i="44" s="1"/>
  <c r="Q59" i="44" s="1"/>
  <c r="N12" i="12"/>
  <c r="N13" i="12"/>
  <c r="C6" i="11"/>
  <c r="O124" i="32"/>
  <c r="O95" i="32"/>
  <c r="X144" i="32"/>
  <c r="D105" i="43"/>
  <c r="E39" i="12"/>
  <c r="D27" i="33"/>
  <c r="K12" i="33"/>
  <c r="J12" i="33"/>
  <c r="J27" i="33" s="1"/>
  <c r="J37" i="33" s="1"/>
  <c r="K25" i="33"/>
  <c r="N11" i="12"/>
  <c r="N14" i="12"/>
  <c r="M110" i="32"/>
  <c r="X40" i="32"/>
  <c r="X51" i="32" s="1"/>
  <c r="X62" i="32" s="1"/>
  <c r="M195" i="5"/>
  <c r="J29" i="33"/>
  <c r="N23" i="12"/>
  <c r="M23" i="12"/>
  <c r="N21" i="12"/>
  <c r="M21" i="12"/>
  <c r="M20" i="12"/>
  <c r="N20" i="12"/>
  <c r="M16" i="12"/>
  <c r="N16" i="12"/>
  <c r="N15" i="12"/>
  <c r="M15" i="12"/>
  <c r="M10" i="12"/>
  <c r="N10" i="12"/>
  <c r="J30" i="33" l="1"/>
  <c r="K27" i="33"/>
  <c r="J36" i="33"/>
  <c r="O110" i="32"/>
  <c r="M114" i="32"/>
  <c r="N110" i="32"/>
  <c r="N114" i="32" s="1"/>
  <c r="F195" i="5"/>
  <c r="E17" i="20"/>
  <c r="E3" i="16"/>
  <c r="H15" i="4"/>
  <c r="G15" i="4"/>
  <c r="F15" i="4"/>
  <c r="X21" i="32" s="1"/>
  <c r="H13" i="4"/>
  <c r="G15" i="32" s="1"/>
  <c r="G13" i="4"/>
  <c r="O15" i="32" s="1"/>
  <c r="F13" i="4"/>
  <c r="X15" i="32" s="1"/>
  <c r="Q15" i="44" s="1"/>
  <c r="H11" i="4"/>
  <c r="G14" i="32" s="1"/>
  <c r="G11" i="4"/>
  <c r="O14" i="32" s="1"/>
  <c r="R14" i="44" s="1"/>
  <c r="F11" i="4"/>
  <c r="X14" i="32" s="1"/>
  <c r="Q14" i="44" s="1"/>
  <c r="H9" i="4"/>
  <c r="G13" i="32" s="1"/>
  <c r="G9" i="4"/>
  <c r="O13" i="32" s="1"/>
  <c r="F9" i="4"/>
  <c r="X13" i="32" s="1"/>
  <c r="H7" i="4"/>
  <c r="G7" i="4"/>
  <c r="O12" i="32" s="1"/>
  <c r="F7" i="4"/>
  <c r="X12" i="32" s="1"/>
  <c r="Q12" i="44" s="1"/>
  <c r="G4" i="4"/>
  <c r="O11" i="32" s="1"/>
  <c r="R11" i="44" s="1"/>
  <c r="F4" i="4"/>
  <c r="X11" i="32" s="1"/>
  <c r="Q11" i="44" s="1"/>
  <c r="S14" i="44" l="1"/>
  <c r="I26" i="44" s="1"/>
  <c r="F35" i="43"/>
  <c r="R13" i="44"/>
  <c r="R37" i="43"/>
  <c r="Q21" i="44"/>
  <c r="S11" i="44"/>
  <c r="I85" i="44"/>
  <c r="F30" i="43"/>
  <c r="R12" i="44"/>
  <c r="S12" i="44" s="1"/>
  <c r="I24" i="44" s="1"/>
  <c r="F59" i="43"/>
  <c r="R15" i="44"/>
  <c r="S15" i="44" s="1"/>
  <c r="I27" i="44" s="1"/>
  <c r="I84" i="44"/>
  <c r="D35" i="43"/>
  <c r="Q13" i="44"/>
  <c r="Q17" i="44" s="1"/>
  <c r="X200" i="32"/>
  <c r="F24" i="43"/>
  <c r="O201" i="32"/>
  <c r="O202" i="32" s="1"/>
  <c r="X140" i="32"/>
  <c r="D30" i="43"/>
  <c r="X201" i="32"/>
  <c r="D24" i="43"/>
  <c r="X142" i="32"/>
  <c r="D236" i="43"/>
  <c r="F236" i="43"/>
  <c r="O142" i="32"/>
  <c r="X143" i="32"/>
  <c r="D59" i="43"/>
  <c r="X141" i="32"/>
  <c r="O143" i="32"/>
  <c r="O21" i="32"/>
  <c r="R21" i="44" s="1"/>
  <c r="G21" i="32"/>
  <c r="G25" i="32" s="1"/>
  <c r="X17" i="32"/>
  <c r="X25" i="32"/>
  <c r="G12" i="32"/>
  <c r="O140" i="32" s="1"/>
  <c r="F60" i="4"/>
  <c r="O141" i="32"/>
  <c r="O17" i="32"/>
  <c r="H60" i="4"/>
  <c r="G60" i="4"/>
  <c r="E6" i="15"/>
  <c r="E5" i="15"/>
  <c r="E4" i="15"/>
  <c r="E3" i="14"/>
  <c r="E4" i="14"/>
  <c r="E5" i="14"/>
  <c r="E3" i="15"/>
  <c r="F4" i="11"/>
  <c r="R17" i="44" l="1"/>
  <c r="I86" i="44"/>
  <c r="W21" i="44"/>
  <c r="R25" i="44"/>
  <c r="R27" i="44" s="1"/>
  <c r="R61" i="44" s="1"/>
  <c r="S13" i="44"/>
  <c r="I25" i="44" s="1"/>
  <c r="I31" i="44" s="1"/>
  <c r="I32" i="44" s="1"/>
  <c r="I39" i="44" s="1"/>
  <c r="S21" i="44"/>
  <c r="I48" i="44" s="1"/>
  <c r="I63" i="44" s="1"/>
  <c r="Q25" i="44"/>
  <c r="Q27" i="44" s="1"/>
  <c r="Q61" i="44" s="1"/>
  <c r="W24" i="44"/>
  <c r="X202" i="32"/>
  <c r="X147" i="32"/>
  <c r="X148" i="32" s="1"/>
  <c r="X155" i="32" s="1"/>
  <c r="X197" i="32" s="1"/>
  <c r="X199" i="32" s="1"/>
  <c r="X203" i="32" s="1"/>
  <c r="O25" i="32"/>
  <c r="O27" i="32" s="1"/>
  <c r="O64" i="32" s="1"/>
  <c r="R35" i="43"/>
  <c r="X27" i="32"/>
  <c r="X64" i="32" s="1"/>
  <c r="G17" i="32"/>
  <c r="G27" i="32" s="1"/>
  <c r="G64" i="32" s="1"/>
  <c r="O147" i="32"/>
  <c r="O148" i="32" s="1"/>
  <c r="O155" i="32" s="1"/>
  <c r="O197" i="32" s="1"/>
  <c r="O199" i="32" s="1"/>
  <c r="O203" i="32" s="1"/>
  <c r="E3" i="12"/>
  <c r="I81" i="44" l="1"/>
  <c r="I83" i="44" s="1"/>
  <c r="I87" i="44" s="1"/>
  <c r="W25" i="44"/>
  <c r="S61" i="4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N43" authorId="0" shapeId="0" xr:uid="{132F7A05-1E8B-1046-AA9A-5BAFC7AAD7A7}">
      <text>
        <r>
          <rPr>
            <b/>
            <sz val="10"/>
            <color indexed="81"/>
            <rFont val="Calibri"/>
            <family val="2"/>
          </rPr>
          <t>Implementador:</t>
        </r>
        <r>
          <rPr>
            <sz val="10"/>
            <color indexed="81"/>
            <rFont val="Calibri"/>
            <family val="2"/>
          </rPr>
          <t xml:space="preserve">
Incluye ajuste de auditoría por valores no capitalizables</t>
        </r>
      </text>
    </comment>
    <comment ref="D258" authorId="0" shapeId="0" xr:uid="{8972E03D-9FF2-D648-AC4A-1C5D6298DCB7}">
      <text>
        <r>
          <rPr>
            <b/>
            <sz val="10"/>
            <color rgb="FF000000"/>
            <rFont val="Calibri"/>
            <family val="2"/>
          </rPr>
          <t>Preansa: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>Corresponde a mobiliario para la oficina</t>
        </r>
      </text>
    </comment>
    <comment ref="N260" authorId="0" shapeId="0" xr:uid="{CC929AB4-E74D-D442-B305-588406FEA511}">
      <text>
        <r>
          <rPr>
            <b/>
            <sz val="10"/>
            <color rgb="FF000000"/>
            <rFont val="Calibri"/>
            <family val="2"/>
          </rPr>
          <t>Implementador: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>Incluye ajuste de auditoría por valores no capitalizables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N46" authorId="0" shapeId="0" xr:uid="{3243A624-FE01-904B-B3A7-554772C30BF1}">
      <text>
        <r>
          <rPr>
            <b/>
            <sz val="10"/>
            <color indexed="81"/>
            <rFont val="Calibri"/>
            <family val="2"/>
          </rPr>
          <t>Implementador:</t>
        </r>
        <r>
          <rPr>
            <sz val="10"/>
            <color indexed="81"/>
            <rFont val="Calibri"/>
            <family val="2"/>
          </rPr>
          <t xml:space="preserve">
Incluye ajuste de auditoría por valores no capitalizables</t>
        </r>
      </text>
    </comment>
    <comment ref="D292" authorId="0" shapeId="0" xr:uid="{3CE18F73-74E9-9E49-B191-A3587F5C6942}">
      <text>
        <r>
          <rPr>
            <b/>
            <sz val="10"/>
            <color rgb="FF000000"/>
            <rFont val="Calibri"/>
            <family val="2"/>
          </rPr>
          <t>Preansa: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>Corresponde a mobiliario para la oficina</t>
        </r>
      </text>
    </comment>
    <comment ref="N294" authorId="0" shapeId="0" xr:uid="{BF348B6D-BE55-C841-855C-00E7E803BDD9}">
      <text>
        <r>
          <rPr>
            <b/>
            <sz val="10"/>
            <color rgb="FF000000"/>
            <rFont val="Calibri"/>
            <family val="2"/>
          </rPr>
          <t>Implementador: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>Incluye ajuste de auditoría por valores no capitalizables</t>
        </r>
      </text>
    </comment>
  </commentList>
</comments>
</file>

<file path=xl/sharedStrings.xml><?xml version="1.0" encoding="utf-8"?>
<sst xmlns="http://schemas.openxmlformats.org/spreadsheetml/2006/main" count="7474" uniqueCount="1142">
  <si>
    <t>CHECK</t>
  </si>
  <si>
    <t>Cta.mayor</t>
  </si>
  <si>
    <t>Texto breve</t>
  </si>
  <si>
    <t>Caja menores</t>
  </si>
  <si>
    <t>COP</t>
  </si>
  <si>
    <t>BANCO BILBAO VIZ. ARGENTARIA- BBVA (COP)</t>
  </si>
  <si>
    <t>Cta.ahorro, bancos</t>
  </si>
  <si>
    <t>Deud.,client. nacion</t>
  </si>
  <si>
    <t>Antic./avan. a prov.</t>
  </si>
  <si>
    <t>Antic./avan. a trab.</t>
  </si>
  <si>
    <t>Antic.impto.renta</t>
  </si>
  <si>
    <t>Impto. de industria y comercio retenido</t>
  </si>
  <si>
    <t>Sobr.liquid.priv.d.i</t>
  </si>
  <si>
    <t>MATERIAS PRIMAS</t>
  </si>
  <si>
    <t>Prop.,pl/equ.,terren</t>
  </si>
  <si>
    <t>Revaluación de Prop.,pl/equ.,terren</t>
  </si>
  <si>
    <t>Constr.curso,constr/</t>
  </si>
  <si>
    <t>Constr./edificacione</t>
  </si>
  <si>
    <t>Constr./edific.prod.</t>
  </si>
  <si>
    <t>Constr./instalacione</t>
  </si>
  <si>
    <t>Maqu/equ. adquirida</t>
  </si>
  <si>
    <t>Equipo de oficina</t>
  </si>
  <si>
    <t>Equ.comp./com.</t>
  </si>
  <si>
    <t>Flota/equ.de transpo</t>
  </si>
  <si>
    <t>Depreciación acumulada, construcciones y edificaci</t>
  </si>
  <si>
    <t>Depreciación acumulada, construcciones produccion</t>
  </si>
  <si>
    <t>Depreciación acumulada, instalaciones</t>
  </si>
  <si>
    <t>Depr.acum,maqu./equ.</t>
  </si>
  <si>
    <t>Depr.acum,equ.d.ofic</t>
  </si>
  <si>
    <t>Depr.acum,comp/com.</t>
  </si>
  <si>
    <t>Depr.acum,fl/equ.tra</t>
  </si>
  <si>
    <t>Licencias</t>
  </si>
  <si>
    <t>Depreciación y/o amortización acumulada, licencias</t>
  </si>
  <si>
    <t>Obligaciones financieras, bancos nacionales, pagar</t>
  </si>
  <si>
    <t>Obl.fin,bannac,acept</t>
  </si>
  <si>
    <t>Proveed. del exterio</t>
  </si>
  <si>
    <t>Cost./gast.p.pagar,o</t>
  </si>
  <si>
    <t>Ret.fuente,salar/pag</t>
  </si>
  <si>
    <t>Ret.fuente,compras</t>
  </si>
  <si>
    <t>Otras ret./ patrimon</t>
  </si>
  <si>
    <t>Impto.a l.ventas ret</t>
  </si>
  <si>
    <t>Impto.d.ind/com.rete</t>
  </si>
  <si>
    <t>Aport.promot.saludEP</t>
  </si>
  <si>
    <t>Aport.adm.riesgprofA</t>
  </si>
  <si>
    <t>Aport.ICBF,SENA,cajc</t>
  </si>
  <si>
    <t>Acreed.var.,fond.ces</t>
  </si>
  <si>
    <t>Imptos,grav.vig.fisc</t>
  </si>
  <si>
    <t>Impto.s.l.ventas p.p</t>
  </si>
  <si>
    <t>Obl.lab,salarios p.p</t>
  </si>
  <si>
    <t>Indemnizaciones laborales</t>
  </si>
  <si>
    <t>Pasivos estim./prov., para costos y gastos, intere</t>
  </si>
  <si>
    <t>Pasiv.est,obl.lab,ce</t>
  </si>
  <si>
    <t>Pasiv.est,obl.lab,va</t>
  </si>
  <si>
    <t>Pasiv.est,obl.lab,pr</t>
  </si>
  <si>
    <t>Pasivos estimados y provisiones, para obl. laboral</t>
  </si>
  <si>
    <t>Pasivos por impuestos diferidos</t>
  </si>
  <si>
    <t>Antic./avan.recib.cl</t>
  </si>
  <si>
    <t>Patrim,cap.soc.,auto</t>
  </si>
  <si>
    <t>Patrimo, cap social, anticipo recib.por acc a emit</t>
  </si>
  <si>
    <t>Ing.op,const.utilida</t>
  </si>
  <si>
    <t>Ingr.op,transp.carre</t>
  </si>
  <si>
    <t>N.op.,otr.fin,intere</t>
  </si>
  <si>
    <t>N.op.,otr.fin,dif.ca</t>
  </si>
  <si>
    <t>No operacionales, financieros, diferencia en cambi</t>
  </si>
  <si>
    <t>Gast.op.adm,salario</t>
  </si>
  <si>
    <t>Gast.op.adm,cesantía</t>
  </si>
  <si>
    <t>Gast.op.adm,int.cesa</t>
  </si>
  <si>
    <t>Gast.op.adm,prima se</t>
  </si>
  <si>
    <t>Gast.op.adm,vacacion</t>
  </si>
  <si>
    <t>Gast.op.adm,dotación</t>
  </si>
  <si>
    <t>Gast.op.adm,pension.</t>
  </si>
  <si>
    <t>Gast.op.adm,indemniz</t>
  </si>
  <si>
    <t>Gast.op.adm,capacit.</t>
  </si>
  <si>
    <t>Gast.op.adm,riesg.pr</t>
  </si>
  <si>
    <t>Gast.op.adm,prom.sal</t>
  </si>
  <si>
    <t>Gast.op.adm,caj.comp</t>
  </si>
  <si>
    <t>Gast.op.adm,ap.ICBF</t>
  </si>
  <si>
    <t>Gast.op.adm., SENA</t>
  </si>
  <si>
    <t>Gast.op.adm,médicos</t>
  </si>
  <si>
    <t>Gast.op.adm,honrevis</t>
  </si>
  <si>
    <t>Gast.op.adm.,honaud.</t>
  </si>
  <si>
    <t>Gast.op.adm,hon.ases</t>
  </si>
  <si>
    <t>Gast.op.adm,ases.téc</t>
  </si>
  <si>
    <t>Gast.op.adm,hon.otr.</t>
  </si>
  <si>
    <t>Gast.op.adm,imp.veh.</t>
  </si>
  <si>
    <t>Gast.op.adm,imptos.</t>
  </si>
  <si>
    <t>Gast.op.adm,arr.edif</t>
  </si>
  <si>
    <t>Gast.op.adm,fl.trans</t>
  </si>
  <si>
    <t>Gast.op. de administ</t>
  </si>
  <si>
    <t>Gast.,seg.transporte</t>
  </si>
  <si>
    <t>Gasto aseo</t>
  </si>
  <si>
    <t>Gast.,serv.temporal.</t>
  </si>
  <si>
    <t>Gast.,serv.asistenc.</t>
  </si>
  <si>
    <t>Gast.,acued/alcantar</t>
  </si>
  <si>
    <t>Gast.,energ.eléctr.</t>
  </si>
  <si>
    <t>Gast.,serv. teléfono</t>
  </si>
  <si>
    <t>Gast.,transp./fletes</t>
  </si>
  <si>
    <t>Gast.,serv.,gas</t>
  </si>
  <si>
    <t>Gastos,serv.,otros</t>
  </si>
  <si>
    <t>Gast.legal.,notarial</t>
  </si>
  <si>
    <t>Gast.legal,reg.merc.</t>
  </si>
  <si>
    <t>Gast.repar.maquin.</t>
  </si>
  <si>
    <t>Gast.repar.equ.ofic.</t>
  </si>
  <si>
    <t>Gast.repar,equ.trans</t>
  </si>
  <si>
    <t>Gast.viaj.,alojam.</t>
  </si>
  <si>
    <t>Gast.viaje,pasaj.aér</t>
  </si>
  <si>
    <t>Gast.,depr.,constr.</t>
  </si>
  <si>
    <t>Gast.,depr.,maquin.</t>
  </si>
  <si>
    <t>Gast.,depr.,equ.ofic</t>
  </si>
  <si>
    <t>Gast.,depr.equ.trans</t>
  </si>
  <si>
    <t>Gastos op. admin.,amort. intangibles,Licencias</t>
  </si>
  <si>
    <t>Gast.div.,libros,sub</t>
  </si>
  <si>
    <t>Gast.div.,represent.</t>
  </si>
  <si>
    <t>Gast.div.,elem.aseo</t>
  </si>
  <si>
    <t>Gast.div.,útiles</t>
  </si>
  <si>
    <t>Gast.div.,combust.</t>
  </si>
  <si>
    <t>Gast.div,casino/rest</t>
  </si>
  <si>
    <t>N.op.,fin.,gast.banc</t>
  </si>
  <si>
    <t>N.op.,fin.,comisione</t>
  </si>
  <si>
    <t>No operacionales, financieros, intereses</t>
  </si>
  <si>
    <t>N.op.,fin.,dif.en ca</t>
  </si>
  <si>
    <t>'N.op.extrao.,ejerc.</t>
  </si>
  <si>
    <t>'N.op.extrao,imptos.</t>
  </si>
  <si>
    <t>'N.op.div.,sanc./lit</t>
  </si>
  <si>
    <t>'N.op.div.,otros,red</t>
  </si>
  <si>
    <t>Costo,const.utilida</t>
  </si>
  <si>
    <t>Costo de venta, servicio transporte por carretera</t>
  </si>
  <si>
    <t>Efectivo</t>
  </si>
  <si>
    <t>Cuentas comerciales por cobrar</t>
  </si>
  <si>
    <t>Otras cuentas por cobrar</t>
  </si>
  <si>
    <t>Pasivos por impuestos corrientes</t>
  </si>
  <si>
    <t>NIIF ESF</t>
  </si>
  <si>
    <t>Inventarios</t>
  </si>
  <si>
    <t>Propiedades, planta y equipo</t>
  </si>
  <si>
    <t>Activos intangibles</t>
  </si>
  <si>
    <t>Cuenta puente</t>
  </si>
  <si>
    <t>Obligaciones financieras</t>
  </si>
  <si>
    <t>Cuentas por pagar a partes relacionadas</t>
  </si>
  <si>
    <t>Impto.renta/compleme</t>
  </si>
  <si>
    <t>Anticipos recibidos</t>
  </si>
  <si>
    <t>Cuentas comerciales por pagar y otras cuentas por pagar</t>
  </si>
  <si>
    <t>Capital suscrito y pagado</t>
  </si>
  <si>
    <t>Resultados acumulados</t>
  </si>
  <si>
    <t>Otros resultados integrales</t>
  </si>
  <si>
    <t>Adopción por primera vez</t>
  </si>
  <si>
    <t>Cierre de año</t>
  </si>
  <si>
    <t>Ingresos de actividades ordinarias</t>
  </si>
  <si>
    <t>Costos de venta de bienes y servicios</t>
  </si>
  <si>
    <t>Otros gastos operativos, neto</t>
  </si>
  <si>
    <t>Financieros, neto</t>
  </si>
  <si>
    <t>Diferencia en cambio, neta</t>
  </si>
  <si>
    <t>Gasto por impuesto sobre la renta</t>
  </si>
  <si>
    <t>Etiquetas de fila</t>
  </si>
  <si>
    <t>Total general</t>
  </si>
  <si>
    <t>ID</t>
  </si>
  <si>
    <t>INVENTARIO DE CONTRATOS DE CONSTRUCCIÓN-COSTO</t>
  </si>
  <si>
    <t>MATERIALES AUXILIARES</t>
  </si>
  <si>
    <t>SUMINISTROS DIVERSOS</t>
  </si>
  <si>
    <t>REPUESTOS</t>
  </si>
  <si>
    <t>CONSTRUCCIONES EN CURSO</t>
  </si>
  <si>
    <t>Impto. de industria y comercio retenido Municipal</t>
  </si>
  <si>
    <t>OTRAS PROVISIONES</t>
  </si>
  <si>
    <t>Impto. de industria y comercio, vigencia fiscal co</t>
  </si>
  <si>
    <t>Result. ejercicios anteriores, pérdidas acum-NIFF</t>
  </si>
  <si>
    <t>Ingr.op,constr,ing.c</t>
  </si>
  <si>
    <t>Ing.op,const.montaje</t>
  </si>
  <si>
    <t>Ing.op,const.adm.imp</t>
  </si>
  <si>
    <t>Ingr.op.,com.,otros</t>
  </si>
  <si>
    <t>No oper.,utilidad flota/equipo de transporte</t>
  </si>
  <si>
    <t>No operacionales, indemnizaciones por suministros</t>
  </si>
  <si>
    <t>No operacionales, incapacidades</t>
  </si>
  <si>
    <t>Gast.op.adm,pr,auxtr</t>
  </si>
  <si>
    <t>Gast.op.adm,deportiv</t>
  </si>
  <si>
    <t>Gast.op.adm,arr.maqu</t>
  </si>
  <si>
    <t>Gast.op.adm,arr.otr.</t>
  </si>
  <si>
    <t>Gast,seg.cumplimient</t>
  </si>
  <si>
    <t>Gast.,seg.responsab.</t>
  </si>
  <si>
    <t>Gast.,seguros otros</t>
  </si>
  <si>
    <t>Gast.,correo/telegr.</t>
  </si>
  <si>
    <t>Gast.viaj,pasaj.terr</t>
  </si>
  <si>
    <t>Gast.div,taxis/buses Y (PEAJES)</t>
  </si>
  <si>
    <t>Corr.imptos.IVA desc</t>
  </si>
  <si>
    <t>SERV D OBRAS CIVILES</t>
  </si>
  <si>
    <t>SERV DE FABRICACION</t>
  </si>
  <si>
    <t>C.v.,com.may/men,otr (Producto Terminado)</t>
  </si>
  <si>
    <t>CONSUMO DE MATERIAS PRIMAS</t>
  </si>
  <si>
    <t>Activos por impuestos corrientes</t>
  </si>
  <si>
    <t>Otros (ingresos) gastos operativos, netos</t>
  </si>
  <si>
    <t>Saldo 31 Dic 2019</t>
  </si>
  <si>
    <t>OTRS INVS.FIN - COST</t>
  </si>
  <si>
    <t>Equivalente al efectivo</t>
  </si>
  <si>
    <t>HERRAMIENTAS-COSTO</t>
  </si>
  <si>
    <t>DEPR HERRAMIENT-COST</t>
  </si>
  <si>
    <t>PRESTAMOS ACCIONIST</t>
  </si>
  <si>
    <t>RETENCIONES JUDICIAL</t>
  </si>
  <si>
    <t>FONDO AFC</t>
  </si>
  <si>
    <t>Suma de Saldo 31 Dic 2019</t>
  </si>
  <si>
    <t>Débito</t>
  </si>
  <si>
    <t>Crédito</t>
  </si>
  <si>
    <t>AJUSTES</t>
  </si>
  <si>
    <t>Facturación venta bienes</t>
  </si>
  <si>
    <t>CUENTA</t>
  </si>
  <si>
    <t>DESCRIPCIÓN</t>
  </si>
  <si>
    <t>Validación</t>
  </si>
  <si>
    <t>Facturación prestación servicios</t>
  </si>
  <si>
    <t>Contrato de construcción</t>
  </si>
  <si>
    <t>Diferencia</t>
  </si>
  <si>
    <t>Préstamo a terceros</t>
  </si>
  <si>
    <t>Días para cálculo de deterioro</t>
  </si>
  <si>
    <t>Cuenta</t>
  </si>
  <si>
    <t>Descripción cuenta</t>
  </si>
  <si>
    <t>Nombre tercero</t>
  </si>
  <si>
    <t>NIT tercero</t>
  </si>
  <si>
    <t>Documento o factura</t>
  </si>
  <si>
    <t>Concepto cuenta por cobrar</t>
  </si>
  <si>
    <t>Fecha inicial (Documento o factura)</t>
  </si>
  <si>
    <t>Fecha de vencimiento</t>
  </si>
  <si>
    <t>Plazo acordado (días)</t>
  </si>
  <si>
    <t>Días en mora</t>
  </si>
  <si>
    <t>Medición bajo NIIF</t>
  </si>
  <si>
    <t>Deterioro de valor NIIF</t>
  </si>
  <si>
    <t>Diferencia por ajustar "Errores"</t>
  </si>
  <si>
    <t>Observaciones de la Gerencia</t>
  </si>
  <si>
    <t xml:space="preserve"> Deud.,client. Nacion</t>
  </si>
  <si>
    <t>Préstamo a socios</t>
  </si>
  <si>
    <t>Efectivo restringido</t>
  </si>
  <si>
    <t>(A)</t>
  </si>
  <si>
    <t>ARPRO ZONA FRANCA II SAS</t>
  </si>
  <si>
    <t>RETE GARANTÍAS</t>
  </si>
  <si>
    <t>Facturación</t>
  </si>
  <si>
    <r>
      <t xml:space="preserve">RETE GARANTÍAS </t>
    </r>
    <r>
      <rPr>
        <sz val="11"/>
        <color rgb="FFFF0000"/>
        <rFont val="Calibri (Cuerpo)_x0000_"/>
      </rPr>
      <t>(No hay indicio de deterioro)</t>
    </r>
  </si>
  <si>
    <r>
      <t>(A)</t>
    </r>
    <r>
      <rPr>
        <sz val="12"/>
        <color theme="1"/>
        <rFont val="Calibri"/>
        <family val="2"/>
        <scheme val="minor"/>
      </rPr>
      <t xml:space="preserve"> Por efectos de contratación, el pago de la retegarantía se dará a la terminación del contrato o finalización del proyecto.</t>
    </r>
  </si>
  <si>
    <t>ACTA N3 OBRA 094-2019</t>
  </si>
  <si>
    <t>SALDO FC 267 PENDIENTE CONFIRMAR RTE ICA MA</t>
  </si>
  <si>
    <t>SI</t>
  </si>
  <si>
    <t>NO</t>
  </si>
  <si>
    <t>Caja</t>
  </si>
  <si>
    <t>Observaciones</t>
  </si>
  <si>
    <t>Cuenta ahorros</t>
  </si>
  <si>
    <t>USD</t>
  </si>
  <si>
    <t>Confirmación Gerencia</t>
  </si>
  <si>
    <t>Cuenta corriente</t>
  </si>
  <si>
    <t>EUR</t>
  </si>
  <si>
    <t>VEF</t>
  </si>
  <si>
    <t>Clase de Disponible</t>
  </si>
  <si>
    <t>Moneda</t>
  </si>
  <si>
    <t>Entidad Financiera</t>
  </si>
  <si>
    <t>¿La Empresa lo puede convertir en menos de tres meses en efectivo?</t>
  </si>
  <si>
    <t>(a) ¿Este efectivo tiene destinación específica?</t>
  </si>
  <si>
    <t>Si (a) es "SI", cuál es la destinación?</t>
  </si>
  <si>
    <t>(b) ¿La Empresa lo tiene que utilizar para cancelar pasivos específicos?</t>
  </si>
  <si>
    <r>
      <t xml:space="preserve">Si (b) es "SI", indicar: Plazo en </t>
    </r>
    <r>
      <rPr>
        <b/>
        <u/>
        <sz val="11"/>
        <color indexed="9"/>
        <rFont val="Calibri"/>
        <family val="2"/>
      </rPr>
      <t>meses</t>
    </r>
    <r>
      <rPr>
        <b/>
        <sz val="11"/>
        <color indexed="9"/>
        <rFont val="Calibri"/>
        <family val="2"/>
      </rPr>
      <t xml:space="preserve"> de la restricción</t>
    </r>
  </si>
  <si>
    <t>Si (b) es "SI", indicar: cuenta contable y saldo del pasivo relacionado</t>
  </si>
  <si>
    <t>(c) ¿El efectivo restringido se debe reclasificar como un Activo no corriente?</t>
  </si>
  <si>
    <t>Si (c) es "SI", indicar: Cuenta contable para reclasificación</t>
  </si>
  <si>
    <t>Si (c) es "SI", indicar: Saldo de reclasificación</t>
  </si>
  <si>
    <t>Saldo pasivo</t>
  </si>
  <si>
    <t>X</t>
  </si>
  <si>
    <t>BBVA</t>
  </si>
  <si>
    <t>AV VILLAS</t>
  </si>
  <si>
    <t>NIIF PLENAS</t>
  </si>
  <si>
    <t>Validación 2</t>
  </si>
  <si>
    <t>Saldo NIIF</t>
  </si>
  <si>
    <t>Saldo Auxiliar</t>
  </si>
  <si>
    <t>Retención de garantías</t>
  </si>
  <si>
    <t>CONSORCIO EXPANSION PTAR SALITRE</t>
  </si>
  <si>
    <t>INTANGIBLES EN CURSO</t>
  </si>
  <si>
    <t>Para compra de inventario</t>
  </si>
  <si>
    <t>Para compra de activos fijos</t>
  </si>
  <si>
    <t>Para compra de intangibles</t>
  </si>
  <si>
    <t>Constituye una cuenta por cobrar</t>
  </si>
  <si>
    <t>Servicio pagado por anticipado</t>
  </si>
  <si>
    <t>Otros conceptos</t>
  </si>
  <si>
    <t>Costo o gasto - Resultados</t>
  </si>
  <si>
    <t>Concepto del anticipo (a)</t>
  </si>
  <si>
    <t>Si (a) es un servicio, indicar el % de avance</t>
  </si>
  <si>
    <t>Inventario</t>
  </si>
  <si>
    <t>Activos fijos</t>
  </si>
  <si>
    <t>Intangibles</t>
  </si>
  <si>
    <t>Cuenta por cobrar</t>
  </si>
  <si>
    <t>Otros conceptos "Seguir análisis"</t>
  </si>
  <si>
    <t>Gasto pagado por anticipado</t>
  </si>
  <si>
    <t>Resultados "Gasto"</t>
  </si>
  <si>
    <t>Revisión Contable</t>
  </si>
  <si>
    <t>Ganancias acumuladas</t>
  </si>
  <si>
    <t>Anticipo o saldo a favor en renta y CREE</t>
  </si>
  <si>
    <t>Anticipo o saldo a favor del impuesto a las ventas</t>
  </si>
  <si>
    <t>Anticipo o saldo a favor en industria y comercio</t>
  </si>
  <si>
    <t>Anticipo o saldo a favor en otros impuestos</t>
  </si>
  <si>
    <t>Partida a compensar con cuentas por pagar</t>
  </si>
  <si>
    <t>Clase de Impuesto</t>
  </si>
  <si>
    <t>Año de aplicación del anticipo, saldo a favor o retención</t>
  </si>
  <si>
    <t>AUTORETENCIÓN CREE</t>
  </si>
  <si>
    <t>FEBRERO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</si>
  <si>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</si>
  <si>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</si>
  <si>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</si>
  <si>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</si>
  <si>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</si>
  <si>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</si>
  <si>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</si>
  <si>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</si>
  <si>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</si>
  <si>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Saldo Declaración</t>
  </si>
  <si>
    <t>Cuenta por pagar en renta y CREE</t>
  </si>
  <si>
    <t>Cuenta por pagar en industria y comercio</t>
  </si>
  <si>
    <t>Cuenta por pagar del impuesto a las ventas</t>
  </si>
  <si>
    <t>Año de aplicación del pago</t>
  </si>
  <si>
    <t>ENERO</t>
  </si>
  <si>
    <t>MARZO</t>
  </si>
  <si>
    <t>Compensado contra la cuenta por pagar</t>
  </si>
  <si>
    <t>Observación</t>
  </si>
  <si>
    <t>Compensado contra el saldo a favor</t>
  </si>
  <si>
    <t>AUTORETENCIÓN RENTA 2019</t>
  </si>
  <si>
    <r>
      <t xml:space="preserve">RETENCIONES EN LA FUENTE 2019 - </t>
    </r>
    <r>
      <rPr>
        <sz val="11"/>
        <color rgb="FFFF0000"/>
        <rFont val="Calibri (Cuerpo)_x0000_"/>
      </rPr>
      <t>CRUCE RENTA 2019</t>
    </r>
  </si>
  <si>
    <r>
      <t xml:space="preserve">SALDO A FAVOR DECLARACIÓN DE IVA - </t>
    </r>
    <r>
      <rPr>
        <sz val="11"/>
        <color rgb="FFFF0000"/>
        <rFont val="Calibri (Cuerpo)_x0000_"/>
      </rPr>
      <t>COMPENSACIÓN BIMESTRAL 2020</t>
    </r>
  </si>
  <si>
    <t>SALDO POR PAGAR RENTA 2019 (Vía Renta Presuntiva)</t>
  </si>
  <si>
    <t>SALDO POR PAGAR DE ICA 2019 (Bogotá y otros municipios)</t>
  </si>
  <si>
    <t>SALDO A FAVOR DECLARACIÓN DE RENTA 2018</t>
  </si>
  <si>
    <t>Calcular flujos futuros a valor presente</t>
  </si>
  <si>
    <t>Método del costo</t>
  </si>
  <si>
    <t>Asegurar flujo de efectivo</t>
  </si>
  <si>
    <t>Acciones</t>
  </si>
  <si>
    <t>Determinar valor del mercado (bolsa)</t>
  </si>
  <si>
    <t>Método del costo amortizado</t>
  </si>
  <si>
    <t>Mantener hasta el vencimiento</t>
  </si>
  <si>
    <t>CDT's</t>
  </si>
  <si>
    <t>Determinar valor intrínseco</t>
  </si>
  <si>
    <t>Método de participación</t>
  </si>
  <si>
    <t>Mantener para la venta</t>
  </si>
  <si>
    <t>Fiducias</t>
  </si>
  <si>
    <t>Reclasificar y mantener al costo</t>
  </si>
  <si>
    <t>Valor razonable</t>
  </si>
  <si>
    <t>Mantener por control</t>
  </si>
  <si>
    <t>Reclasificar y mantener al valor razonable</t>
  </si>
  <si>
    <t>Mantener influencia significativa</t>
  </si>
  <si>
    <t>Entidad emisora</t>
  </si>
  <si>
    <t>Clase de inversión</t>
  </si>
  <si>
    <t>Número de documento</t>
  </si>
  <si>
    <t>Intención de la Gerencia</t>
  </si>
  <si>
    <t>Fecha inicial (Título)</t>
  </si>
  <si>
    <t>Fecha de vencimiento o estimada de venta</t>
  </si>
  <si>
    <t>Presentación en EF</t>
  </si>
  <si>
    <t>Acción a ejecutar</t>
  </si>
  <si>
    <t xml:space="preserve"> Saldo NIIF </t>
  </si>
  <si>
    <t>Saldo Extracto</t>
  </si>
  <si>
    <t>Equivalente a efectivo</t>
  </si>
  <si>
    <t>INVENTARIO MATERIA PRIMA</t>
  </si>
  <si>
    <t>COD</t>
  </si>
  <si>
    <t>MATERIAL</t>
  </si>
  <si>
    <t>CANT</t>
  </si>
  <si>
    <t>VALOR TOTAL</t>
  </si>
  <si>
    <t>TOTAL SERVICIOS</t>
  </si>
  <si>
    <t>TOTAL MATERIA PRIMA</t>
  </si>
  <si>
    <t>TOTAL INVENTARIO</t>
  </si>
  <si>
    <t>INVENTARIO DE SERVICIOS</t>
  </si>
  <si>
    <t>OBRA</t>
  </si>
  <si>
    <t>NOMBRE</t>
  </si>
  <si>
    <t>VALOR INVENT</t>
  </si>
  <si>
    <t>INVENTARIO MATERIAL AUXILIAR</t>
  </si>
  <si>
    <t>TOTAL MATERIA AUXILIAR</t>
  </si>
  <si>
    <t>Terrenos</t>
  </si>
  <si>
    <t>Edificios</t>
  </si>
  <si>
    <t>Construcciones en curso</t>
  </si>
  <si>
    <t>Maquinaria</t>
  </si>
  <si>
    <t>Equipos informáticos</t>
  </si>
  <si>
    <t>Vehículos</t>
  </si>
  <si>
    <t>Otras - Telecomunicaciones</t>
  </si>
  <si>
    <t>Otras - Mejoras a propiedades arrendadas</t>
  </si>
  <si>
    <t>50 UVT 2014</t>
  </si>
  <si>
    <t>50 UVT 2015</t>
  </si>
  <si>
    <t>50 UVT 2016</t>
  </si>
  <si>
    <t>Medición</t>
  </si>
  <si>
    <t>50 UVT 2017</t>
  </si>
  <si>
    <t>Descripción activo</t>
  </si>
  <si>
    <t>Cantidad</t>
  </si>
  <si>
    <t>Clase de activo NIIF</t>
  </si>
  <si>
    <t>Marca o Proveedor</t>
  </si>
  <si>
    <t>Comprobante</t>
  </si>
  <si>
    <t>Modelo</t>
  </si>
  <si>
    <t>Serial</t>
  </si>
  <si>
    <t>Fecha adquisición</t>
  </si>
  <si>
    <t>Activo material?</t>
  </si>
  <si>
    <t>Costo Unitario</t>
  </si>
  <si>
    <t>Costo material</t>
  </si>
  <si>
    <t>DAcum NIIF</t>
  </si>
  <si>
    <t>DAcum COL Auxiliar</t>
  </si>
  <si>
    <t>Saldo DAcum activo material</t>
  </si>
  <si>
    <t>Saldo Neto Material</t>
  </si>
  <si>
    <t>Política de depreciación (Años)</t>
  </si>
  <si>
    <t>Vida útil depreciada (Meses)</t>
  </si>
  <si>
    <t>Vida útil remanente (Meses)</t>
  </si>
  <si>
    <t>Depreciación mensual</t>
  </si>
  <si>
    <t>Depreciación acumula</t>
  </si>
  <si>
    <t>Saldo Costo NIIF (1)</t>
  </si>
  <si>
    <t>Saldo DAcum NIIF (1)</t>
  </si>
  <si>
    <t>Saldo Neto NIIF (1)</t>
  </si>
  <si>
    <t>Comentarios de la Gerencia</t>
  </si>
  <si>
    <t>Valor Razonable</t>
  </si>
  <si>
    <t>N/A</t>
  </si>
  <si>
    <t>MAQUINARIA Y EQUIPO EN CURSO</t>
  </si>
  <si>
    <t>VEHICULOS - MONTACARGA</t>
  </si>
  <si>
    <t>Costo Auxiliar</t>
  </si>
  <si>
    <t>---</t>
  </si>
  <si>
    <t>50 UVT 2018</t>
  </si>
  <si>
    <t>Check Deprec</t>
  </si>
  <si>
    <t>50 UVT 2019</t>
  </si>
  <si>
    <t>Clasificación NIIF</t>
  </si>
  <si>
    <t>Política de amortización (Años)</t>
  </si>
  <si>
    <t>Amortización mensual</t>
  </si>
  <si>
    <t>Amortización acumulada</t>
  </si>
  <si>
    <t>Saldo AAcum NIIF (1)</t>
  </si>
  <si>
    <t>Programas de computador</t>
  </si>
  <si>
    <t>Mejoras a propiedades arrendadas</t>
  </si>
  <si>
    <t>Gastos pagados por anticipado</t>
  </si>
  <si>
    <t>Otros activos (revisar clasificación)</t>
  </si>
  <si>
    <t>Gastos del periodo</t>
  </si>
  <si>
    <t>Descripción del activo</t>
  </si>
  <si>
    <t>Intangible en desarrollo</t>
  </si>
  <si>
    <t>Indefinida</t>
  </si>
  <si>
    <t>(en blanco)</t>
  </si>
  <si>
    <t>Activos por derecho de uso</t>
  </si>
  <si>
    <t>Pasivo por arrendamiento</t>
  </si>
  <si>
    <t>Activo por derecho de uso</t>
  </si>
  <si>
    <t>Gasto por</t>
  </si>
  <si>
    <t>Depreciación</t>
  </si>
  <si>
    <t>Pago por</t>
  </si>
  <si>
    <t>Intereses</t>
  </si>
  <si>
    <t>Meses</t>
  </si>
  <si>
    <t>Contabilidad NIIF PYMES</t>
  </si>
  <si>
    <t>MES</t>
  </si>
  <si>
    <t>FECHA</t>
  </si>
  <si>
    <t>Saldo Inicial</t>
  </si>
  <si>
    <t>Arrendamiento</t>
  </si>
  <si>
    <t>Saldo Final</t>
  </si>
  <si>
    <t>DÉBITO</t>
  </si>
  <si>
    <t>CRÉDITO</t>
  </si>
  <si>
    <t>REGISTROS CONTABLES (MES 1)</t>
  </si>
  <si>
    <t>DB - Gasto por intereses</t>
  </si>
  <si>
    <t>DB - Gasto por depreciación</t>
  </si>
  <si>
    <t>CR - Pasivo por arrendamiento</t>
  </si>
  <si>
    <t>CR - DA Activo por derecho de uso</t>
  </si>
  <si>
    <t>REGISTROS CONTABLES (MES 2)</t>
  </si>
  <si>
    <t>DB - Pasivo por arrendamiento</t>
  </si>
  <si>
    <t>CR - Efectivo</t>
  </si>
  <si>
    <t>Gasto por intereses</t>
  </si>
  <si>
    <t>Gasto por depreciación</t>
  </si>
  <si>
    <t>DA Activo por derecho de uso</t>
  </si>
  <si>
    <t>REGISTROS CONTABLES (31 DIC 2019)</t>
  </si>
  <si>
    <t>Pasivos por arrendamientos</t>
  </si>
  <si>
    <t>Validación 1</t>
  </si>
  <si>
    <t>Gastos depreciación Activo por derecho de uso</t>
  </si>
  <si>
    <t>Totalmente Depreciado bajo NIIF 2019</t>
  </si>
  <si>
    <t>Obligaciones por leasing</t>
  </si>
  <si>
    <t>Otros pasivos financieros</t>
  </si>
  <si>
    <t>Concepto cuenta por pagar</t>
  </si>
  <si>
    <t>Saldo COP Auxiliar</t>
  </si>
  <si>
    <t>Fecha esperada de pago</t>
  </si>
  <si>
    <t>Tasa efectiva</t>
  </si>
  <si>
    <t>Tasa nominal (mensual)</t>
  </si>
  <si>
    <t>Porción Corriente</t>
  </si>
  <si>
    <t>Porción Largo Plazo</t>
  </si>
  <si>
    <t>Internal</t>
  </si>
  <si>
    <t>401-9600073747</t>
  </si>
  <si>
    <t>DTF + 3%</t>
  </si>
  <si>
    <t>El cálculo de los intereses es determinado por la entidad financiera directamente</t>
  </si>
  <si>
    <t>Evolución del Stand By:</t>
  </si>
  <si>
    <t>Capital</t>
  </si>
  <si>
    <t>Tasa Interés</t>
  </si>
  <si>
    <t>Intereses 31 Dic</t>
  </si>
  <si>
    <t>21 de diciembre de 2016</t>
  </si>
  <si>
    <t>31 de diciembre de 2016</t>
  </si>
  <si>
    <t>06 de diciembre de 2017</t>
  </si>
  <si>
    <t>DTF + 2,50% EA</t>
  </si>
  <si>
    <t>31 de diciembre de 2017</t>
  </si>
  <si>
    <t>Tarjeta Crédito</t>
  </si>
  <si>
    <t>Incremento</t>
  </si>
  <si>
    <t>06 de diciembre de 2018</t>
  </si>
  <si>
    <t>31 de diciembre de 2018</t>
  </si>
  <si>
    <t>06 de diciembre de 2019</t>
  </si>
  <si>
    <t>31 de diciembre de 2019</t>
  </si>
  <si>
    <t>Facturación compra bienes</t>
  </si>
  <si>
    <t>Préstamo de socios</t>
  </si>
  <si>
    <t>Préstamo de terceros</t>
  </si>
  <si>
    <t>Pago de impuestos</t>
  </si>
  <si>
    <t>Pago de seguridad social</t>
  </si>
  <si>
    <t>Anticipo recibido de clientes</t>
  </si>
  <si>
    <t>TRM</t>
  </si>
  <si>
    <t>Saldo COL Auxiliar / USD Auxiliar convertido</t>
  </si>
  <si>
    <t>Tiempo al Cierre Año</t>
  </si>
  <si>
    <t>CORRIENTE</t>
  </si>
  <si>
    <t>NO CORRIENTE</t>
  </si>
  <si>
    <t>DIRECCION DE IMPUESTOS Y ADUANAS</t>
  </si>
  <si>
    <t>DIRECCION DE IMPUESTOS Y ADUANAS NACIONA</t>
  </si>
  <si>
    <t>Validado con declaración de RteFte</t>
  </si>
  <si>
    <t>SECRETARIA DE HACIENDA DISTRITSL</t>
  </si>
  <si>
    <t>Validado con declaración de RteICA</t>
  </si>
  <si>
    <t>Validado con planila de MiPlanilla</t>
  </si>
  <si>
    <t>VARIAS</t>
  </si>
  <si>
    <t>Saldo COL GAAP</t>
  </si>
  <si>
    <t>SALDO USD</t>
  </si>
  <si>
    <r>
      <t xml:space="preserve">Reembolso de gastos bancarios por emisión Stand By </t>
    </r>
    <r>
      <rPr>
        <sz val="11"/>
        <color theme="1"/>
        <rFont val="Calibri (Cuerpo)_x0000_"/>
      </rPr>
      <t>(Corriente)</t>
    </r>
  </si>
  <si>
    <t>Préstamo Corp para pago intereses préstamo BBVA</t>
  </si>
  <si>
    <t>SACYR CONSTRUCCION COLOMBIA SAS</t>
  </si>
  <si>
    <t>Servicios prestados sin facturación</t>
  </si>
  <si>
    <t>SIN FACTURA</t>
  </si>
  <si>
    <t>Causación de pasivos "prestación de servicios" sin factura</t>
  </si>
  <si>
    <t>Salarios por pagar</t>
  </si>
  <si>
    <t>Cesantías consolidadas</t>
  </si>
  <si>
    <t>Intereses sobre cesantías</t>
  </si>
  <si>
    <t>Prima de servicios</t>
  </si>
  <si>
    <t>Vacaciones consolidadas</t>
  </si>
  <si>
    <t>Saldo COL Auxiliar</t>
  </si>
  <si>
    <t>Año de pago</t>
  </si>
  <si>
    <t>Capital social</t>
  </si>
  <si>
    <t>Prima de emisión</t>
  </si>
  <si>
    <t>Reservas</t>
  </si>
  <si>
    <t>Utilidades (Pérdidas)</t>
  </si>
  <si>
    <t>Total</t>
  </si>
  <si>
    <t>Anticipo para futura capitalización</t>
  </si>
  <si>
    <t>Clasificación</t>
  </si>
  <si>
    <t>Adopción por 1ra Vez Pymes</t>
  </si>
  <si>
    <t>Concepto</t>
  </si>
  <si>
    <t>Valor Ajuste</t>
  </si>
  <si>
    <t>Estatus</t>
  </si>
  <si>
    <t>No Realizado</t>
  </si>
  <si>
    <t>Ajustes - Conversión NIIF =&gt; Recálculo depreciación acumulada Propiedades, planta y equipo "Edificaciones"</t>
  </si>
  <si>
    <t>CÁLCULO DEL IMPUESTO DE RENTA DIFERIDO PASIVO</t>
  </si>
  <si>
    <t>COSTO FISCAL</t>
  </si>
  <si>
    <t>VALOR AVALÚO TÉCNICO</t>
  </si>
  <si>
    <t>DIFERENCIA</t>
  </si>
  <si>
    <t>TIPO</t>
  </si>
  <si>
    <t>Temporaria</t>
  </si>
  <si>
    <t>TARIFA</t>
  </si>
  <si>
    <t>IMPUESTO</t>
  </si>
  <si>
    <t>AJUSTE POR REGISTRAR</t>
  </si>
  <si>
    <t>Ajustes - Conversión NIIF =&gt; Impuesto diferido pasivo de Propiedades, planta y equipo "Terrenos"</t>
  </si>
  <si>
    <t>Corriente</t>
  </si>
  <si>
    <t>No Corriente</t>
  </si>
  <si>
    <t>31 DE DICIEMBRE DE 2019</t>
  </si>
  <si>
    <t>OBLIGACIONES FINANCIERAS</t>
  </si>
  <si>
    <t>CUENTAS COMERCIALES Y OTRAS CUENTAS POR PAGAR</t>
  </si>
  <si>
    <t>ESTADO DE SITUACIÓN FINANCIERA</t>
  </si>
  <si>
    <t>(Cifras en miles de pesos colombianos - COP)</t>
  </si>
  <si>
    <t>ACTIVOS</t>
  </si>
  <si>
    <t>ACTIVOS CORRIENTES</t>
  </si>
  <si>
    <t>TOTAL ACTIVOS CORRIENTES</t>
  </si>
  <si>
    <t>ACTIVOS NO CORRIENTES</t>
  </si>
  <si>
    <t>TOTAL ACTIVOS NO CORRIENTES</t>
  </si>
  <si>
    <t>TOTAL DE ACTIVOS</t>
  </si>
  <si>
    <t>PASIVOS</t>
  </si>
  <si>
    <t>PASIVOS CORRIENTES</t>
  </si>
  <si>
    <r>
      <t>Obligaciones financieras</t>
    </r>
    <r>
      <rPr>
        <sz val="8"/>
        <color theme="0"/>
        <rFont val="Arial"/>
        <family val="2"/>
      </rPr>
      <t xml:space="preserve"> corrientes</t>
    </r>
  </si>
  <si>
    <r>
      <t>Cuentas por pagar a partes relacionadas</t>
    </r>
    <r>
      <rPr>
        <sz val="8"/>
        <color theme="0"/>
        <rFont val="Arial"/>
        <family val="2"/>
      </rPr>
      <t xml:space="preserve"> corrientes</t>
    </r>
  </si>
  <si>
    <t>TOTAL PASIVOS CORRIENTES</t>
  </si>
  <si>
    <t>PASIVOS NO CORRIENTES</t>
  </si>
  <si>
    <r>
      <t>Obligaciones financieras</t>
    </r>
    <r>
      <rPr>
        <sz val="8"/>
        <color theme="0"/>
        <rFont val="Arial"/>
        <family val="2"/>
      </rPr>
      <t xml:space="preserve"> no corrientes</t>
    </r>
  </si>
  <si>
    <t>Pasivo por impuestos diferidos</t>
  </si>
  <si>
    <t>TOTAL PASIVOS NO CORRIENTES</t>
  </si>
  <si>
    <t>TOTAL DE PASIVOS</t>
  </si>
  <si>
    <t>PATRIMONIO</t>
  </si>
  <si>
    <t xml:space="preserve">Anticipo recibido por acciones a emitir </t>
  </si>
  <si>
    <t>Utilidades (Pérdidas) PCGA Anteriores</t>
  </si>
  <si>
    <t>Utilidad (Pérdida) en Conversión a NIIF</t>
  </si>
  <si>
    <t>PATRIMONIO TOTAL</t>
  </si>
  <si>
    <t>TOTAL DE PASIVOS Y PATRIMONIO</t>
  </si>
  <si>
    <t>Utilidad bruta</t>
  </si>
  <si>
    <t>Gastos de administración</t>
  </si>
  <si>
    <t>Otros ingresos</t>
  </si>
  <si>
    <t>Otros gastos</t>
  </si>
  <si>
    <t>Otros ingresos / (gastos)</t>
  </si>
  <si>
    <t>Utilidad o (pérdida) operacional</t>
  </si>
  <si>
    <t>Ingresos financieros</t>
  </si>
  <si>
    <t>Costos financieros</t>
  </si>
  <si>
    <t>Ingresos / (costos) financieros</t>
  </si>
  <si>
    <t>Utilidad o (pérdida) antes de impuesto sobre la renta</t>
  </si>
  <si>
    <t>ESTADO DE CAMBIOS EN EL PATRIMONIO</t>
  </si>
  <si>
    <t>Anticipo recibido por acciones a emitir</t>
  </si>
  <si>
    <t xml:space="preserve"> - Traslado a capital</t>
  </si>
  <si>
    <t xml:space="preserve"> - Capitalización</t>
  </si>
  <si>
    <t xml:space="preserve"> - Resultados del período</t>
  </si>
  <si>
    <t>ESTADO DE FLUJO DE EFECTIVO</t>
  </si>
  <si>
    <t>Ajustes por gasto por impuestos a las ganancias</t>
  </si>
  <si>
    <t>Ajustes por costos financieros</t>
  </si>
  <si>
    <t>Ajustes por provisiones</t>
  </si>
  <si>
    <t>Ajustes por pagos basados en acciones</t>
  </si>
  <si>
    <t>Ajustes por ganancias no distribuidas de asociadas</t>
  </si>
  <si>
    <t>Otros ajustes por partidas distintas al efectivo</t>
  </si>
  <si>
    <t>Dividendos pagados</t>
  </si>
  <si>
    <t>Dividendos recibidos</t>
  </si>
  <si>
    <t>Intereses pagados</t>
  </si>
  <si>
    <t>Intereses recibidos</t>
  </si>
  <si>
    <t>Impuestos a las ganancias reembolsados (pagados)</t>
  </si>
  <si>
    <t>Otras entradas (salidas) de efectivo</t>
  </si>
  <si>
    <t>Flujos de efectivo utilizados para obtener el control de subsidiarias u otros negocios</t>
  </si>
  <si>
    <t>Otros cobros por la venta de patrimonio o instrumentos de deuda de otras entidades</t>
  </si>
  <si>
    <t>Otros pagos para adquirir patrimonio o instrumentos de deuda de otras entidades</t>
  </si>
  <si>
    <t>Otros cobros por la venta de participaciones en negocios conjuntos</t>
  </si>
  <si>
    <t>Otros pagos para adquirir participaciones en negocios conjuntos</t>
  </si>
  <si>
    <t>Importes procedentes de la venta de propiedades, planta y equipo</t>
  </si>
  <si>
    <t>Compras de propiedades, planta y equipo</t>
  </si>
  <si>
    <t>Importes procedentes de ventas de activos intangibles</t>
  </si>
  <si>
    <t>Compras de activos intangibles</t>
  </si>
  <si>
    <t>Recursos por ventas de otros activos a largo plazo</t>
  </si>
  <si>
    <t>Compras de otros activos a largo plazo</t>
  </si>
  <si>
    <t>Pagos por adquirir o rescatar las acciones de la entidad</t>
  </si>
  <si>
    <t>Pagos por otras participaciones en el patrimonio</t>
  </si>
  <si>
    <t>Efectivo y equivalentes al efectivo al principio del periodo</t>
  </si>
  <si>
    <t>Efectivo y equivalentes al efectivo al final del periodo</t>
  </si>
  <si>
    <t>Efectivo y equivalentes al efectivo</t>
  </si>
  <si>
    <t>Cuentas comerciales por cobrar y otras cuentas por cobrar</t>
  </si>
  <si>
    <t>Pasivos por contratos</t>
  </si>
  <si>
    <t>AL 31 DE DICIEMBRE DE 2019</t>
  </si>
  <si>
    <t>Saldo al 31 de diciembre de 2019</t>
  </si>
  <si>
    <t>ESTADO DE RESULTADOS</t>
  </si>
  <si>
    <t>POR EL PERIODO TERMINADO EL 31 DE DICIEMBRE DE 2019</t>
  </si>
  <si>
    <t>Flujos de efectivo procedentes de (utilizados en) actividades de operación</t>
  </si>
  <si>
    <t>Pérdida neta del año</t>
  </si>
  <si>
    <t>Ajustes para conciliar la ganancia (pérdida)</t>
  </si>
  <si>
    <t>Ajustes por gastos de depreciación y amortización</t>
  </si>
  <si>
    <t>Ajustes por deterioro de valor (reversiones de pérdidas por deterioro de valor) reconocidas en el resultado del periodo</t>
  </si>
  <si>
    <t>Ajustes por pérdidas (ganancias) de moneda extranjera no realizadas</t>
  </si>
  <si>
    <t>Ajustes por pérdidas (ganancias) del valor razonable</t>
  </si>
  <si>
    <t>Ajustes por pérdidas (ganancias) por la disposición de activos no corrientes</t>
  </si>
  <si>
    <t>Otros ajustes para los que los efectos sobre el efectivo son flujos de efectivo de inversión o financiación</t>
  </si>
  <si>
    <t>Otros ajustes para conciliar la ganancia (pérdida)</t>
  </si>
  <si>
    <t>Total ajustes para conciliar la ganancia (pérdida)</t>
  </si>
  <si>
    <t>Flujos de efectivo netos procedentes (utilizados en) operaciones</t>
  </si>
  <si>
    <t>Flujos de efectivo netos procedentes de (utilizados en) actividades de operación</t>
  </si>
  <si>
    <t>Flujos de efectivo procedentes de (utilizados en) actividades de inversión</t>
  </si>
  <si>
    <t>Flujos de efectivo procedentes de la pérdida de control de subsidiarias u otros negocios</t>
  </si>
  <si>
    <t>Importes procedentes de subvenciones del gobierno</t>
  </si>
  <si>
    <t>Anticipos de efectivo y préstamos concedidos a terceros</t>
  </si>
  <si>
    <t>Cobros procedentes del reembolso de anticipos y préstamos concedidos a terceros</t>
  </si>
  <si>
    <t>Pagos en efectivo por contratos de futuros, contratos a término, contratos de opciones y contratos de permuta financiera</t>
  </si>
  <si>
    <t>Cobros en efectivo por contratos de futuros, contratos a término, contratos de opciones y contratos de permuta financiera</t>
  </si>
  <si>
    <t>Flujos de efectivo netos procedentes de (utilizados en) actividades de inversión</t>
  </si>
  <si>
    <t>Flujos de efectivo procedentes de (utilizados en) actividades de financiación</t>
  </si>
  <si>
    <t>Recursos por cambios en las participaciones en la propiedad en subsidiarias que no dan lugar a la pérdida de control</t>
  </si>
  <si>
    <t>Pagos por cambios en las participaciones en la propiedad en subsidiarias que no dan lugar a la pérdida de control</t>
  </si>
  <si>
    <t>Importes procedentes de la emisión de acciones</t>
  </si>
  <si>
    <t>Importes procedentes de la emisión de otros instrumentos de patrimonio</t>
  </si>
  <si>
    <t>Importes procedentes de préstamos</t>
  </si>
  <si>
    <t>Reembolsos de préstamos</t>
  </si>
  <si>
    <t>Pagos de pasivos por arrendamiento</t>
  </si>
  <si>
    <t>Flujos de efectivo netos procedentes de (utilizados en) actividades de financiación</t>
  </si>
  <si>
    <t>Incremento (disminución) neto de efectivo y equivalentes al efectivo, antes del efecto de los cambios en la tasa de cambio</t>
  </si>
  <si>
    <t>Efectos de la variación en la tasa de cambio sobre el efectivo y equivalentes al efectivo</t>
  </si>
  <si>
    <t>Incremento (disminución) neto de efectivo y equivalentes al efectivo</t>
  </si>
  <si>
    <t>Conciliación</t>
  </si>
  <si>
    <t>PASIVOS POR ARRENDAMIENTOS</t>
  </si>
  <si>
    <t>Ajustes en el capital de trabajo</t>
  </si>
  <si>
    <t>Disminución (incremento) de cuentas por cobrar de origen comercial</t>
  </si>
  <si>
    <t>Disminuciones (incrementos) en otras cuentas por cobrar derivadas de las actividades de operación</t>
  </si>
  <si>
    <t>Disminuciones (incrementos) en los activos y pasivos por impuestos corrientes</t>
  </si>
  <si>
    <t>Disminuciones (incrementos) en los inventarios</t>
  </si>
  <si>
    <t>Incremento (disminución) de cuentas por pagar de origen comercial</t>
  </si>
  <si>
    <t>Incrementos (disminuciones) en cuentas por pagar a partes relacionadas</t>
  </si>
  <si>
    <t>Incrementos (disminuciones) en los pasivos por contratos</t>
  </si>
  <si>
    <t>Pagos por pasivos por arrendamientos:</t>
  </si>
  <si>
    <t>Edificios y otras construcciones</t>
  </si>
  <si>
    <t>Maquinaria y equipo</t>
  </si>
  <si>
    <t>Equipos de oficina</t>
  </si>
  <si>
    <t>Computadores</t>
  </si>
  <si>
    <t>Flota y equipo de transporte</t>
  </si>
  <si>
    <t>Construcciones en proceso</t>
  </si>
  <si>
    <t>Vehículos en tránsito</t>
  </si>
  <si>
    <t>Totales</t>
  </si>
  <si>
    <t>(En miles de pesos)</t>
  </si>
  <si>
    <t>Costo de adquisición</t>
  </si>
  <si>
    <t>Adiciones</t>
  </si>
  <si>
    <t>-</t>
  </si>
  <si>
    <t>Retiros</t>
  </si>
  <si>
    <t>Transferencias</t>
  </si>
  <si>
    <t>Depreciación acumulada</t>
  </si>
  <si>
    <t>Al 31 de diciembre de 2019</t>
  </si>
  <si>
    <t>Clasificación Gastos</t>
  </si>
  <si>
    <t>Sueldos y salarios</t>
  </si>
  <si>
    <t>Planes de aportaciones definidos</t>
  </si>
  <si>
    <t>Prestaciones sociales</t>
  </si>
  <si>
    <t>Vacaciones</t>
  </si>
  <si>
    <t>Beneficios por terminación</t>
  </si>
  <si>
    <t>Otros beneficios a empleados corto plazo</t>
  </si>
  <si>
    <t>Bonificaciones</t>
  </si>
  <si>
    <t>Gastos de viaje</t>
  </si>
  <si>
    <t>Honorarios</t>
  </si>
  <si>
    <t>Seguros</t>
  </si>
  <si>
    <t>Depreciaciones</t>
  </si>
  <si>
    <t>Servicios</t>
  </si>
  <si>
    <t>Impuestos</t>
  </si>
  <si>
    <t>Arrendamientos</t>
  </si>
  <si>
    <t>Contribuciones y afiliaciones</t>
  </si>
  <si>
    <t>Gastos legales</t>
  </si>
  <si>
    <t>Mantenimiento</t>
  </si>
  <si>
    <t>Amortizaciones</t>
  </si>
  <si>
    <t>Otros gastos administrativos</t>
  </si>
  <si>
    <t>Total relacionados con beneficios a empleados</t>
  </si>
  <si>
    <t>Transporte y peajes</t>
  </si>
  <si>
    <t>Casino y restaurante</t>
  </si>
  <si>
    <t>Combustibles y lubricantes</t>
  </si>
  <si>
    <t>Intereses préstamo Corp U$D 120.000 (26.11.19 a 31.12.19)</t>
  </si>
  <si>
    <t>(Saldo en dólares americanos)</t>
  </si>
  <si>
    <t>Pasivos:</t>
  </si>
  <si>
    <t>Movimiento 2020</t>
  </si>
  <si>
    <t>Saldo 31 Dic 2020</t>
  </si>
  <si>
    <t>Ctas. de ahorro, AV VILLAS</t>
  </si>
  <si>
    <t>Ctas. de ahorro, AV VILLAS 2</t>
  </si>
  <si>
    <t>Ctas. de ahorro, AV VILLAS 3</t>
  </si>
  <si>
    <t>Ctas. de ahorro, AV VILLAS 4</t>
  </si>
  <si>
    <t>Deudores varios, fondo de inversión</t>
  </si>
  <si>
    <t>Deud. varios, otros</t>
  </si>
  <si>
    <t>COMPRA DE MATERIAS PRIMAS (juego de inventarios)</t>
  </si>
  <si>
    <t>Productos en proceso</t>
  </si>
  <si>
    <t>Productos en proceso. Dif de precio</t>
  </si>
  <si>
    <t>Productos terminados, manufacturados</t>
  </si>
  <si>
    <t>Valoriz. prop., planta y equipo, terrenos</t>
  </si>
  <si>
    <t>Maqu/equ.herramienta</t>
  </si>
  <si>
    <t>Depreciación acumulada, maquinaria y equipo</t>
  </si>
  <si>
    <t>Depreciación acumulada, herramientas</t>
  </si>
  <si>
    <t>Dr., otros</t>
  </si>
  <si>
    <t>Intangible en curso</t>
  </si>
  <si>
    <t>Depreciación y/o amortización acumulada, derechos</t>
  </si>
  <si>
    <t>Obl.fin., otras obligaciones, otras</t>
  </si>
  <si>
    <t>Deudas con accionist</t>
  </si>
  <si>
    <t>Embargos judiciales</t>
  </si>
  <si>
    <t>Fondos</t>
  </si>
  <si>
    <t>Pasiv.est,otr. gast/</t>
  </si>
  <si>
    <t>Diferidos, Imptos., diversos</t>
  </si>
  <si>
    <t>Res.ejerc,pérdidas a</t>
  </si>
  <si>
    <t>Superávit por valoriz.,de propiedad., planta y equ</t>
  </si>
  <si>
    <t>Gast.op.adm,pt,bonif</t>
  </si>
  <si>
    <t>Gast.op.adm,IVA desc</t>
  </si>
  <si>
    <t>Gastos,seg. incendio</t>
  </si>
  <si>
    <t>Gastos op. admin.,amort. intangibles,Derechos</t>
  </si>
  <si>
    <t>Patrocinio auspicio</t>
  </si>
  <si>
    <t>No op.Intereses arrendamientos</t>
  </si>
  <si>
    <t>'N.op.div.,donacione</t>
  </si>
  <si>
    <t>Pruebas y análisis de material</t>
  </si>
  <si>
    <t>Variación de productos terminados producción</t>
  </si>
  <si>
    <t>Variación de productos en proceso producción</t>
  </si>
  <si>
    <t>Variación de productos en proc. Consumo a producci</t>
  </si>
  <si>
    <t>Suma de Saldo 31 Dic 2020</t>
  </si>
  <si>
    <t>AL 31 DE DICIEMBRE DE 2020</t>
  </si>
  <si>
    <t>31 DE DICIEMBRE DE 2020</t>
  </si>
  <si>
    <t>POR EL PERIODO TERMINADO EL 31 DE DICIEMBRE DE 2020</t>
  </si>
  <si>
    <t>Saldo al 31 de diciembre de 2020</t>
  </si>
  <si>
    <t>Utilidad neta del año</t>
  </si>
  <si>
    <t>SALDO 31-DIC-2020</t>
  </si>
  <si>
    <t>BANCOLOMBIA</t>
  </si>
  <si>
    <t>CONSORCIO OBRAS JUAN AMARILLO</t>
  </si>
  <si>
    <r>
      <t xml:space="preserve">Demoras proceso documental - Cliente reconoce deuda y pago </t>
    </r>
    <r>
      <rPr>
        <sz val="11"/>
        <color rgb="FFFF0000"/>
        <rFont val="Calibri (Cuerpo)_x0000_"/>
      </rPr>
      <t>(No hay indicio de deterioro)</t>
    </r>
  </si>
  <si>
    <t>Facturas pagadas en enero de 2021</t>
  </si>
  <si>
    <t>Facturas pagadas en febrero de 2021</t>
  </si>
  <si>
    <t>SALDO ANTICIPO POLIZA RESPONSABILIDAD CIVIL</t>
  </si>
  <si>
    <t>SALDO ANTICIPO POLIZA EQUIPO Y MAQUINARIA</t>
  </si>
  <si>
    <t>SALDO ANTICIPO POLIZA TODO RIESGO DAÑO MATERIAL</t>
  </si>
  <si>
    <t>0L-RCG11-9795481</t>
  </si>
  <si>
    <t>0M-CPL12-2828771</t>
  </si>
  <si>
    <t>0Z-MPL11-4113471</t>
  </si>
  <si>
    <t>EVALUAR MATERIALIDAD - GPXANT</t>
  </si>
  <si>
    <t>CIERRE IVA BIM 5 2020 SALDO A FAVOR A SOLICITAR
CIERRE IVA BIM 6 2020</t>
  </si>
  <si>
    <t>AUTORETENCIÓN RENTA 2020</t>
  </si>
  <si>
    <t>RETENCIONES EN LA FUENTE 2020</t>
  </si>
  <si>
    <t>SALDO POR PAGAR RENTA 2020 (Vía Renta Presuntiva)</t>
  </si>
  <si>
    <t>SALDO POR PAGAR DE ICA 2020 (Bogotá y otros municipios)</t>
  </si>
  <si>
    <t>_DICIEMBRE_2020</t>
  </si>
  <si>
    <t>INVENTARIO PRODUCTOS</t>
  </si>
  <si>
    <t>TOTAL INVENTARIO PRODUCTOS</t>
  </si>
  <si>
    <t>50 UVT 2020</t>
  </si>
  <si>
    <t>06 de diciembre de 2020</t>
  </si>
  <si>
    <t>31 de diciembre de 2020</t>
  </si>
  <si>
    <t>4,50128% EA</t>
  </si>
  <si>
    <r>
      <t xml:space="preserve">PUENTES GRÚA EN CONTRUCCIÓN ($29.517.512,47) Y MANTENIMIENTO PALA CARGADORA </t>
    </r>
    <r>
      <rPr>
        <sz val="11"/>
        <rFont val="Calibri (Cuerpo)_x0000_"/>
      </rPr>
      <t>($67.089.088,85)</t>
    </r>
  </si>
  <si>
    <t>Revisar el cruce de cuentas - anticipo indicado en el auxiliar</t>
  </si>
  <si>
    <t>CONCESION SABANA DE OCIDENTE SAS</t>
  </si>
  <si>
    <t>CONSORCIO VIA AMERICAS</t>
  </si>
  <si>
    <t>TÉCNICAS REUNIDAS DE COLOMBIA S.A.S</t>
  </si>
  <si>
    <t>Causación de pasivos "pedidos abiertos compras" sin factura</t>
  </si>
  <si>
    <t>Al 31 de diciembre de 2020</t>
  </si>
  <si>
    <t>ANUAL 2019-12</t>
  </si>
  <si>
    <t>ANUAL 2020-12</t>
  </si>
  <si>
    <t>Reclasificación de vinculados económicos</t>
  </si>
  <si>
    <t>CONSORCIO HIDROAGUAS</t>
  </si>
  <si>
    <t>Posición pasiva</t>
  </si>
  <si>
    <t>(Equivalente en miles de pesos)</t>
  </si>
  <si>
    <t>3.	Pasivos en Moneda Extranjera</t>
  </si>
  <si>
    <t>4.	Efectivo y Equivalentes al Efectivo</t>
  </si>
  <si>
    <t>Efectivo en caja</t>
  </si>
  <si>
    <t>Efectivo - Saldos en bancos (a)</t>
  </si>
  <si>
    <t>Equivalente al efectivo – Fondo de inversión (b)</t>
  </si>
  <si>
    <t>Cuentas comerciales por cobrar (a)</t>
  </si>
  <si>
    <t xml:space="preserve">     Procedentes de impuestos (b)</t>
  </si>
  <si>
    <t xml:space="preserve">     Seguros pagados por anticipado</t>
  </si>
  <si>
    <t xml:space="preserve">     Otras cuentas por cobrar</t>
  </si>
  <si>
    <t>Retegarantías</t>
  </si>
  <si>
    <t>Deudores vigentes</t>
  </si>
  <si>
    <t>Hasta de 30 días de vencidos</t>
  </si>
  <si>
    <t>Entre 31 y 60 días de vencidos</t>
  </si>
  <si>
    <t>Entre 61 y 90 días de vencidos</t>
  </si>
  <si>
    <t>Entre 91 y 150 días de vencidos</t>
  </si>
  <si>
    <t>Entre 181 y 360 días de vencidos</t>
  </si>
  <si>
    <t>5.2.	Antigüedad de las Cuentas Comerciales por Cobrar</t>
  </si>
  <si>
    <t>5.1.	Composición de las Cuentas Comerciales y Otras Cuentas por Cobrar</t>
  </si>
  <si>
    <t>6.	Inventarios</t>
  </si>
  <si>
    <t>A costo</t>
  </si>
  <si>
    <t>Contratos de obra civil (a)</t>
  </si>
  <si>
    <t>Producto terminado</t>
  </si>
  <si>
    <t>Material auxiliar</t>
  </si>
  <si>
    <t>Materia prima</t>
  </si>
  <si>
    <t>Adiciones (a)</t>
  </si>
  <si>
    <t>7.	Propiedades, Planta y Equipo</t>
  </si>
  <si>
    <t>8.	Activos por Derecho de Uso y Pasivo por Arrendamiento</t>
  </si>
  <si>
    <t>Inmuebles</t>
  </si>
  <si>
    <t>Arrendados</t>
  </si>
  <si>
    <t>Costo</t>
  </si>
  <si>
    <t>Pagos por arrendamiento (c)</t>
  </si>
  <si>
    <t>Gasto por intereses (b)</t>
  </si>
  <si>
    <r>
      <t xml:space="preserve">Cuentas comerciales por pagar </t>
    </r>
    <r>
      <rPr>
        <i/>
        <sz val="10"/>
        <rFont val="Arial"/>
        <family val="2"/>
      </rPr>
      <t>(Nota 11)</t>
    </r>
  </si>
  <si>
    <r>
      <t xml:space="preserve">Cuentas por pagar a partes relacionadas </t>
    </r>
    <r>
      <rPr>
        <i/>
        <sz val="10"/>
        <rFont val="Arial"/>
        <family val="2"/>
      </rPr>
      <t>(Nota 12)</t>
    </r>
  </si>
  <si>
    <t>Gasto por depreciación sobre los activos disponibles para uso</t>
  </si>
  <si>
    <t>Gastos de intereses en pasivos por arrendamiento</t>
  </si>
  <si>
    <t>Gastos relacionados con arrendamientos de</t>
  </si>
  <si>
    <t>Programas de Computador</t>
  </si>
  <si>
    <t>Adiciones (b)</t>
  </si>
  <si>
    <t>Préstamos tomados Banco BBVA</t>
  </si>
  <si>
    <t>Intereses causados</t>
  </si>
  <si>
    <t>Tarjeta de crédito corporativa</t>
  </si>
  <si>
    <t>Total obligaciones financieras</t>
  </si>
  <si>
    <t>Menos – Porción corriente</t>
  </si>
  <si>
    <t>Porción no corriente</t>
  </si>
  <si>
    <t>10.	Obligaciones Financieras</t>
  </si>
  <si>
    <t>11.	Cuentas Comerciales por Pagar y Otras Cuentas por Pagar</t>
  </si>
  <si>
    <t>Otras cuentas por pagar</t>
  </si>
  <si>
    <t xml:space="preserve">     Beneficios a los empleados (b)</t>
  </si>
  <si>
    <t xml:space="preserve">     Seguridad social e impuestos (c)</t>
  </si>
  <si>
    <t xml:space="preserve">   Prefabricados Andinos Perú SAC</t>
  </si>
  <si>
    <t xml:space="preserve">   Prefabricados Andinos SA Chile</t>
  </si>
  <si>
    <t>Prefabricados Andinos Perú SAC</t>
  </si>
  <si>
    <t>Gastos bancarios (a)</t>
  </si>
  <si>
    <t xml:space="preserve">   Préstamo tomado</t>
  </si>
  <si>
    <t xml:space="preserve">   Intereses préstamo</t>
  </si>
  <si>
    <t>Prefabricados Andinos SA Chile</t>
  </si>
  <si>
    <t xml:space="preserve">   Compra de inventarios (b)</t>
  </si>
  <si>
    <t>Para obra civil</t>
  </si>
  <si>
    <t xml:space="preserve">   Técnicas Reunidas de Colombia SAS</t>
  </si>
  <si>
    <t>$                              -</t>
  </si>
  <si>
    <t xml:space="preserve">   Consorcio Obras Juan Amarillo</t>
  </si>
  <si>
    <t xml:space="preserve">   Consorcio Vía Américas</t>
  </si>
  <si>
    <t xml:space="preserve">   Consorcio Expansión Ptar Salitre</t>
  </si>
  <si>
    <t xml:space="preserve">   Consorcio Mar 1</t>
  </si>
  <si>
    <t xml:space="preserve">   SACYR Construcción Colombia SAS</t>
  </si>
  <si>
    <t xml:space="preserve">   Otros Clientes</t>
  </si>
  <si>
    <t>Obra civil</t>
  </si>
  <si>
    <t>Producto terminado - suministro</t>
  </si>
  <si>
    <t>Gastos de personal</t>
  </si>
  <si>
    <t>Consumo materias primas</t>
  </si>
  <si>
    <r>
      <t xml:space="preserve">Depreciaciones </t>
    </r>
    <r>
      <rPr>
        <i/>
        <sz val="8"/>
        <color rgb="FF000000"/>
        <rFont val="Arial"/>
        <family val="2"/>
      </rPr>
      <t xml:space="preserve">(Nota </t>
    </r>
    <r>
      <rPr>
        <i/>
        <sz val="8"/>
        <color theme="1"/>
        <rFont val="Arial"/>
        <family val="2"/>
      </rPr>
      <t>7</t>
    </r>
    <r>
      <rPr>
        <i/>
        <sz val="8"/>
        <color rgb="FF000000"/>
        <rFont val="Arial"/>
        <family val="2"/>
      </rPr>
      <t>)</t>
    </r>
  </si>
  <si>
    <t>Montaje</t>
  </si>
  <si>
    <t>Transporte</t>
  </si>
  <si>
    <t>Energía eléctrica</t>
  </si>
  <si>
    <t>Combustible</t>
  </si>
  <si>
    <r>
      <t xml:space="preserve">Amortizaciones </t>
    </r>
    <r>
      <rPr>
        <i/>
        <sz val="8"/>
        <color rgb="FF000000"/>
        <rFont val="Arial"/>
        <family val="2"/>
      </rPr>
      <t xml:space="preserve">(Nota </t>
    </r>
    <r>
      <rPr>
        <i/>
        <sz val="8"/>
        <color theme="1"/>
        <rFont val="Arial"/>
        <family val="2"/>
      </rPr>
      <t>9</t>
    </r>
    <r>
      <rPr>
        <i/>
        <sz val="8"/>
        <color rgb="FF000000"/>
        <rFont val="Arial"/>
        <family val="2"/>
      </rPr>
      <t>)</t>
    </r>
  </si>
  <si>
    <t xml:space="preserve">                         -   </t>
  </si>
  <si>
    <t xml:space="preserve">Otros gastos de fabricación </t>
  </si>
  <si>
    <t>Costos de mantenimiento</t>
  </si>
  <si>
    <t xml:space="preserve">     Subvenciones del gobierno (a)</t>
  </si>
  <si>
    <t xml:space="preserve">     Pago incapacidades</t>
  </si>
  <si>
    <t xml:space="preserve">     Indemnización por suministro de materiales</t>
  </si>
  <si>
    <t xml:space="preserve">     Ganancia por la disposición de activos fijos</t>
  </si>
  <si>
    <t xml:space="preserve">     Diversos</t>
  </si>
  <si>
    <t xml:space="preserve">     Reembolso gastos por emisión Stand-by</t>
  </si>
  <si>
    <t xml:space="preserve">     Multas y sanciones</t>
  </si>
  <si>
    <t xml:space="preserve">     Intereses financieros préstamo BBVA</t>
  </si>
  <si>
    <t xml:space="preserve">     Intereses por arrendamientos</t>
  </si>
  <si>
    <t xml:space="preserve">     Gastos bancarios</t>
  </si>
  <si>
    <t>Ingresos Financieros</t>
  </si>
  <si>
    <t xml:space="preserve">     Rendimientos fondo de inversión BBVA</t>
  </si>
  <si>
    <t>Activos (pasivos) por impuestos corrientes</t>
  </si>
  <si>
    <t xml:space="preserve">     Saldo a favor en impuesto de renta año anterior</t>
  </si>
  <si>
    <t xml:space="preserve">     Retenciones en la fuente</t>
  </si>
  <si>
    <t xml:space="preserve">     Anticipo auto-retención especial</t>
  </si>
  <si>
    <t xml:space="preserve">     Impuestos a las ganancias por pagar (b)</t>
  </si>
  <si>
    <t>Total activos (pasivos) por impuestos corrientes (a)</t>
  </si>
  <si>
    <t>Impuesto sobre la renta corriente:</t>
  </si>
  <si>
    <t xml:space="preserve">     Gasto por impuesto sobre la renta corriente</t>
  </si>
  <si>
    <t>Impuesto diferido pasivo:</t>
  </si>
  <si>
    <t xml:space="preserve">     Propiedades, planta y equipo - Terrenos</t>
  </si>
  <si>
    <t>12.     Cuentas por Pagar a Partes Relacionadas</t>
  </si>
  <si>
    <t>13.     Pasivos por Contratos</t>
  </si>
  <si>
    <t>15.     Ingresos de Actividades Ordinarias</t>
  </si>
  <si>
    <t>16.     Costos de Ventas de Bienes y Servicios</t>
  </si>
  <si>
    <t>17.     Gastos de Administración</t>
  </si>
  <si>
    <t>18.     Otros (Ingresos) Gastos Operativos, Neto</t>
  </si>
  <si>
    <t>19.     Financieros, Neto</t>
  </si>
  <si>
    <t>20.     Impuesto sobre la Renta</t>
  </si>
  <si>
    <t>9.     Activos Intangibles</t>
  </si>
  <si>
    <r>
      <t xml:space="preserve">Cuentas comerciales por pagar (a) </t>
    </r>
    <r>
      <rPr>
        <i/>
        <sz val="10"/>
        <rFont val="Arial"/>
        <family val="2"/>
      </rPr>
      <t>(Nota 3)</t>
    </r>
  </si>
  <si>
    <r>
      <t xml:space="preserve">Partes relacionadas </t>
    </r>
    <r>
      <rPr>
        <i/>
        <sz val="10"/>
        <rFont val="Arial"/>
        <family val="2"/>
      </rPr>
      <t>(Nota 3)</t>
    </r>
  </si>
  <si>
    <r>
      <t xml:space="preserve">Amortizaciones </t>
    </r>
    <r>
      <rPr>
        <i/>
        <sz val="10"/>
        <rFont val="Arial"/>
        <family val="2"/>
      </rPr>
      <t>(Nota 9)</t>
    </r>
  </si>
  <si>
    <r>
      <t xml:space="preserve">Depreciaciones </t>
    </r>
    <r>
      <rPr>
        <i/>
        <sz val="10"/>
        <rFont val="Arial"/>
        <family val="2"/>
      </rPr>
      <t>(Notas 7 y 8)</t>
    </r>
  </si>
  <si>
    <t>OK</t>
  </si>
  <si>
    <t>Costos de ventas</t>
  </si>
  <si>
    <t>Costos ventas</t>
  </si>
  <si>
    <t>G Admon</t>
  </si>
  <si>
    <t>Amortización</t>
  </si>
  <si>
    <t>Pagos efectivos</t>
  </si>
  <si>
    <t>corto plazo</t>
  </si>
  <si>
    <t>NOTAS 2020</t>
  </si>
  <si>
    <t>Total pagado por arrendamientos</t>
  </si>
  <si>
    <t>Gastos por intereses</t>
  </si>
  <si>
    <t>EJEMPLO CORP</t>
  </si>
  <si>
    <t>AR</t>
  </si>
  <si>
    <t>CC 1268</t>
  </si>
  <si>
    <t>CEPS</t>
  </si>
  <si>
    <t>CM1</t>
  </si>
  <si>
    <t>CORM</t>
  </si>
  <si>
    <t>CR40</t>
  </si>
  <si>
    <t>CS</t>
  </si>
  <si>
    <t>IMA</t>
  </si>
  <si>
    <t>JC</t>
  </si>
  <si>
    <t>LLCPC</t>
  </si>
  <si>
    <t>AGB</t>
  </si>
  <si>
    <t>CCS</t>
  </si>
  <si>
    <t>CCU</t>
  </si>
  <si>
    <t>CCA</t>
  </si>
  <si>
    <t>COJAM</t>
  </si>
  <si>
    <t>CRZ</t>
  </si>
  <si>
    <t>CCLPT</t>
  </si>
  <si>
    <t>IIC</t>
  </si>
  <si>
    <t>MCSS</t>
  </si>
  <si>
    <t>ACTA DE OBRA # 12 (20 DE OCT) / ACTA DE OBRA # 13 (20 DE NOV)</t>
  </si>
  <si>
    <t>SUMINISTRO DE PRE</t>
  </si>
  <si>
    <t>PANELES HORIZONTALES</t>
  </si>
  <si>
    <t>PAGO VIATICOS</t>
  </si>
  <si>
    <t>ANTICIPO TRABAJADORES</t>
  </si>
  <si>
    <t>PAGO DEPOSITO ARRIENDO APTO</t>
  </si>
  <si>
    <t>IVAS A FAVOR DE COMPRAS A ZONA FRANCA</t>
  </si>
  <si>
    <t>OTRAS CUENTAS POR COBRAR</t>
  </si>
  <si>
    <t>SEGUROS ABC</t>
  </si>
  <si>
    <t>EMPLEADO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</si>
  <si>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</si>
  <si>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</si>
  <si>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</si>
  <si>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</si>
  <si>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</si>
  <si>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</si>
  <si>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</si>
  <si>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</si>
  <si>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</si>
  <si>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</si>
  <si>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X1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</si>
  <si>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</si>
  <si>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</si>
  <si>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</si>
  <si>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</si>
  <si>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</si>
  <si>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</si>
  <si>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</si>
  <si>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</si>
  <si>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</si>
  <si>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</si>
  <si>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</si>
  <si>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</si>
  <si>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</si>
  <si>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</si>
  <si>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</si>
  <si>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R11</t>
  </si>
  <si>
    <t>R12</t>
  </si>
  <si>
    <t>R13</t>
  </si>
  <si>
    <t>R14</t>
  </si>
  <si>
    <t>OA16</t>
  </si>
  <si>
    <t>OA17</t>
  </si>
  <si>
    <t>OA18</t>
  </si>
  <si>
    <t>OA19</t>
  </si>
  <si>
    <t>OA20</t>
  </si>
  <si>
    <t>OA21</t>
  </si>
  <si>
    <t>OA22</t>
  </si>
  <si>
    <t>OA23</t>
  </si>
  <si>
    <t>IPT1</t>
  </si>
  <si>
    <t>IPT2</t>
  </si>
  <si>
    <t>IPT3</t>
  </si>
  <si>
    <t>IPT4</t>
  </si>
  <si>
    <t>IPT5</t>
  </si>
  <si>
    <t>IPT6</t>
  </si>
  <si>
    <t>IPT7</t>
  </si>
  <si>
    <t>IPT8</t>
  </si>
  <si>
    <t>IPT9</t>
  </si>
  <si>
    <t>IPT10</t>
  </si>
  <si>
    <t>IPT11</t>
  </si>
  <si>
    <t>IPT12</t>
  </si>
  <si>
    <t>IPT13</t>
  </si>
  <si>
    <t>IPT14</t>
  </si>
  <si>
    <t>IPT15</t>
  </si>
  <si>
    <t>TERRENO</t>
  </si>
  <si>
    <t>EDIFICACIONES</t>
  </si>
  <si>
    <t>MAQUINARIA</t>
  </si>
  <si>
    <t>MUEBLES Y ENSERES</t>
  </si>
  <si>
    <t>COMPUTO</t>
  </si>
  <si>
    <t>DODGE JOURNEY</t>
  </si>
  <si>
    <t>CAMIONETA LUV D MAX</t>
  </si>
  <si>
    <t>GRUA DE ELEVACION</t>
  </si>
  <si>
    <t>MONTACARGAS</t>
  </si>
  <si>
    <t>CILINDRO T</t>
  </si>
  <si>
    <t>PALA CARGADORA</t>
  </si>
  <si>
    <t>Contrato 001 – ARRENDADOR WTY</t>
  </si>
  <si>
    <t>LICENCIA</t>
  </si>
  <si>
    <t>CASA MATRIZ</t>
  </si>
  <si>
    <t>PROVEEDOR EXTERIOR</t>
  </si>
  <si>
    <t>PROVEEDOR NACIONAL</t>
  </si>
  <si>
    <t>SALDO IMPORTACIÓN TEMPORAL</t>
  </si>
  <si>
    <t>VICULADO ECONÓMICO</t>
  </si>
  <si>
    <t>Venta de inventario</t>
  </si>
  <si>
    <t>CSO</t>
  </si>
  <si>
    <t>CHIDRO</t>
  </si>
  <si>
    <t>CVA</t>
  </si>
  <si>
    <t>SCC</t>
  </si>
  <si>
    <t>TRC</t>
  </si>
  <si>
    <t>ACTA</t>
  </si>
  <si>
    <t>TERCERO</t>
  </si>
  <si>
    <t>Q</t>
  </si>
  <si>
    <t>VALOR UN</t>
  </si>
  <si>
    <t>Ajustes - Conversión NIIF =&gt; Exención Sección 35 - Revaluación de Propiedades, planta y equipo "Terrenos"</t>
  </si>
  <si>
    <t>Ajustes - Conversión NIIF =&gt; Aplicación Sección 20 - Efecto neto Activos por derecho de uso y Pasivo por arrendamientos</t>
  </si>
  <si>
    <t>Reclasificación patrimonial - Sección 35 - Superávit revaluación terrenos, neto de impuestos "Terrenos"</t>
  </si>
  <si>
    <t>BALANCES DE PRUEBA - 31 de Diciembre 2019, 2020 y 2021</t>
  </si>
  <si>
    <t>Movimiento 2021</t>
  </si>
  <si>
    <t>Saldo 31 Dic 2021</t>
  </si>
  <si>
    <t>Suma de Saldo 31 Dic 2021</t>
  </si>
  <si>
    <t>31 DE DICIEMBRE DE 2021</t>
  </si>
  <si>
    <t>1 DE ENERO DE 2019</t>
  </si>
  <si>
    <t>SALDO 31-DIC-2021</t>
  </si>
  <si>
    <t>_DICIEMBRE_2021</t>
  </si>
  <si>
    <t>REGISTROS CONTABLES (AÑO 2020)</t>
  </si>
  <si>
    <t>29/02/2021</t>
  </si>
  <si>
    <t>29/02/2017</t>
  </si>
  <si>
    <t>SALDO 1-ENE-2019</t>
  </si>
  <si>
    <t>COMPOSICIÓN AJUSTE ADOPCIÓN POR PRIMERA VEZ NIIF PARA PYMES "01-ENE-2019"</t>
  </si>
  <si>
    <t>Al 31 de diciembre de 2021</t>
  </si>
  <si>
    <t>NOTAS 2021</t>
  </si>
  <si>
    <t>Saldo al 31 de diciembre de 2021</t>
  </si>
  <si>
    <t>ANUAL 2021-12</t>
  </si>
  <si>
    <t>21 de diciembre de 2017</t>
  </si>
  <si>
    <t>06 de diciembre de 2021</t>
  </si>
  <si>
    <t>31 de diciembre de 2021</t>
  </si>
  <si>
    <t>REGISTROS CONTABLES (31 DIC 2020)</t>
  </si>
  <si>
    <t>Venta de Activo Fijo bajo NIIF Jun-19</t>
  </si>
  <si>
    <t>Totalmente Depreciado bajo NIIF 2017</t>
  </si>
  <si>
    <r>
      <t xml:space="preserve">Totalmente Depreciado bajo NIIF 2021 - </t>
    </r>
    <r>
      <rPr>
        <sz val="11"/>
        <color rgb="FFFF0000"/>
        <rFont val="Calibri (Cuerpo)_x0000_"/>
      </rPr>
      <t>SE SIGUEN UTILIZANDO</t>
    </r>
  </si>
  <si>
    <t>Totalmente Depreciado bajo NIIF 2020</t>
  </si>
  <si>
    <r>
      <t xml:space="preserve">Totalmente Depreciado bajo NIIF 2019 - </t>
    </r>
    <r>
      <rPr>
        <sz val="11"/>
        <color rgb="FFFF0000"/>
        <rFont val="Calibri (Cuerpo)_x0000_"/>
      </rPr>
      <t>SE SIGUEN UTILIZANDO</t>
    </r>
  </si>
  <si>
    <t>ANTICIPOS LEGALIZADOS EN ENE-22</t>
  </si>
  <si>
    <t>AL 31 DE DICIEMBRE DE 2021</t>
  </si>
  <si>
    <t>POR EL PERIODO TERMINADO EL 31 DE DICIEMBRE DE 2021</t>
  </si>
  <si>
    <t>Obligaciones financieras corrientes</t>
  </si>
  <si>
    <t>Cuentas por pagar a partes relacionadas corrientes</t>
  </si>
  <si>
    <t>Obligaciones financieras no corrientes</t>
  </si>
  <si>
    <t>Variación</t>
  </si>
  <si>
    <t>Saldo inicial</t>
  </si>
  <si>
    <t>Saldo final</t>
  </si>
  <si>
    <t>Compras</t>
  </si>
  <si>
    <t>Costo NIIF Pymes</t>
  </si>
  <si>
    <t>NIIF Pymes</t>
  </si>
  <si>
    <t>Saldo NIIF Pymes</t>
  </si>
  <si>
    <t>NIIF Pymes 01-01-2019</t>
  </si>
  <si>
    <t xml:space="preserve"> Saldo NIIF Pymes</t>
  </si>
  <si>
    <t>Intereses $</t>
  </si>
  <si>
    <t>Intereses No$</t>
  </si>
  <si>
    <t>Resultado</t>
  </si>
  <si>
    <t>Venta de propiedades, planta y equipo</t>
  </si>
  <si>
    <t>Valor venta</t>
  </si>
  <si>
    <t>Utilidad</t>
  </si>
  <si>
    <t>Sección 35 Párrafo 10</t>
  </si>
  <si>
    <t>DB - ESF - Terreno</t>
  </si>
  <si>
    <t>CR - ESF - Patrimonio *</t>
  </si>
  <si>
    <t>"Modelo del costo"</t>
  </si>
  <si>
    <t>* Ganancias acumuladas - Ax1V</t>
  </si>
  <si>
    <t>La entidad vende el terreno</t>
  </si>
  <si>
    <t>Valor:</t>
  </si>
  <si>
    <t>DB - ESF - Efectivo</t>
  </si>
  <si>
    <t>CR - ESF - Terreno</t>
  </si>
  <si>
    <t>CR - ER - Utilidad en venta</t>
  </si>
  <si>
    <t>Valor razonable - Costo atribuido</t>
  </si>
  <si>
    <t>DB - ESF - Patrimonio *</t>
  </si>
  <si>
    <t>* Ganancias acumuladas</t>
  </si>
  <si>
    <t>=&gt; Distribución a los socios</t>
  </si>
  <si>
    <t>Sección 35</t>
  </si>
  <si>
    <t>Sección 17</t>
  </si>
  <si>
    <t>Modelo de revaluación</t>
  </si>
  <si>
    <t>Cambio de política contable</t>
  </si>
  <si>
    <t>Sección 10 - 10A</t>
  </si>
  <si>
    <t>=&gt; Aplicación prospectiva</t>
  </si>
  <si>
    <t>* Superávit de revaluación</t>
  </si>
  <si>
    <t>Estado de situación financiera</t>
  </si>
  <si>
    <t>Activo - No Corriente</t>
  </si>
  <si>
    <t>Patrimonio</t>
  </si>
  <si>
    <t>Otro resultado integral</t>
  </si>
  <si>
    <t>Estado de resultados</t>
  </si>
  <si>
    <t>Ingresos</t>
  </si>
  <si>
    <t>Gastos</t>
  </si>
  <si>
    <t>Utilidad antes de impuestos</t>
  </si>
  <si>
    <t>Gastos por impuestos</t>
  </si>
  <si>
    <t>Utilidad del ejercicio</t>
  </si>
  <si>
    <t>Estado de resultados integral</t>
  </si>
  <si>
    <t>=&gt; Superávit de revaluación</t>
  </si>
  <si>
    <t>Utilidad integral del ejercicio</t>
  </si>
  <si>
    <t>=&gt; Se distribuyen dividendos</t>
  </si>
  <si>
    <t>Compra de un inventario</t>
  </si>
  <si>
    <t>Valor del inventario - USD</t>
  </si>
  <si>
    <t>DB - ESF - Inventario</t>
  </si>
  <si>
    <t>CR - ESF - Cuentas por pagar</t>
  </si>
  <si>
    <t>No se ha vendido el inventario</t>
  </si>
  <si>
    <t>No se ha pagado al proveedor</t>
  </si>
  <si>
    <t>Transacción en moneda extranjera</t>
  </si>
  <si>
    <t>Partida no monetaria</t>
  </si>
  <si>
    <t>Partida monetaria</t>
  </si>
  <si>
    <t>(Diferencia en cambio)</t>
  </si>
  <si>
    <t>(Histórica)</t>
  </si>
  <si>
    <t>DB - ER - Gasto por diferencia en cambio</t>
  </si>
  <si>
    <t>Activos - Corrientes</t>
  </si>
  <si>
    <t>Pasivos - Corrientes</t>
  </si>
  <si>
    <t>Cuentas por pagar</t>
  </si>
  <si>
    <t>Impuesto diferido</t>
  </si>
  <si>
    <t>Diferencias temporarias</t>
  </si>
  <si>
    <t>NIIF</t>
  </si>
  <si>
    <t>Base fiscal</t>
  </si>
  <si>
    <t>Pasivo por</t>
  </si>
  <si>
    <t>Impuesto Diferido</t>
  </si>
  <si>
    <t>CR - ESF - Pasivo impuesto diferido</t>
  </si>
  <si>
    <t>Saldo Ganancias acumuladas - Ax1V</t>
  </si>
  <si>
    <t>DB - ESF - Pasivo impuesto diferido</t>
  </si>
  <si>
    <t>CR - ER - Gasto (ingreso) por impuestos</t>
  </si>
  <si>
    <t>Gasto (ingreso) por impuestos</t>
  </si>
  <si>
    <t>Gasto por impuesto corriente</t>
  </si>
  <si>
    <t>DB</t>
  </si>
  <si>
    <t>Efecto del imp difer activo</t>
  </si>
  <si>
    <t>CR</t>
  </si>
  <si>
    <t>Efecto del imp difer pasivo</t>
  </si>
  <si>
    <t>Declaración de renta</t>
  </si>
  <si>
    <t>Utilidad gravada</t>
  </si>
  <si>
    <t>DB - ER - Gasto (ingreso) por impuestos</t>
  </si>
  <si>
    <t>CR - ESF - Pasivos impuesto corriente</t>
  </si>
  <si>
    <t>Saldo al momento de la venta del activo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</si>
</sst>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&quot;$&quot;#,##0;[Red]\-&quot;$&quot;#,##0"/>
    <numFmt numFmtId="165" formatCode="#,##0;[Red]\(#,##0\)"/>
    <numFmt numFmtId="166" formatCode="#,##0.00;[Red]\(#,##0.00\)"/>
    <numFmt numFmtId="167" formatCode="d/mm/yyyy;@"/>
    <numFmt numFmtId="168" formatCode="_(* #,##0.00_);_(* \(#,##0.00\);_(* &quot;-&quot;??_);_(@_)"/>
    <numFmt numFmtId="169" formatCode="0.0%"/>
    <numFmt numFmtId="170" formatCode="_ * #,##0.00_ ;_ * \-#,##0.00_ ;_ * &quot;-&quot;??_ ;_ @_ "/>
    <numFmt numFmtId="171" formatCode="0.000%"/>
    <numFmt numFmtId="172" formatCode="dd/mm/yyyy;@"/>
    <numFmt numFmtId="173" formatCode="#,##0.00000;[Red]\(#,##0.00000\)"/>
    <numFmt numFmtId="174" formatCode="dd\-mm\-yy;@"/>
  </numFmts>
  <fonts count="4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 (Cuerpo)_x0000_"/>
    </font>
    <font>
      <b/>
      <u/>
      <sz val="11"/>
      <color indexed="9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1"/>
      <name val="Calibri"/>
      <family val="2"/>
    </font>
    <font>
      <sz val="10"/>
      <color indexed="8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Calibri (Cuerpo)_x0000_"/>
    </font>
    <font>
      <sz val="10"/>
      <name val="MS Sans Serif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i/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Calibri (Cuerpo)_x0000_"/>
    </font>
    <font>
      <i/>
      <sz val="8"/>
      <color rgb="FF000000"/>
      <name val="Arial"/>
      <family val="2"/>
    </font>
    <font>
      <i/>
      <sz val="8"/>
      <color theme="1"/>
      <name val="Arial"/>
      <family val="2"/>
    </font>
    <font>
      <sz val="9"/>
      <color rgb="FF000000"/>
      <name val="Arial"/>
      <family val="2"/>
    </font>
    <font>
      <i/>
      <sz val="10"/>
      <name val="Arial"/>
      <family val="2"/>
    </font>
    <font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thin">
        <color theme="0"/>
      </right>
      <top style="dotted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 style="dotted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dotted">
        <color theme="0"/>
      </left>
      <right style="dotted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theme="0"/>
      </right>
      <top style="thin">
        <color rgb="FFFFFFFF"/>
      </top>
      <bottom/>
      <diagonal/>
    </border>
    <border>
      <left style="thin">
        <color rgb="FFFFFFFF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/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6" fillId="0" borderId="0"/>
    <xf numFmtId="170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7" fillId="0" borderId="0"/>
  </cellStyleXfs>
  <cellXfs count="524">
    <xf numFmtId="0" fontId="0" fillId="0" borderId="0" xfId="0"/>
    <xf numFmtId="165" fontId="0" fillId="0" borderId="0" xfId="0" applyNumberFormat="1"/>
    <xf numFmtId="0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65" fontId="0" fillId="3" borderId="1" xfId="0" applyNumberFormat="1" applyFill="1" applyBorder="1"/>
    <xf numFmtId="0" fontId="3" fillId="4" borderId="1" xfId="0" applyNumberFormat="1" applyFont="1" applyFill="1" applyBorder="1"/>
    <xf numFmtId="165" fontId="3" fillId="4" borderId="1" xfId="0" applyNumberFormat="1" applyFont="1" applyFill="1" applyBorder="1"/>
    <xf numFmtId="0" fontId="0" fillId="0" borderId="1" xfId="0" applyBorder="1"/>
    <xf numFmtId="165" fontId="2" fillId="0" borderId="0" xfId="0" applyNumberFormat="1" applyFont="1"/>
    <xf numFmtId="165" fontId="0" fillId="0" borderId="0" xfId="0" pivotButton="1" applyNumberFormat="1"/>
    <xf numFmtId="165" fontId="0" fillId="0" borderId="0" xfId="0" applyNumberFormat="1" applyAlignment="1">
      <alignment horizontal="left"/>
    </xf>
    <xf numFmtId="165" fontId="0" fillId="0" borderId="0" xfId="0" applyNumberFormat="1" applyAlignment="1">
      <alignment horizontal="left" indent="1"/>
    </xf>
    <xf numFmtId="165" fontId="1" fillId="5" borderId="3" xfId="0" applyNumberFormat="1" applyFont="1" applyFill="1" applyBorder="1"/>
    <xf numFmtId="165" fontId="1" fillId="5" borderId="2" xfId="0" applyNumberFormat="1" applyFont="1" applyFill="1" applyBorder="1" applyAlignment="1">
      <alignment horizontal="center"/>
    </xf>
    <xf numFmtId="165" fontId="0" fillId="0" borderId="0" xfId="0" applyNumberFormat="1" applyFill="1"/>
    <xf numFmtId="166" fontId="0" fillId="0" borderId="0" xfId="0" applyNumberFormat="1" applyFill="1"/>
    <xf numFmtId="165" fontId="2" fillId="7" borderId="1" xfId="0" applyNumberFormat="1" applyFont="1" applyFill="1" applyBorder="1" applyAlignment="1">
      <alignment horizontal="center"/>
    </xf>
    <xf numFmtId="165" fontId="0" fillId="7" borderId="1" xfId="0" applyNumberFormat="1" applyFill="1" applyBorder="1"/>
    <xf numFmtId="0" fontId="4" fillId="6" borderId="0" xfId="1" applyNumberFormat="1" applyFont="1" applyFill="1" applyAlignment="1">
      <alignment horizontal="center"/>
    </xf>
    <xf numFmtId="165" fontId="4" fillId="6" borderId="0" xfId="1" applyNumberFormat="1" applyFont="1" applyFill="1"/>
    <xf numFmtId="165" fontId="2" fillId="6" borderId="0" xfId="1" applyNumberFormat="1" applyFont="1" applyFill="1" applyAlignment="1">
      <alignment horizontal="center"/>
    </xf>
    <xf numFmtId="49" fontId="4" fillId="6" borderId="0" xfId="1" applyNumberFormat="1" applyFont="1" applyFill="1"/>
    <xf numFmtId="165" fontId="4" fillId="6" borderId="0" xfId="1" applyNumberFormat="1" applyFont="1" applyFill="1" applyAlignment="1"/>
    <xf numFmtId="165" fontId="3" fillId="6" borderId="0" xfId="1" applyNumberFormat="1" applyFont="1" applyFill="1"/>
    <xf numFmtId="0" fontId="2" fillId="6" borderId="0" xfId="1" applyNumberFormat="1" applyFont="1" applyFill="1" applyAlignment="1">
      <alignment horizontal="center"/>
    </xf>
    <xf numFmtId="165" fontId="2" fillId="6" borderId="0" xfId="1" applyNumberFormat="1" applyFont="1" applyFill="1"/>
    <xf numFmtId="165" fontId="5" fillId="6" borderId="0" xfId="1" applyNumberFormat="1" applyFont="1" applyFill="1"/>
    <xf numFmtId="0" fontId="6" fillId="8" borderId="6" xfId="1" applyFont="1" applyFill="1" applyBorder="1" applyAlignment="1">
      <alignment horizontal="center" vertical="center" wrapText="1"/>
    </xf>
    <xf numFmtId="167" fontId="6" fillId="8" borderId="0" xfId="1" applyNumberFormat="1" applyFont="1" applyFill="1" applyAlignment="1">
      <alignment horizontal="center"/>
    </xf>
    <xf numFmtId="0" fontId="7" fillId="6" borderId="6" xfId="1" applyFont="1" applyFill="1" applyBorder="1" applyAlignment="1">
      <alignment horizontal="center" vertical="center" wrapText="1"/>
    </xf>
    <xf numFmtId="165" fontId="4" fillId="6" borderId="0" xfId="1" applyNumberFormat="1" applyFill="1"/>
    <xf numFmtId="49" fontId="4" fillId="6" borderId="0" xfId="1" applyNumberFormat="1" applyFill="1"/>
    <xf numFmtId="0" fontId="4" fillId="6" borderId="14" xfId="1" applyFont="1" applyFill="1" applyBorder="1" applyAlignment="1" applyProtection="1">
      <alignment vertical="center" wrapText="1"/>
      <protection locked="0"/>
    </xf>
    <xf numFmtId="167" fontId="4" fillId="6" borderId="0" xfId="1" applyNumberFormat="1" applyFont="1" applyFill="1" applyAlignment="1">
      <alignment horizontal="center"/>
    </xf>
    <xf numFmtId="165" fontId="4" fillId="6" borderId="14" xfId="1" applyNumberFormat="1" applyFont="1" applyFill="1" applyBorder="1" applyAlignment="1" applyProtection="1">
      <alignment vertical="center" wrapText="1"/>
      <protection locked="0"/>
    </xf>
    <xf numFmtId="165" fontId="4" fillId="6" borderId="0" xfId="1" applyNumberFormat="1" applyFill="1" applyAlignment="1">
      <alignment wrapText="1"/>
    </xf>
    <xf numFmtId="165" fontId="2" fillId="6" borderId="14" xfId="1" applyNumberFormat="1" applyFont="1" applyFill="1" applyBorder="1" applyAlignment="1" applyProtection="1">
      <alignment vertical="center" wrapText="1"/>
      <protection locked="0"/>
    </xf>
    <xf numFmtId="0" fontId="4" fillId="3" borderId="0" xfId="1" applyNumberFormat="1" applyFont="1" applyFill="1" applyAlignment="1">
      <alignment horizontal="center"/>
    </xf>
    <xf numFmtId="165" fontId="4" fillId="3" borderId="0" xfId="1" applyNumberFormat="1" applyFill="1"/>
    <xf numFmtId="165" fontId="4" fillId="3" borderId="0" xfId="1" applyNumberFormat="1" applyFont="1" applyFill="1"/>
    <xf numFmtId="49" fontId="4" fillId="3" borderId="0" xfId="1" applyNumberFormat="1" applyFont="1" applyFill="1"/>
    <xf numFmtId="165" fontId="4" fillId="3" borderId="0" xfId="1" applyNumberFormat="1" applyFont="1" applyFill="1" applyAlignment="1"/>
    <xf numFmtId="0" fontId="4" fillId="6" borderId="0" xfId="1" applyFont="1" applyFill="1" applyBorder="1" applyAlignment="1" applyProtection="1">
      <alignment vertical="center" wrapText="1"/>
      <protection locked="0"/>
    </xf>
    <xf numFmtId="165" fontId="4" fillId="6" borderId="0" xfId="1" applyNumberFormat="1" applyFont="1" applyFill="1" applyBorder="1" applyAlignment="1" applyProtection="1">
      <alignment vertical="center" wrapText="1"/>
      <protection locked="0"/>
    </xf>
    <xf numFmtId="165" fontId="4" fillId="6" borderId="0" xfId="1" applyNumberFormat="1" applyFont="1" applyFill="1" applyAlignment="1">
      <alignment horizontal="center"/>
    </xf>
    <xf numFmtId="0" fontId="4" fillId="6" borderId="0" xfId="1" applyNumberFormat="1" applyFont="1" applyFill="1"/>
    <xf numFmtId="0" fontId="6" fillId="8" borderId="6" xfId="1" applyFont="1" applyFill="1" applyBorder="1" applyAlignment="1">
      <alignment horizontal="center" vertical="center"/>
    </xf>
    <xf numFmtId="0" fontId="6" fillId="8" borderId="6" xfId="1" applyNumberFormat="1" applyFont="1" applyFill="1" applyBorder="1" applyAlignment="1">
      <alignment horizontal="center" vertical="center"/>
    </xf>
    <xf numFmtId="0" fontId="4" fillId="6" borderId="14" xfId="1" applyFont="1" applyFill="1" applyBorder="1" applyAlignment="1" applyProtection="1">
      <alignment horizontal="center" vertical="center" wrapText="1"/>
      <protection locked="0"/>
    </xf>
    <xf numFmtId="165" fontId="4" fillId="6" borderId="0" xfId="1" applyNumberFormat="1" applyFill="1" applyAlignment="1">
      <alignment horizontal="center"/>
    </xf>
    <xf numFmtId="165" fontId="4" fillId="3" borderId="0" xfId="1" applyNumberFormat="1" applyFont="1" applyFill="1" applyAlignment="1">
      <alignment horizontal="center"/>
    </xf>
    <xf numFmtId="0" fontId="4" fillId="3" borderId="0" xfId="1" applyNumberFormat="1" applyFont="1" applyFill="1"/>
    <xf numFmtId="165" fontId="4" fillId="6" borderId="0" xfId="1" pivotButton="1" applyNumberFormat="1" applyFont="1" applyFill="1"/>
    <xf numFmtId="0" fontId="4" fillId="6" borderId="0" xfId="1" applyNumberFormat="1" applyFill="1"/>
    <xf numFmtId="9" fontId="0" fillId="6" borderId="0" xfId="3" applyFont="1" applyFill="1"/>
    <xf numFmtId="165" fontId="4" fillId="6" borderId="14" xfId="1" applyNumberFormat="1" applyFill="1" applyBorder="1" applyAlignment="1" applyProtection="1">
      <alignment vertical="center" wrapText="1"/>
      <protection locked="0"/>
    </xf>
    <xf numFmtId="165" fontId="4" fillId="6" borderId="14" xfId="0" applyNumberFormat="1" applyFont="1" applyFill="1" applyBorder="1" applyAlignment="1" applyProtection="1">
      <alignment vertical="center" wrapText="1"/>
      <protection locked="0"/>
    </xf>
    <xf numFmtId="0" fontId="4" fillId="6" borderId="14" xfId="0" applyFont="1" applyFill="1" applyBorder="1" applyAlignment="1" applyProtection="1">
      <alignment vertical="center" wrapText="1"/>
      <protection locked="0"/>
    </xf>
    <xf numFmtId="165" fontId="4" fillId="6" borderId="0" xfId="1" applyNumberFormat="1" applyFill="1" applyAlignment="1">
      <alignment vertical="center" wrapText="1"/>
    </xf>
    <xf numFmtId="165" fontId="13" fillId="6" borderId="0" xfId="1" applyNumberFormat="1" applyFont="1" applyFill="1"/>
    <xf numFmtId="165" fontId="4" fillId="6" borderId="0" xfId="1" quotePrefix="1" applyNumberFormat="1" applyFont="1" applyFill="1"/>
    <xf numFmtId="0" fontId="4" fillId="6" borderId="14" xfId="0" applyFont="1" applyFill="1" applyBorder="1" applyAlignment="1" applyProtection="1">
      <alignment horizontal="center" vertical="center" wrapText="1"/>
      <protection locked="0"/>
    </xf>
    <xf numFmtId="0" fontId="4" fillId="6" borderId="0" xfId="0" applyNumberFormat="1" applyFont="1" applyFill="1" applyAlignment="1">
      <alignment horizontal="center"/>
    </xf>
    <xf numFmtId="165" fontId="4" fillId="6" borderId="0" xfId="0" applyNumberFormat="1" applyFont="1" applyFill="1"/>
    <xf numFmtId="165" fontId="4" fillId="3" borderId="0" xfId="0" applyNumberFormat="1" applyFont="1" applyFill="1"/>
    <xf numFmtId="165" fontId="4" fillId="6" borderId="0" xfId="0" applyNumberFormat="1" applyFont="1" applyFill="1" applyAlignment="1">
      <alignment wrapText="1"/>
    </xf>
    <xf numFmtId="165" fontId="14" fillId="12" borderId="0" xfId="0" applyNumberFormat="1" applyFont="1" applyFill="1" applyAlignment="1">
      <alignment wrapText="1"/>
    </xf>
    <xf numFmtId="165" fontId="12" fillId="6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6" borderId="0" xfId="1" applyNumberFormat="1" applyFont="1" applyFill="1" applyAlignment="1">
      <alignment horizontal="center" vertical="center"/>
    </xf>
    <xf numFmtId="165" fontId="4" fillId="6" borderId="0" xfId="1" applyNumberFormat="1" applyFont="1" applyFill="1" applyAlignment="1">
      <alignment vertical="center"/>
    </xf>
    <xf numFmtId="165" fontId="4" fillId="6" borderId="0" xfId="1" applyNumberFormat="1" applyFill="1" applyAlignment="1">
      <alignment vertical="center"/>
    </xf>
    <xf numFmtId="0" fontId="4" fillId="6" borderId="0" xfId="1" applyNumberFormat="1" applyFont="1" applyFill="1" applyAlignment="1">
      <alignment horizontal="center" vertical="center" wrapText="1"/>
    </xf>
    <xf numFmtId="167" fontId="4" fillId="6" borderId="0" xfId="1" applyNumberFormat="1" applyFont="1" applyFill="1" applyAlignment="1">
      <alignment horizontal="center" vertical="center"/>
    </xf>
    <xf numFmtId="167" fontId="4" fillId="6" borderId="0" xfId="1" applyNumberFormat="1" applyFill="1" applyAlignment="1">
      <alignment horizontal="center" vertical="center"/>
    </xf>
    <xf numFmtId="0" fontId="16" fillId="0" borderId="0" xfId="6" applyFont="1"/>
    <xf numFmtId="0" fontId="18" fillId="0" borderId="32" xfId="0" applyFont="1" applyBorder="1" applyAlignment="1">
      <alignment horizontal="center"/>
    </xf>
    <xf numFmtId="41" fontId="16" fillId="0" borderId="1" xfId="5" applyFont="1" applyBorder="1"/>
    <xf numFmtId="0" fontId="16" fillId="0" borderId="1" xfId="0" applyFont="1" applyBorder="1"/>
    <xf numFmtId="41" fontId="16" fillId="0" borderId="0" xfId="5" applyFont="1"/>
    <xf numFmtId="0" fontId="18" fillId="0" borderId="0" xfId="6" applyFont="1" applyAlignment="1">
      <alignment horizontal="center"/>
    </xf>
    <xf numFmtId="0" fontId="20" fillId="0" borderId="0" xfId="0" applyFont="1"/>
    <xf numFmtId="41" fontId="20" fillId="0" borderId="0" xfId="5" applyFont="1"/>
    <xf numFmtId="0" fontId="19" fillId="0" borderId="1" xfId="0" applyFont="1" applyBorder="1" applyAlignment="1">
      <alignment horizontal="center"/>
    </xf>
    <xf numFmtId="41" fontId="19" fillId="0" borderId="1" xfId="5" applyFont="1" applyBorder="1" applyAlignment="1">
      <alignment horizontal="center"/>
    </xf>
    <xf numFmtId="168" fontId="20" fillId="0" borderId="0" xfId="0" applyNumberFormat="1" applyFont="1"/>
    <xf numFmtId="0" fontId="20" fillId="0" borderId="1" xfId="0" applyFont="1" applyBorder="1"/>
    <xf numFmtId="41" fontId="20" fillId="0" borderId="1" xfId="5" applyFont="1" applyBorder="1"/>
    <xf numFmtId="4" fontId="16" fillId="0" borderId="0" xfId="0" applyNumberFormat="1" applyFont="1"/>
    <xf numFmtId="0" fontId="18" fillId="0" borderId="0" xfId="0" applyFont="1" applyAlignment="1">
      <alignment horizontal="left"/>
    </xf>
    <xf numFmtId="41" fontId="18" fillId="0" borderId="33" xfId="5" applyFont="1" applyBorder="1" applyAlignment="1"/>
    <xf numFmtId="165" fontId="20" fillId="0" borderId="0" xfId="7" applyNumberFormat="1" applyFont="1"/>
    <xf numFmtId="165" fontId="18" fillId="0" borderId="32" xfId="0" applyNumberFormat="1" applyFont="1" applyBorder="1" applyAlignment="1">
      <alignment horizontal="center"/>
    </xf>
    <xf numFmtId="165" fontId="18" fillId="0" borderId="32" xfId="5" applyNumberFormat="1" applyFont="1" applyBorder="1" applyAlignment="1">
      <alignment horizontal="center"/>
    </xf>
    <xf numFmtId="165" fontId="19" fillId="0" borderId="1" xfId="4" applyNumberFormat="1" applyFont="1" applyBorder="1" applyAlignment="1">
      <alignment horizontal="center"/>
    </xf>
    <xf numFmtId="165" fontId="19" fillId="0" borderId="1" xfId="5" applyNumberFormat="1" applyFont="1" applyBorder="1" applyAlignment="1">
      <alignment horizontal="center"/>
    </xf>
    <xf numFmtId="165" fontId="20" fillId="0" borderId="1" xfId="4" applyNumberFormat="1" applyFont="1" applyBorder="1"/>
    <xf numFmtId="165" fontId="20" fillId="0" borderId="1" xfId="5" applyNumberFormat="1" applyFont="1" applyBorder="1"/>
    <xf numFmtId="165" fontId="20" fillId="0" borderId="0" xfId="4" applyNumberFormat="1" applyFont="1"/>
    <xf numFmtId="165" fontId="20" fillId="0" borderId="0" xfId="5" applyNumberFormat="1" applyFont="1"/>
    <xf numFmtId="165" fontId="18" fillId="0" borderId="33" xfId="5" applyNumberFormat="1" applyFont="1" applyBorder="1"/>
    <xf numFmtId="165" fontId="18" fillId="0" borderId="0" xfId="0" applyNumberFormat="1" applyFont="1" applyAlignment="1">
      <alignment horizontal="left"/>
    </xf>
    <xf numFmtId="165" fontId="18" fillId="0" borderId="0" xfId="5" applyNumberFormat="1" applyFont="1" applyBorder="1"/>
    <xf numFmtId="165" fontId="16" fillId="0" borderId="1" xfId="5" applyNumberFormat="1" applyFont="1" applyBorder="1"/>
    <xf numFmtId="165" fontId="16" fillId="0" borderId="0" xfId="0" applyNumberFormat="1" applyFont="1"/>
    <xf numFmtId="165" fontId="16" fillId="0" borderId="0" xfId="6" applyNumberFormat="1" applyFont="1"/>
    <xf numFmtId="165" fontId="16" fillId="0" borderId="1" xfId="5" applyNumberFormat="1" applyFont="1" applyFill="1" applyBorder="1"/>
    <xf numFmtId="0" fontId="6" fillId="8" borderId="34" xfId="1" applyFont="1" applyFill="1" applyBorder="1" applyAlignment="1">
      <alignment horizontal="center" vertical="center"/>
    </xf>
    <xf numFmtId="165" fontId="6" fillId="8" borderId="34" xfId="1" applyNumberFormat="1" applyFont="1" applyFill="1" applyBorder="1" applyAlignment="1">
      <alignment horizontal="center" vertical="center"/>
    </xf>
    <xf numFmtId="167" fontId="6" fillId="8" borderId="34" xfId="1" applyNumberFormat="1" applyFont="1" applyFill="1" applyBorder="1" applyAlignment="1">
      <alignment horizontal="center" vertical="center"/>
    </xf>
    <xf numFmtId="165" fontId="4" fillId="6" borderId="14" xfId="1" applyNumberFormat="1" applyFont="1" applyFill="1" applyBorder="1" applyAlignment="1" applyProtection="1">
      <alignment vertical="center"/>
      <protection locked="0"/>
    </xf>
    <xf numFmtId="0" fontId="4" fillId="15" borderId="0" xfId="1" applyNumberFormat="1" applyFont="1" applyFill="1" applyAlignment="1">
      <alignment horizontal="center"/>
    </xf>
    <xf numFmtId="165" fontId="4" fillId="15" borderId="0" xfId="1" applyNumberFormat="1" applyFont="1" applyFill="1"/>
    <xf numFmtId="165" fontId="4" fillId="6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6" borderId="35" xfId="1" applyFont="1" applyFill="1" applyBorder="1" applyAlignment="1" applyProtection="1">
      <alignment vertical="center" wrapText="1"/>
      <protection locked="0"/>
    </xf>
    <xf numFmtId="0" fontId="4" fillId="6" borderId="35" xfId="1" applyFont="1" applyFill="1" applyBorder="1" applyAlignment="1" applyProtection="1">
      <alignment horizontal="center" vertical="center" wrapText="1"/>
      <protection locked="0"/>
    </xf>
    <xf numFmtId="165" fontId="4" fillId="6" borderId="35" xfId="1" applyNumberFormat="1" applyFont="1" applyFill="1" applyBorder="1" applyAlignment="1" applyProtection="1">
      <alignment vertical="center"/>
      <protection locked="0"/>
    </xf>
    <xf numFmtId="165" fontId="4" fillId="6" borderId="35" xfId="1" applyNumberFormat="1" applyFont="1" applyFill="1" applyBorder="1" applyAlignment="1" applyProtection="1">
      <alignment vertical="center" wrapText="1"/>
      <protection locked="0"/>
    </xf>
    <xf numFmtId="165" fontId="4" fillId="6" borderId="35" xfId="1" applyNumberFormat="1" applyFont="1" applyFill="1" applyBorder="1" applyAlignment="1" applyProtection="1">
      <alignment horizontal="center" vertical="center" wrapText="1"/>
      <protection locked="0"/>
    </xf>
    <xf numFmtId="0" fontId="4" fillId="6" borderId="36" xfId="1" applyFont="1" applyFill="1" applyBorder="1" applyAlignment="1" applyProtection="1">
      <alignment vertical="center" wrapText="1"/>
      <protection locked="0"/>
    </xf>
    <xf numFmtId="0" fontId="4" fillId="6" borderId="36" xfId="1" applyFont="1" applyFill="1" applyBorder="1" applyAlignment="1" applyProtection="1">
      <alignment horizontal="center" vertical="center" wrapText="1"/>
      <protection locked="0"/>
    </xf>
    <xf numFmtId="165" fontId="4" fillId="6" borderId="37" xfId="1" applyNumberFormat="1" applyFont="1" applyFill="1" applyBorder="1" applyAlignment="1" applyProtection="1">
      <alignment horizontal="center" vertical="center" wrapText="1"/>
      <protection locked="0"/>
    </xf>
    <xf numFmtId="165" fontId="4" fillId="6" borderId="37" xfId="1" applyNumberFormat="1" applyFont="1" applyFill="1" applyBorder="1" applyAlignment="1" applyProtection="1">
      <alignment vertical="center" wrapText="1"/>
      <protection locked="0"/>
    </xf>
    <xf numFmtId="165" fontId="4" fillId="6" borderId="38" xfId="1" applyNumberFormat="1" applyFont="1" applyFill="1" applyBorder="1" applyAlignment="1" applyProtection="1">
      <alignment vertical="center" wrapText="1"/>
      <protection locked="0"/>
    </xf>
    <xf numFmtId="0" fontId="4" fillId="6" borderId="39" xfId="1" applyFont="1" applyFill="1" applyBorder="1" applyAlignment="1" applyProtection="1">
      <alignment vertical="center" wrapText="1"/>
      <protection locked="0"/>
    </xf>
    <xf numFmtId="0" fontId="4" fillId="6" borderId="39" xfId="1" applyFont="1" applyFill="1" applyBorder="1" applyAlignment="1" applyProtection="1">
      <alignment horizontal="center" vertical="center" wrapText="1"/>
      <protection locked="0"/>
    </xf>
    <xf numFmtId="165" fontId="4" fillId="6" borderId="39" xfId="1" applyNumberFormat="1" applyFont="1" applyFill="1" applyBorder="1" applyAlignment="1" applyProtection="1">
      <alignment vertical="center"/>
      <protection locked="0"/>
    </xf>
    <xf numFmtId="165" fontId="4" fillId="6" borderId="39" xfId="1" applyNumberFormat="1" applyFont="1" applyFill="1" applyBorder="1" applyAlignment="1" applyProtection="1">
      <alignment vertical="center" wrapText="1"/>
      <protection locked="0"/>
    </xf>
    <xf numFmtId="165" fontId="4" fillId="6" borderId="39" xfId="1" applyNumberFormat="1" applyFont="1" applyFill="1" applyBorder="1" applyAlignment="1" applyProtection="1">
      <alignment horizontal="center" vertical="center" wrapText="1"/>
      <protection locked="0"/>
    </xf>
    <xf numFmtId="165" fontId="4" fillId="6" borderId="40" xfId="1" applyNumberFormat="1" applyFont="1" applyFill="1" applyBorder="1" applyAlignment="1" applyProtection="1">
      <alignment vertical="center" wrapText="1"/>
      <protection locked="0"/>
    </xf>
    <xf numFmtId="165" fontId="4" fillId="11" borderId="14" xfId="1" applyNumberFormat="1" applyFont="1" applyFill="1" applyBorder="1" applyAlignment="1" applyProtection="1">
      <alignment vertical="center" wrapText="1"/>
      <protection locked="0"/>
    </xf>
    <xf numFmtId="0" fontId="4" fillId="6" borderId="0" xfId="1" applyFill="1" applyBorder="1" applyAlignment="1" applyProtection="1">
      <alignment horizontal="center" vertical="center" wrapText="1"/>
      <protection locked="0"/>
    </xf>
    <xf numFmtId="0" fontId="2" fillId="6" borderId="0" xfId="1" applyNumberFormat="1" applyFont="1" applyFill="1" applyAlignment="1"/>
    <xf numFmtId="165" fontId="4" fillId="6" borderId="0" xfId="1" applyNumberFormat="1" applyFont="1" applyFill="1" applyBorder="1"/>
    <xf numFmtId="165" fontId="4" fillId="6" borderId="36" xfId="1" applyNumberFormat="1" applyFont="1" applyFill="1" applyBorder="1" applyAlignment="1" applyProtection="1">
      <alignment horizontal="center" vertical="center" wrapText="1"/>
      <protection locked="0"/>
    </xf>
    <xf numFmtId="165" fontId="4" fillId="3" borderId="1" xfId="1" applyNumberFormat="1" applyFont="1" applyFill="1" applyBorder="1"/>
    <xf numFmtId="165" fontId="4" fillId="6" borderId="14" xfId="0" applyNumberFormat="1" applyFont="1" applyFill="1" applyBorder="1" applyAlignment="1" applyProtection="1">
      <alignment vertical="center"/>
      <protection locked="0"/>
    </xf>
    <xf numFmtId="165" fontId="4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37" xfId="1" applyFont="1" applyFill="1" applyBorder="1" applyAlignment="1" applyProtection="1">
      <alignment vertical="center" wrapText="1"/>
      <protection locked="0"/>
    </xf>
    <xf numFmtId="165" fontId="4" fillId="6" borderId="37" xfId="1" applyNumberFormat="1" applyFont="1" applyFill="1" applyBorder="1" applyAlignment="1" applyProtection="1">
      <alignment vertical="center"/>
      <protection locked="0"/>
    </xf>
    <xf numFmtId="165" fontId="1" fillId="0" borderId="0" xfId="0" quotePrefix="1" applyNumberFormat="1" applyFont="1" applyFill="1" applyAlignment="1">
      <alignment horizontal="center"/>
    </xf>
    <xf numFmtId="0" fontId="4" fillId="6" borderId="0" xfId="1" applyNumberFormat="1" applyFill="1" applyAlignment="1">
      <alignment vertical="center"/>
    </xf>
    <xf numFmtId="165" fontId="4" fillId="3" borderId="0" xfId="1" applyNumberFormat="1" applyFont="1" applyFill="1" applyAlignment="1">
      <alignment vertical="center"/>
    </xf>
    <xf numFmtId="0" fontId="4" fillId="15" borderId="0" xfId="1" applyNumberFormat="1" applyFont="1" applyFill="1" applyAlignment="1">
      <alignment horizontal="center" vertical="center"/>
    </xf>
    <xf numFmtId="165" fontId="4" fillId="15" borderId="0" xfId="1" applyNumberFormat="1" applyFont="1" applyFill="1" applyAlignment="1">
      <alignment vertical="center"/>
    </xf>
    <xf numFmtId="165" fontId="4" fillId="6" borderId="0" xfId="1" applyNumberFormat="1" applyFont="1" applyFill="1" applyAlignment="1">
      <alignment horizontal="center" vertical="center"/>
    </xf>
    <xf numFmtId="165" fontId="4" fillId="6" borderId="0" xfId="1" applyNumberFormat="1" applyFont="1" applyFill="1" applyAlignment="1">
      <alignment vertical="center" wrapText="1"/>
    </xf>
    <xf numFmtId="0" fontId="4" fillId="6" borderId="20" xfId="1" applyNumberFormat="1" applyFont="1" applyFill="1" applyBorder="1" applyAlignment="1">
      <alignment horizontal="center" vertical="center"/>
    </xf>
    <xf numFmtId="165" fontId="4" fillId="6" borderId="33" xfId="1" applyNumberFormat="1" applyFont="1" applyFill="1" applyBorder="1" applyAlignment="1">
      <alignment vertical="center"/>
    </xf>
    <xf numFmtId="0" fontId="4" fillId="6" borderId="33" xfId="1" applyNumberFormat="1" applyFill="1" applyBorder="1" applyAlignment="1">
      <alignment vertical="center"/>
    </xf>
    <xf numFmtId="167" fontId="4" fillId="6" borderId="33" xfId="1" applyNumberFormat="1" applyFill="1" applyBorder="1" applyAlignment="1">
      <alignment horizontal="center" vertical="center"/>
    </xf>
    <xf numFmtId="165" fontId="4" fillId="3" borderId="33" xfId="1" applyNumberFormat="1" applyFont="1" applyFill="1" applyBorder="1" applyAlignment="1">
      <alignment vertical="center"/>
    </xf>
    <xf numFmtId="0" fontId="4" fillId="6" borderId="33" xfId="1" applyNumberFormat="1" applyFont="1" applyFill="1" applyBorder="1" applyAlignment="1">
      <alignment horizontal="center" vertical="center"/>
    </xf>
    <xf numFmtId="165" fontId="4" fillId="6" borderId="33" xfId="1" applyNumberFormat="1" applyFont="1" applyFill="1" applyBorder="1" applyAlignment="1">
      <alignment horizontal="center" vertical="center"/>
    </xf>
    <xf numFmtId="0" fontId="4" fillId="6" borderId="26" xfId="1" applyNumberFormat="1" applyFont="1" applyFill="1" applyBorder="1" applyAlignment="1">
      <alignment horizontal="center" vertical="center"/>
    </xf>
    <xf numFmtId="165" fontId="4" fillId="6" borderId="32" xfId="1" applyNumberFormat="1" applyFont="1" applyFill="1" applyBorder="1" applyAlignment="1">
      <alignment vertical="center"/>
    </xf>
    <xf numFmtId="0" fontId="4" fillId="6" borderId="32" xfId="1" applyNumberFormat="1" applyFill="1" applyBorder="1" applyAlignment="1">
      <alignment vertical="center"/>
    </xf>
    <xf numFmtId="167" fontId="4" fillId="6" borderId="32" xfId="1" applyNumberFormat="1" applyFill="1" applyBorder="1" applyAlignment="1">
      <alignment horizontal="center" vertical="center"/>
    </xf>
    <xf numFmtId="165" fontId="4" fillId="3" borderId="32" xfId="1" applyNumberFormat="1" applyFont="1" applyFill="1" applyBorder="1" applyAlignment="1">
      <alignment vertical="center"/>
    </xf>
    <xf numFmtId="0" fontId="4" fillId="6" borderId="32" xfId="1" applyNumberFormat="1" applyFont="1" applyFill="1" applyBorder="1" applyAlignment="1">
      <alignment horizontal="center" vertical="center"/>
    </xf>
    <xf numFmtId="165" fontId="4" fillId="6" borderId="32" xfId="1" applyNumberFormat="1" applyFont="1" applyFill="1" applyBorder="1" applyAlignment="1">
      <alignment horizontal="center" vertical="center"/>
    </xf>
    <xf numFmtId="165" fontId="4" fillId="6" borderId="18" xfId="1" applyNumberFormat="1" applyFill="1" applyBorder="1" applyAlignment="1">
      <alignment vertical="center"/>
    </xf>
    <xf numFmtId="165" fontId="4" fillId="6" borderId="25" xfId="1" applyNumberFormat="1" applyFill="1" applyBorder="1" applyAlignment="1">
      <alignment vertical="center"/>
    </xf>
    <xf numFmtId="167" fontId="4" fillId="3" borderId="0" xfId="1" applyNumberFormat="1" applyFill="1" applyAlignment="1">
      <alignment horizontal="center" vertical="center"/>
    </xf>
    <xf numFmtId="165" fontId="4" fillId="6" borderId="1" xfId="1" applyNumberFormat="1" applyFill="1" applyBorder="1" applyAlignment="1">
      <alignment vertical="center"/>
    </xf>
    <xf numFmtId="167" fontId="4" fillId="16" borderId="0" xfId="1" applyNumberFormat="1" applyFill="1" applyAlignment="1">
      <alignment horizontal="center" vertical="center"/>
    </xf>
    <xf numFmtId="167" fontId="4" fillId="17" borderId="0" xfId="1" applyNumberFormat="1" applyFill="1" applyAlignment="1">
      <alignment horizontal="center" vertical="center"/>
    </xf>
    <xf numFmtId="0" fontId="4" fillId="6" borderId="0" xfId="1" applyNumberFormat="1" applyFill="1" applyAlignment="1">
      <alignment horizontal="left" vertical="center"/>
    </xf>
    <xf numFmtId="165" fontId="4" fillId="6" borderId="22" xfId="1" applyNumberFormat="1" applyFill="1" applyBorder="1" applyAlignment="1">
      <alignment vertical="center"/>
    </xf>
    <xf numFmtId="166" fontId="0" fillId="6" borderId="1" xfId="0" applyNumberFormat="1" applyFill="1" applyBorder="1"/>
    <xf numFmtId="0" fontId="6" fillId="8" borderId="34" xfId="0" applyFont="1" applyFill="1" applyBorder="1" applyAlignment="1">
      <alignment horizontal="center" vertical="center"/>
    </xf>
    <xf numFmtId="165" fontId="6" fillId="8" borderId="34" xfId="0" applyNumberFormat="1" applyFont="1" applyFill="1" applyBorder="1" applyAlignment="1">
      <alignment horizontal="center" vertical="center"/>
    </xf>
    <xf numFmtId="165" fontId="4" fillId="6" borderId="19" xfId="0" applyNumberFormat="1" applyFont="1" applyFill="1" applyBorder="1" applyAlignment="1" applyProtection="1">
      <alignment vertical="center" wrapText="1"/>
      <protection locked="0"/>
    </xf>
    <xf numFmtId="165" fontId="4" fillId="19" borderId="0" xfId="0" applyNumberFormat="1" applyFont="1" applyFill="1"/>
    <xf numFmtId="0" fontId="4" fillId="6" borderId="0" xfId="0" applyNumberFormat="1" applyFont="1" applyFill="1"/>
    <xf numFmtId="167" fontId="4" fillId="18" borderId="0" xfId="0" applyNumberFormat="1" applyFont="1" applyFill="1" applyBorder="1" applyAlignment="1">
      <alignment horizontal="center"/>
    </xf>
    <xf numFmtId="165" fontId="4" fillId="19" borderId="0" xfId="0" applyNumberFormat="1" applyFont="1" applyFill="1" applyBorder="1" applyAlignment="1">
      <alignment horizontal="center"/>
    </xf>
    <xf numFmtId="165" fontId="4" fillId="6" borderId="0" xfId="0" applyNumberFormat="1" applyFont="1" applyFill="1" applyAlignment="1">
      <alignment horizontal="center"/>
    </xf>
    <xf numFmtId="165" fontId="3" fillId="20" borderId="0" xfId="0" applyNumberFormat="1" applyFont="1" applyFill="1" applyAlignment="1">
      <alignment horizontal="center"/>
    </xf>
    <xf numFmtId="0" fontId="4" fillId="6" borderId="35" xfId="0" applyFont="1" applyFill="1" applyBorder="1" applyAlignment="1" applyProtection="1">
      <alignment horizontal="center" vertical="center" wrapText="1"/>
      <protection locked="0"/>
    </xf>
    <xf numFmtId="165" fontId="4" fillId="6" borderId="43" xfId="0" applyNumberFormat="1" applyFont="1" applyFill="1" applyBorder="1" applyAlignment="1" applyProtection="1">
      <alignment vertical="center"/>
      <protection locked="0"/>
    </xf>
    <xf numFmtId="0" fontId="4" fillId="6" borderId="44" xfId="0" applyFont="1" applyFill="1" applyBorder="1" applyAlignment="1" applyProtection="1">
      <alignment horizontal="center" vertical="center" wrapText="1"/>
      <protection locked="0"/>
    </xf>
    <xf numFmtId="0" fontId="4" fillId="6" borderId="35" xfId="0" applyFont="1" applyFill="1" applyBorder="1" applyAlignment="1" applyProtection="1">
      <alignment vertical="center" wrapText="1"/>
      <protection locked="0"/>
    </xf>
    <xf numFmtId="165" fontId="4" fillId="6" borderId="35" xfId="0" applyNumberFormat="1" applyFont="1" applyFill="1" applyBorder="1" applyAlignment="1" applyProtection="1">
      <alignment vertical="center"/>
      <protection locked="0"/>
    </xf>
    <xf numFmtId="165" fontId="4" fillId="6" borderId="45" xfId="0" applyNumberFormat="1" applyFont="1" applyFill="1" applyBorder="1" applyAlignment="1" applyProtection="1">
      <alignment vertical="center" wrapText="1"/>
      <protection locked="0"/>
    </xf>
    <xf numFmtId="0" fontId="4" fillId="6" borderId="36" xfId="0" applyFont="1" applyFill="1" applyBorder="1" applyAlignment="1" applyProtection="1">
      <alignment vertical="center" wrapText="1"/>
      <protection locked="0"/>
    </xf>
    <xf numFmtId="165" fontId="4" fillId="6" borderId="36" xfId="0" applyNumberFormat="1" applyFont="1" applyFill="1" applyBorder="1" applyAlignment="1" applyProtection="1">
      <alignment vertical="center"/>
      <protection locked="0"/>
    </xf>
    <xf numFmtId="165" fontId="4" fillId="6" borderId="42" xfId="0" applyNumberFormat="1" applyFont="1" applyFill="1" applyBorder="1" applyAlignment="1" applyProtection="1">
      <alignment vertical="center" wrapText="1"/>
      <protection locked="0"/>
    </xf>
    <xf numFmtId="165" fontId="4" fillId="6" borderId="46" xfId="0" applyNumberFormat="1" applyFont="1" applyFill="1" applyBorder="1" applyAlignment="1" applyProtection="1">
      <alignment vertical="center" wrapText="1"/>
      <protection locked="0"/>
    </xf>
    <xf numFmtId="0" fontId="4" fillId="6" borderId="39" xfId="0" applyFont="1" applyFill="1" applyBorder="1" applyAlignment="1" applyProtection="1">
      <alignment vertical="center" wrapText="1"/>
      <protection locked="0"/>
    </xf>
    <xf numFmtId="165" fontId="4" fillId="6" borderId="39" xfId="0" applyNumberFormat="1" applyFont="1" applyFill="1" applyBorder="1" applyAlignment="1" applyProtection="1">
      <alignment vertical="center"/>
      <protection locked="0"/>
    </xf>
    <xf numFmtId="165" fontId="4" fillId="6" borderId="40" xfId="0" applyNumberFormat="1" applyFont="1" applyFill="1" applyBorder="1" applyAlignment="1" applyProtection="1">
      <alignment vertical="center" wrapText="1"/>
      <protection locked="0"/>
    </xf>
    <xf numFmtId="0" fontId="4" fillId="6" borderId="44" xfId="0" applyFont="1" applyFill="1" applyBorder="1" applyAlignment="1" applyProtection="1">
      <alignment vertical="center" wrapText="1"/>
      <protection locked="0"/>
    </xf>
    <xf numFmtId="165" fontId="4" fillId="6" borderId="44" xfId="0" applyNumberFormat="1" applyFont="1" applyFill="1" applyBorder="1" applyAlignment="1" applyProtection="1">
      <alignment vertical="center"/>
      <protection locked="0"/>
    </xf>
    <xf numFmtId="165" fontId="4" fillId="6" borderId="47" xfId="0" applyNumberFormat="1" applyFont="1" applyFill="1" applyBorder="1" applyAlignment="1" applyProtection="1">
      <alignment vertical="center" wrapText="1"/>
      <protection locked="0"/>
    </xf>
    <xf numFmtId="167" fontId="4" fillId="18" borderId="0" xfId="0" applyNumberFormat="1" applyFont="1" applyFill="1" applyAlignment="1">
      <alignment horizontal="center"/>
    </xf>
    <xf numFmtId="165" fontId="4" fillId="3" borderId="0" xfId="0" applyNumberFormat="1" applyFont="1" applyFill="1" applyAlignment="1">
      <alignment horizontal="center"/>
    </xf>
    <xf numFmtId="165" fontId="4" fillId="3" borderId="18" xfId="0" applyNumberFormat="1" applyFont="1" applyFill="1" applyBorder="1"/>
    <xf numFmtId="165" fontId="4" fillId="3" borderId="25" xfId="0" applyNumberFormat="1" applyFont="1" applyFill="1" applyBorder="1"/>
    <xf numFmtId="165" fontId="4" fillId="6" borderId="33" xfId="0" applyNumberFormat="1" applyFont="1" applyFill="1" applyBorder="1"/>
    <xf numFmtId="0" fontId="4" fillId="6" borderId="33" xfId="0" applyNumberFormat="1" applyFont="1" applyFill="1" applyBorder="1"/>
    <xf numFmtId="167" fontId="4" fillId="18" borderId="33" xfId="0" applyNumberFormat="1" applyFont="1" applyFill="1" applyBorder="1" applyAlignment="1">
      <alignment horizontal="center"/>
    </xf>
    <xf numFmtId="165" fontId="4" fillId="6" borderId="0" xfId="0" applyNumberFormat="1" applyFont="1" applyFill="1" applyBorder="1"/>
    <xf numFmtId="165" fontId="4" fillId="3" borderId="22" xfId="0" applyNumberFormat="1" applyFont="1" applyFill="1" applyBorder="1"/>
    <xf numFmtId="0" fontId="4" fillId="6" borderId="0" xfId="0" applyNumberFormat="1" applyFont="1" applyFill="1" applyBorder="1"/>
    <xf numFmtId="165" fontId="4" fillId="6" borderId="32" xfId="0" applyNumberFormat="1" applyFont="1" applyFill="1" applyBorder="1"/>
    <xf numFmtId="0" fontId="4" fillId="6" borderId="32" xfId="0" applyNumberFormat="1" applyFont="1" applyFill="1" applyBorder="1"/>
    <xf numFmtId="167" fontId="4" fillId="18" borderId="32" xfId="0" applyNumberFormat="1" applyFont="1" applyFill="1" applyBorder="1" applyAlignment="1">
      <alignment horizontal="center"/>
    </xf>
    <xf numFmtId="0" fontId="4" fillId="6" borderId="36" xfId="0" applyFont="1" applyFill="1" applyBorder="1" applyAlignment="1" applyProtection="1">
      <alignment horizontal="center" vertical="center" wrapText="1"/>
      <protection locked="0"/>
    </xf>
    <xf numFmtId="0" fontId="4" fillId="6" borderId="0" xfId="1" applyNumberFormat="1" applyFont="1" applyFill="1" applyBorder="1" applyAlignment="1">
      <alignment horizontal="center" vertical="center"/>
    </xf>
    <xf numFmtId="165" fontId="4" fillId="6" borderId="0" xfId="1" applyNumberFormat="1" applyFont="1" applyFill="1" applyBorder="1" applyAlignment="1">
      <alignment vertical="center"/>
    </xf>
    <xf numFmtId="0" fontId="4" fillId="6" borderId="39" xfId="0" applyFont="1" applyFill="1" applyBorder="1" applyAlignment="1" applyProtection="1">
      <alignment horizontal="center" vertical="center" wrapText="1"/>
      <protection locked="0"/>
    </xf>
    <xf numFmtId="165" fontId="12" fillId="3" borderId="1" xfId="0" applyNumberFormat="1" applyFont="1" applyFill="1" applyBorder="1" applyAlignment="1">
      <alignment horizontal="center"/>
    </xf>
    <xf numFmtId="165" fontId="4" fillId="19" borderId="0" xfId="0" applyNumberFormat="1" applyFont="1" applyFill="1" applyAlignment="1">
      <alignment horizontal="center"/>
    </xf>
    <xf numFmtId="165" fontId="4" fillId="6" borderId="0" xfId="0" applyNumberFormat="1" applyFont="1" applyFill="1" applyAlignment="1">
      <alignment vertical="center"/>
    </xf>
    <xf numFmtId="0" fontId="4" fillId="6" borderId="0" xfId="0" applyNumberFormat="1" applyFont="1" applyFill="1" applyAlignment="1">
      <alignment vertical="center"/>
    </xf>
    <xf numFmtId="167" fontId="4" fillId="6" borderId="0" xfId="0" applyNumberFormat="1" applyFont="1" applyFill="1" applyAlignment="1">
      <alignment horizontal="center" vertical="center"/>
    </xf>
    <xf numFmtId="165" fontId="4" fillId="6" borderId="0" xfId="0" applyNumberFormat="1" applyFont="1" applyFill="1" applyAlignment="1">
      <alignment horizontal="center" vertical="center"/>
    </xf>
    <xf numFmtId="166" fontId="2" fillId="6" borderId="1" xfId="0" applyNumberFormat="1" applyFont="1" applyFill="1" applyBorder="1" applyAlignment="1">
      <alignment horizontal="center"/>
    </xf>
    <xf numFmtId="0" fontId="4" fillId="6" borderId="0" xfId="1" applyNumberFormat="1" applyFont="1" applyFill="1" applyAlignment="1">
      <alignment vertical="center"/>
    </xf>
    <xf numFmtId="167" fontId="4" fillId="21" borderId="0" xfId="0" applyNumberFormat="1" applyFont="1" applyFill="1" applyBorder="1" applyAlignment="1">
      <alignment horizontal="center"/>
    </xf>
    <xf numFmtId="14" fontId="4" fillId="6" borderId="14" xfId="1" applyNumberFormat="1" applyFont="1" applyFill="1" applyBorder="1" applyAlignment="1" applyProtection="1">
      <alignment horizontal="center" vertical="center" wrapText="1"/>
      <protection locked="0"/>
    </xf>
    <xf numFmtId="165" fontId="25" fillId="6" borderId="0" xfId="1" applyNumberFormat="1" applyFont="1" applyFill="1" applyAlignment="1">
      <alignment vertical="center" wrapText="1"/>
    </xf>
    <xf numFmtId="43" fontId="6" fillId="8" borderId="6" xfId="2" applyNumberFormat="1" applyFont="1" applyFill="1" applyBorder="1" applyAlignment="1">
      <alignment horizontal="center" vertical="center" wrapText="1"/>
    </xf>
    <xf numFmtId="165" fontId="1" fillId="0" borderId="0" xfId="0" applyNumberFormat="1" applyFont="1"/>
    <xf numFmtId="165" fontId="1" fillId="6" borderId="23" xfId="0" applyNumberFormat="1" applyFont="1" applyFill="1" applyBorder="1"/>
    <xf numFmtId="165" fontId="0" fillId="6" borderId="0" xfId="0" applyNumberFormat="1" applyFill="1" applyBorder="1"/>
    <xf numFmtId="165" fontId="1" fillId="6" borderId="0" xfId="0" applyNumberFormat="1" applyFont="1" applyFill="1" applyBorder="1" applyAlignment="1">
      <alignment horizontal="center"/>
    </xf>
    <xf numFmtId="165" fontId="0" fillId="6" borderId="24" xfId="0" applyNumberFormat="1" applyFill="1" applyBorder="1"/>
    <xf numFmtId="165" fontId="0" fillId="6" borderId="23" xfId="0" applyNumberFormat="1" applyFill="1" applyBorder="1"/>
    <xf numFmtId="165" fontId="1" fillId="0" borderId="0" xfId="0" applyNumberFormat="1" applyFont="1" applyAlignment="1">
      <alignment horizontal="center"/>
    </xf>
    <xf numFmtId="165" fontId="1" fillId="6" borderId="23" xfId="0" applyNumberFormat="1" applyFont="1" applyFill="1" applyBorder="1" applyAlignment="1">
      <alignment horizontal="center"/>
    </xf>
    <xf numFmtId="171" fontId="1" fillId="6" borderId="0" xfId="8" applyNumberFormat="1" applyFont="1" applyFill="1" applyBorder="1" applyAlignment="1">
      <alignment horizontal="center"/>
    </xf>
    <xf numFmtId="165" fontId="1" fillId="6" borderId="24" xfId="0" applyNumberFormat="1" applyFont="1" applyFill="1" applyBorder="1" applyAlignment="1">
      <alignment horizontal="center"/>
    </xf>
    <xf numFmtId="165" fontId="1" fillId="6" borderId="4" xfId="0" applyNumberFormat="1" applyFont="1" applyFill="1" applyBorder="1" applyAlignment="1">
      <alignment horizontal="center"/>
    </xf>
    <xf numFmtId="165" fontId="1" fillId="6" borderId="50" xfId="0" applyNumberFormat="1" applyFont="1" applyFill="1" applyBorder="1" applyAlignment="1">
      <alignment horizontal="center"/>
    </xf>
    <xf numFmtId="165" fontId="1" fillId="6" borderId="5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  <xf numFmtId="0" fontId="0" fillId="6" borderId="20" xfId="0" applyNumberFormat="1" applyFill="1" applyBorder="1"/>
    <xf numFmtId="165" fontId="0" fillId="6" borderId="33" xfId="0" applyNumberFormat="1" applyFill="1" applyBorder="1"/>
    <xf numFmtId="165" fontId="0" fillId="6" borderId="21" xfId="0" applyNumberFormat="1" applyFill="1" applyBorder="1"/>
    <xf numFmtId="0" fontId="0" fillId="6" borderId="23" xfId="0" applyNumberFormat="1" applyFill="1" applyBorder="1"/>
    <xf numFmtId="165" fontId="0" fillId="18" borderId="0" xfId="0" applyNumberFormat="1" applyFill="1" applyAlignment="1">
      <alignment horizontal="center"/>
    </xf>
    <xf numFmtId="172" fontId="0" fillId="18" borderId="0" xfId="0" applyNumberFormat="1" applyFill="1" applyAlignment="1">
      <alignment horizontal="center"/>
    </xf>
    <xf numFmtId="165" fontId="0" fillId="18" borderId="23" xfId="0" applyNumberFormat="1" applyFill="1" applyBorder="1"/>
    <xf numFmtId="165" fontId="0" fillId="18" borderId="0" xfId="0" applyNumberFormat="1" applyFill="1" applyBorder="1"/>
    <xf numFmtId="165" fontId="0" fillId="18" borderId="24" xfId="0" applyNumberFormat="1" applyFill="1" applyBorder="1"/>
    <xf numFmtId="0" fontId="0" fillId="6" borderId="0" xfId="0" applyNumberFormat="1" applyFill="1" applyBorder="1"/>
    <xf numFmtId="165" fontId="0" fillId="6" borderId="26" xfId="0" applyNumberFormat="1" applyFill="1" applyBorder="1"/>
    <xf numFmtId="165" fontId="0" fillId="6" borderId="32" xfId="0" applyNumberFormat="1" applyFill="1" applyBorder="1"/>
    <xf numFmtId="165" fontId="0" fillId="6" borderId="27" xfId="0" applyNumberFormat="1" applyFill="1" applyBorder="1"/>
    <xf numFmtId="0" fontId="0" fillId="6" borderId="26" xfId="0" applyNumberFormat="1" applyFill="1" applyBorder="1"/>
    <xf numFmtId="165" fontId="0" fillId="0" borderId="0" xfId="0" applyNumberFormat="1" applyFont="1"/>
    <xf numFmtId="0" fontId="0" fillId="0" borderId="0" xfId="0" applyNumberFormat="1" applyBorder="1"/>
    <xf numFmtId="167" fontId="4" fillId="3" borderId="0" xfId="0" applyNumberFormat="1" applyFont="1" applyFill="1" applyBorder="1" applyAlignment="1">
      <alignment horizontal="center"/>
    </xf>
    <xf numFmtId="165" fontId="25" fillId="6" borderId="14" xfId="1" applyNumberFormat="1" applyFont="1" applyFill="1" applyBorder="1" applyAlignment="1" applyProtection="1">
      <alignment vertical="center" wrapText="1"/>
      <protection locked="0"/>
    </xf>
    <xf numFmtId="10" fontId="0" fillId="6" borderId="0" xfId="3" applyNumberFormat="1" applyFont="1" applyFill="1" applyAlignment="1">
      <alignment horizontal="center"/>
    </xf>
    <xf numFmtId="10" fontId="4" fillId="6" borderId="14" xfId="1" applyNumberFormat="1" applyFill="1" applyBorder="1"/>
    <xf numFmtId="165" fontId="12" fillId="3" borderId="0" xfId="1" applyNumberFormat="1" applyFont="1" applyFill="1"/>
    <xf numFmtId="165" fontId="12" fillId="6" borderId="0" xfId="1" applyNumberFormat="1" applyFont="1" applyFill="1" applyBorder="1" applyAlignment="1" applyProtection="1">
      <alignment vertical="center" wrapText="1"/>
      <protection locked="0"/>
    </xf>
    <xf numFmtId="10" fontId="0" fillId="6" borderId="0" xfId="3" applyNumberFormat="1" applyFont="1" applyFill="1"/>
    <xf numFmtId="10" fontId="4" fillId="6" borderId="0" xfId="1" applyNumberFormat="1" applyFill="1" applyBorder="1"/>
    <xf numFmtId="166" fontId="4" fillId="6" borderId="0" xfId="1" applyNumberFormat="1" applyFont="1" applyFill="1" applyAlignment="1"/>
    <xf numFmtId="167" fontId="4" fillId="3" borderId="0" xfId="1" applyNumberFormat="1" applyFont="1" applyFill="1" applyAlignment="1">
      <alignment horizontal="center"/>
    </xf>
    <xf numFmtId="166" fontId="4" fillId="3" borderId="0" xfId="1" applyNumberFormat="1" applyFont="1" applyFill="1" applyAlignment="1"/>
    <xf numFmtId="0" fontId="4" fillId="6" borderId="0" xfId="1" applyNumberFormat="1" applyFont="1" applyFill="1" applyBorder="1" applyAlignment="1">
      <alignment horizontal="center"/>
    </xf>
    <xf numFmtId="166" fontId="4" fillId="6" borderId="0" xfId="1" applyNumberFormat="1" applyFont="1" applyFill="1"/>
    <xf numFmtId="43" fontId="6" fillId="8" borderId="34" xfId="2" applyNumberFormat="1" applyFont="1" applyFill="1" applyBorder="1" applyAlignment="1">
      <alignment vertical="center" wrapText="1"/>
    </xf>
    <xf numFmtId="165" fontId="4" fillId="6" borderId="0" xfId="1" applyNumberFormat="1" applyFill="1" applyAlignment="1">
      <alignment horizontal="center" wrapText="1"/>
    </xf>
    <xf numFmtId="165" fontId="4" fillId="15" borderId="0" xfId="1" applyNumberFormat="1" applyFill="1"/>
    <xf numFmtId="0" fontId="4" fillId="15" borderId="14" xfId="1" applyFont="1" applyFill="1" applyBorder="1" applyAlignment="1" applyProtection="1">
      <alignment vertical="center" wrapText="1"/>
      <protection locked="0"/>
    </xf>
    <xf numFmtId="167" fontId="4" fillId="15" borderId="0" xfId="1" applyNumberFormat="1" applyFont="1" applyFill="1" applyAlignment="1">
      <alignment horizontal="center"/>
    </xf>
    <xf numFmtId="165" fontId="4" fillId="15" borderId="14" xfId="1" applyNumberFormat="1" applyFont="1" applyFill="1" applyBorder="1" applyAlignment="1" applyProtection="1">
      <alignment vertical="center" wrapText="1"/>
      <protection locked="0"/>
    </xf>
    <xf numFmtId="165" fontId="4" fillId="15" borderId="0" xfId="1" applyNumberFormat="1" applyFill="1" applyAlignment="1">
      <alignment horizontal="center" wrapText="1"/>
    </xf>
    <xf numFmtId="166" fontId="2" fillId="6" borderId="1" xfId="1" applyNumberFormat="1" applyFont="1" applyFill="1" applyBorder="1" applyAlignment="1">
      <alignment horizontal="center"/>
    </xf>
    <xf numFmtId="165" fontId="4" fillId="18" borderId="0" xfId="1" applyNumberFormat="1" applyFont="1" applyFill="1"/>
    <xf numFmtId="166" fontId="4" fillId="6" borderId="0" xfId="1" applyNumberFormat="1" applyFont="1" applyFill="1" applyAlignment="1">
      <alignment horizontal="center"/>
    </xf>
    <xf numFmtId="166" fontId="2" fillId="6" borderId="0" xfId="1" applyNumberFormat="1" applyFont="1" applyFill="1"/>
    <xf numFmtId="166" fontId="2" fillId="6" borderId="1" xfId="1" applyNumberFormat="1" applyFont="1" applyFill="1" applyBorder="1"/>
    <xf numFmtId="169" fontId="0" fillId="6" borderId="0" xfId="3" applyNumberFormat="1" applyFont="1" applyFill="1" applyAlignment="1">
      <alignment horizontal="center"/>
    </xf>
    <xf numFmtId="0" fontId="4" fillId="15" borderId="0" xfId="1" applyNumberFormat="1" applyFont="1" applyFill="1"/>
    <xf numFmtId="14" fontId="4" fillId="6" borderId="0" xfId="1" applyNumberFormat="1" applyFont="1" applyFill="1" applyAlignment="1"/>
    <xf numFmtId="0" fontId="4" fillId="2" borderId="0" xfId="1" applyNumberFormat="1" applyFont="1" applyFill="1" applyAlignment="1">
      <alignment horizontal="center"/>
    </xf>
    <xf numFmtId="165" fontId="4" fillId="2" borderId="0" xfId="1" applyNumberFormat="1" applyFill="1"/>
    <xf numFmtId="165" fontId="4" fillId="2" borderId="0" xfId="1" applyNumberFormat="1" applyFont="1" applyFill="1"/>
    <xf numFmtId="165" fontId="4" fillId="2" borderId="0" xfId="1" applyNumberFormat="1" applyFont="1" applyFill="1" applyAlignment="1"/>
    <xf numFmtId="0" fontId="4" fillId="6" borderId="0" xfId="1" applyNumberFormat="1" applyFont="1" applyFill="1" applyAlignment="1"/>
    <xf numFmtId="9" fontId="4" fillId="6" borderId="0" xfId="8" applyFont="1" applyFill="1"/>
    <xf numFmtId="165" fontId="1" fillId="0" borderId="0" xfId="0" applyNumberFormat="1" applyFont="1" applyFill="1"/>
    <xf numFmtId="0" fontId="18" fillId="6" borderId="0" xfId="9" applyFont="1" applyFill="1"/>
    <xf numFmtId="0" fontId="28" fillId="6" borderId="0" xfId="9" applyFont="1" applyFill="1"/>
    <xf numFmtId="165" fontId="28" fillId="6" borderId="0" xfId="9" applyNumberFormat="1" applyFont="1" applyFill="1"/>
    <xf numFmtId="0" fontId="29" fillId="6" borderId="0" xfId="9" applyFont="1" applyFill="1"/>
    <xf numFmtId="165" fontId="29" fillId="6" borderId="50" xfId="9" applyNumberFormat="1" applyFont="1" applyFill="1" applyBorder="1"/>
    <xf numFmtId="165" fontId="29" fillId="6" borderId="51" xfId="9" applyNumberFormat="1" applyFont="1" applyFill="1" applyBorder="1"/>
    <xf numFmtId="0" fontId="31" fillId="6" borderId="0" xfId="9" applyFont="1" applyFill="1"/>
    <xf numFmtId="165" fontId="31" fillId="6" borderId="0" xfId="9" applyNumberFormat="1" applyFont="1" applyFill="1"/>
    <xf numFmtId="0" fontId="29" fillId="6" borderId="0" xfId="9" applyFont="1" applyFill="1" applyAlignment="1">
      <alignment horizontal="center" wrapText="1"/>
    </xf>
    <xf numFmtId="165" fontId="29" fillId="6" borderId="0" xfId="9" applyNumberFormat="1" applyFont="1" applyFill="1" applyAlignment="1">
      <alignment horizontal="center" wrapText="1"/>
    </xf>
    <xf numFmtId="165" fontId="29" fillId="6" borderId="0" xfId="9" applyNumberFormat="1" applyFont="1" applyFill="1"/>
    <xf numFmtId="0" fontId="28" fillId="6" borderId="0" xfId="9" quotePrefix="1" applyFont="1" applyFill="1"/>
    <xf numFmtId="0" fontId="0" fillId="6" borderId="0" xfId="0" applyFill="1"/>
    <xf numFmtId="165" fontId="29" fillId="6" borderId="0" xfId="9" applyNumberFormat="1" applyFont="1" applyFill="1" applyBorder="1"/>
    <xf numFmtId="165" fontId="19" fillId="0" borderId="0" xfId="1" applyNumberFormat="1" applyFont="1" applyAlignment="1">
      <alignment horizontal="center" vertical="center" wrapText="1"/>
    </xf>
    <xf numFmtId="165" fontId="19" fillId="0" borderId="52" xfId="1" applyNumberFormat="1" applyFont="1" applyBorder="1" applyAlignment="1">
      <alignment horizontal="center" vertical="center" wrapText="1"/>
    </xf>
    <xf numFmtId="165" fontId="32" fillId="0" borderId="0" xfId="1" applyNumberFormat="1" applyFont="1"/>
    <xf numFmtId="165" fontId="33" fillId="0" borderId="0" xfId="1" applyNumberFormat="1" applyFont="1" applyAlignment="1">
      <alignment vertical="center" wrapText="1"/>
    </xf>
    <xf numFmtId="165" fontId="19" fillId="0" borderId="0" xfId="1" applyNumberFormat="1" applyFont="1" applyAlignment="1">
      <alignment vertical="center" wrapText="1"/>
    </xf>
    <xf numFmtId="165" fontId="20" fillId="0" borderId="0" xfId="1" applyNumberFormat="1" applyFont="1" applyAlignment="1">
      <alignment horizontal="right" vertical="center" wrapText="1"/>
    </xf>
    <xf numFmtId="165" fontId="35" fillId="0" borderId="0" xfId="1" applyNumberFormat="1" applyFont="1" applyAlignment="1">
      <alignment horizontal="right" vertical="center" wrapText="1"/>
    </xf>
    <xf numFmtId="165" fontId="20" fillId="0" borderId="0" xfId="1" applyNumberFormat="1" applyFont="1" applyFill="1" applyAlignment="1">
      <alignment vertical="center" wrapText="1"/>
    </xf>
    <xf numFmtId="165" fontId="20" fillId="0" borderId="0" xfId="1" applyNumberFormat="1" applyFont="1" applyFill="1" applyAlignment="1">
      <alignment horizontal="right" vertical="center" wrapText="1"/>
    </xf>
    <xf numFmtId="165" fontId="35" fillId="0" borderId="0" xfId="1" applyNumberFormat="1" applyFont="1" applyFill="1" applyAlignment="1">
      <alignment horizontal="right" vertical="center" wrapText="1"/>
    </xf>
    <xf numFmtId="165" fontId="32" fillId="0" borderId="0" xfId="1" applyNumberFormat="1" applyFont="1" applyFill="1"/>
    <xf numFmtId="165" fontId="35" fillId="0" borderId="52" xfId="1" applyNumberFormat="1" applyFont="1" applyFill="1" applyBorder="1" applyAlignment="1">
      <alignment horizontal="right" vertical="center" wrapText="1"/>
    </xf>
    <xf numFmtId="165" fontId="20" fillId="0" borderId="52" xfId="1" applyNumberFormat="1" applyFont="1" applyFill="1" applyBorder="1" applyAlignment="1">
      <alignment horizontal="right" vertical="center" wrapText="1"/>
    </xf>
    <xf numFmtId="165" fontId="35" fillId="0" borderId="54" xfId="1" applyNumberFormat="1" applyFont="1" applyFill="1" applyBorder="1" applyAlignment="1">
      <alignment horizontal="right" vertical="center" wrapText="1"/>
    </xf>
    <xf numFmtId="165" fontId="20" fillId="0" borderId="54" xfId="1" applyNumberFormat="1" applyFont="1" applyFill="1" applyBorder="1" applyAlignment="1">
      <alignment horizontal="right" vertical="center" wrapText="1"/>
    </xf>
    <xf numFmtId="165" fontId="33" fillId="0" borderId="0" xfId="1" applyNumberFormat="1" applyFont="1" applyFill="1" applyAlignment="1">
      <alignment vertical="center" wrapText="1"/>
    </xf>
    <xf numFmtId="165" fontId="35" fillId="0" borderId="0" xfId="1" applyNumberFormat="1" applyFont="1" applyFill="1" applyAlignment="1">
      <alignment vertical="center" wrapText="1"/>
    </xf>
    <xf numFmtId="165" fontId="35" fillId="0" borderId="55" xfId="1" applyNumberFormat="1" applyFont="1" applyFill="1" applyBorder="1" applyAlignment="1">
      <alignment horizontal="right" vertical="center" wrapText="1"/>
    </xf>
    <xf numFmtId="165" fontId="20" fillId="0" borderId="55" xfId="1" applyNumberFormat="1" applyFont="1" applyFill="1" applyBorder="1" applyAlignment="1">
      <alignment horizontal="right" vertical="center" wrapText="1"/>
    </xf>
    <xf numFmtId="165" fontId="19" fillId="0" borderId="0" xfId="1" applyNumberFormat="1" applyFont="1" applyFill="1" applyAlignment="1">
      <alignment horizontal="right" vertical="center" wrapText="1"/>
    </xf>
    <xf numFmtId="165" fontId="19" fillId="0" borderId="55" xfId="1" applyNumberFormat="1" applyFont="1" applyFill="1" applyBorder="1" applyAlignment="1">
      <alignment horizontal="right" vertical="center" wrapText="1"/>
    </xf>
    <xf numFmtId="165" fontId="20" fillId="0" borderId="0" xfId="1" applyNumberFormat="1" applyFont="1" applyFill="1" applyAlignment="1">
      <alignment vertical="center" wrapText="1"/>
    </xf>
    <xf numFmtId="165" fontId="19" fillId="0" borderId="0" xfId="1" applyNumberFormat="1" applyFont="1" applyFill="1" applyAlignment="1">
      <alignment vertical="center" wrapText="1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6" fillId="8" borderId="6" xfId="1" applyFont="1" applyFill="1" applyBorder="1" applyAlignment="1">
      <alignment horizontal="center" vertical="center" wrapText="1"/>
    </xf>
    <xf numFmtId="0" fontId="2" fillId="6" borderId="0" xfId="1" applyNumberFormat="1" applyFont="1" applyFill="1" applyAlignment="1">
      <alignment horizontal="center"/>
    </xf>
    <xf numFmtId="43" fontId="6" fillId="8" borderId="6" xfId="2" applyNumberFormat="1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center"/>
    </xf>
    <xf numFmtId="0" fontId="2" fillId="6" borderId="0" xfId="1" applyNumberFormat="1" applyFont="1" applyFill="1" applyAlignment="1">
      <alignment horizontal="center"/>
    </xf>
    <xf numFmtId="165" fontId="20" fillId="0" borderId="0" xfId="1" applyNumberFormat="1" applyFont="1" applyFill="1" applyAlignment="1">
      <alignment vertical="center" wrapText="1"/>
    </xf>
    <xf numFmtId="165" fontId="3" fillId="6" borderId="0" xfId="1" pivotButton="1" applyNumberFormat="1" applyFont="1" applyFill="1"/>
    <xf numFmtId="165" fontId="4" fillId="11" borderId="0" xfId="1" applyNumberFormat="1" applyFill="1" applyAlignment="1">
      <alignment wrapText="1"/>
    </xf>
    <xf numFmtId="165" fontId="2" fillId="3" borderId="0" xfId="1" applyNumberFormat="1" applyFont="1" applyFill="1" applyBorder="1" applyAlignment="1" applyProtection="1">
      <alignment vertical="center" wrapText="1"/>
      <protection locked="0"/>
    </xf>
    <xf numFmtId="0" fontId="25" fillId="6" borderId="14" xfId="1" applyFont="1" applyFill="1" applyBorder="1" applyAlignment="1" applyProtection="1">
      <alignment vertical="center" wrapText="1"/>
      <protection locked="0"/>
    </xf>
    <xf numFmtId="41" fontId="18" fillId="0" borderId="0" xfId="5" applyFont="1" applyBorder="1" applyAlignment="1"/>
    <xf numFmtId="165" fontId="25" fillId="22" borderId="0" xfId="0" applyNumberFormat="1" applyFont="1" applyFill="1" applyAlignment="1">
      <alignment wrapText="1"/>
    </xf>
    <xf numFmtId="0" fontId="4" fillId="6" borderId="0" xfId="1" applyFont="1" applyFill="1" applyBorder="1" applyAlignment="1" applyProtection="1">
      <alignment horizontal="center" vertical="center" wrapText="1"/>
      <protection locked="0"/>
    </xf>
    <xf numFmtId="165" fontId="4" fillId="6" borderId="0" xfId="1" applyNumberFormat="1" applyFont="1" applyFill="1" applyBorder="1" applyAlignment="1" applyProtection="1">
      <alignment vertical="center"/>
      <protection locked="0"/>
    </xf>
    <xf numFmtId="165" fontId="4" fillId="6" borderId="0" xfId="1" applyNumberFormat="1" applyFont="1" applyFill="1" applyBorder="1" applyAlignment="1" applyProtection="1">
      <alignment horizontal="center" vertical="center" wrapText="1"/>
      <protection locked="0"/>
    </xf>
    <xf numFmtId="165" fontId="4" fillId="10" borderId="0" xfId="0" applyNumberFormat="1" applyFont="1" applyFill="1"/>
    <xf numFmtId="167" fontId="4" fillId="10" borderId="0" xfId="0" applyNumberFormat="1" applyFont="1" applyFill="1" applyBorder="1" applyAlignment="1">
      <alignment horizontal="center"/>
    </xf>
    <xf numFmtId="165" fontId="4" fillId="10" borderId="0" xfId="0" applyNumberFormat="1" applyFont="1" applyFill="1" applyBorder="1" applyAlignment="1">
      <alignment horizontal="center"/>
    </xf>
    <xf numFmtId="165" fontId="4" fillId="6" borderId="44" xfId="1" applyNumberFormat="1" applyFont="1" applyFill="1" applyBorder="1" applyAlignment="1" applyProtection="1">
      <alignment vertical="center" wrapText="1"/>
      <protection locked="0"/>
    </xf>
    <xf numFmtId="165" fontId="4" fillId="10" borderId="33" xfId="0" applyNumberFormat="1" applyFont="1" applyFill="1" applyBorder="1"/>
    <xf numFmtId="167" fontId="4" fillId="10" borderId="33" xfId="0" applyNumberFormat="1" applyFont="1" applyFill="1" applyBorder="1" applyAlignment="1">
      <alignment horizontal="center"/>
    </xf>
    <xf numFmtId="165" fontId="4" fillId="6" borderId="42" xfId="1" applyNumberFormat="1" applyFont="1" applyFill="1" applyBorder="1" applyAlignment="1" applyProtection="1">
      <alignment vertical="center" wrapText="1"/>
      <protection locked="0"/>
    </xf>
    <xf numFmtId="0" fontId="4" fillId="6" borderId="23" xfId="1" applyNumberFormat="1" applyFont="1" applyFill="1" applyBorder="1" applyAlignment="1">
      <alignment horizontal="center" vertical="center"/>
    </xf>
    <xf numFmtId="165" fontId="4" fillId="10" borderId="0" xfId="0" applyNumberFormat="1" applyFont="1" applyFill="1" applyBorder="1"/>
    <xf numFmtId="165" fontId="4" fillId="6" borderId="46" xfId="1" applyNumberFormat="1" applyFont="1" applyFill="1" applyBorder="1" applyAlignment="1" applyProtection="1">
      <alignment vertical="center" wrapText="1"/>
      <protection locked="0"/>
    </xf>
    <xf numFmtId="165" fontId="4" fillId="10" borderId="32" xfId="0" applyNumberFormat="1" applyFont="1" applyFill="1" applyBorder="1"/>
    <xf numFmtId="167" fontId="4" fillId="10" borderId="32" xfId="0" applyNumberFormat="1" applyFont="1" applyFill="1" applyBorder="1" applyAlignment="1">
      <alignment horizontal="center"/>
    </xf>
    <xf numFmtId="167" fontId="4" fillId="3" borderId="33" xfId="0" applyNumberFormat="1" applyFont="1" applyFill="1" applyBorder="1" applyAlignment="1">
      <alignment horizontal="center"/>
    </xf>
    <xf numFmtId="0" fontId="4" fillId="6" borderId="41" xfId="0" applyFont="1" applyFill="1" applyBorder="1" applyAlignment="1" applyProtection="1">
      <alignment vertical="center" wrapText="1"/>
      <protection locked="0"/>
    </xf>
    <xf numFmtId="0" fontId="4" fillId="6" borderId="41" xfId="0" applyFont="1" applyFill="1" applyBorder="1" applyAlignment="1" applyProtection="1">
      <alignment horizontal="center" vertical="center" wrapText="1"/>
      <protection locked="0"/>
    </xf>
    <xf numFmtId="165" fontId="4" fillId="6" borderId="41" xfId="0" applyNumberFormat="1" applyFont="1" applyFill="1" applyBorder="1" applyAlignment="1" applyProtection="1">
      <alignment vertical="center"/>
      <protection locked="0"/>
    </xf>
    <xf numFmtId="165" fontId="4" fillId="6" borderId="41" xfId="1" applyNumberFormat="1" applyFont="1" applyFill="1" applyBorder="1" applyAlignment="1" applyProtection="1">
      <alignment vertical="center" wrapText="1"/>
      <protection locked="0"/>
    </xf>
    <xf numFmtId="165" fontId="4" fillId="22" borderId="0" xfId="1" applyNumberFormat="1" applyFont="1" applyFill="1" applyAlignment="1">
      <alignment vertical="center"/>
    </xf>
    <xf numFmtId="165" fontId="4" fillId="22" borderId="14" xfId="1" applyNumberFormat="1" applyFont="1" applyFill="1" applyBorder="1" applyAlignment="1" applyProtection="1">
      <alignment horizontal="center" vertical="center" wrapText="1"/>
      <protection locked="0"/>
    </xf>
    <xf numFmtId="165" fontId="4" fillId="22" borderId="0" xfId="0" applyNumberFormat="1" applyFont="1" applyFill="1" applyBorder="1" applyAlignment="1">
      <alignment horizontal="center"/>
    </xf>
    <xf numFmtId="165" fontId="4" fillId="6" borderId="18" xfId="1" applyNumberFormat="1" applyFont="1" applyFill="1" applyBorder="1"/>
    <xf numFmtId="165" fontId="4" fillId="6" borderId="22" xfId="1" applyNumberFormat="1" applyFont="1" applyFill="1" applyBorder="1"/>
    <xf numFmtId="165" fontId="4" fillId="6" borderId="25" xfId="1" applyNumberFormat="1" applyFont="1" applyFill="1" applyBorder="1"/>
    <xf numFmtId="165" fontId="32" fillId="3" borderId="0" xfId="1" applyNumberFormat="1" applyFont="1" applyFill="1"/>
    <xf numFmtId="165" fontId="4" fillId="11" borderId="0" xfId="1" applyNumberFormat="1" applyFill="1"/>
    <xf numFmtId="173" fontId="28" fillId="6" borderId="0" xfId="9" applyNumberFormat="1" applyFont="1" applyFill="1"/>
    <xf numFmtId="0" fontId="36" fillId="0" borderId="0" xfId="0" applyFont="1" applyAlignment="1">
      <alignment vertical="center" wrapText="1"/>
    </xf>
    <xf numFmtId="3" fontId="28" fillId="6" borderId="0" xfId="9" applyNumberFormat="1" applyFont="1" applyFill="1"/>
    <xf numFmtId="0" fontId="41" fillId="0" borderId="0" xfId="0" applyFont="1" applyAlignment="1">
      <alignment vertical="center" wrapText="1"/>
    </xf>
    <xf numFmtId="165" fontId="18" fillId="0" borderId="0" xfId="0" applyNumberFormat="1" applyFont="1" applyFill="1" applyAlignment="1"/>
    <xf numFmtId="165" fontId="16" fillId="0" borderId="0" xfId="0" applyNumberFormat="1" applyFont="1" applyFill="1" applyAlignment="1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65" fontId="16" fillId="0" borderId="0" xfId="0" applyNumberFormat="1" applyFont="1" applyFill="1" applyAlignment="1">
      <alignment horizontal="center"/>
    </xf>
    <xf numFmtId="165" fontId="16" fillId="0" borderId="52" xfId="0" applyNumberFormat="1" applyFont="1" applyFill="1" applyBorder="1" applyAlignment="1">
      <alignment horizontal="center"/>
    </xf>
    <xf numFmtId="165" fontId="42" fillId="0" borderId="0" xfId="0" applyNumberFormat="1" applyFont="1" applyFill="1" applyAlignment="1">
      <alignment horizontal="center"/>
    </xf>
    <xf numFmtId="165" fontId="42" fillId="0" borderId="53" xfId="0" applyNumberFormat="1" applyFont="1" applyFill="1" applyBorder="1" applyAlignment="1"/>
    <xf numFmtId="165" fontId="16" fillId="0" borderId="0" xfId="0" applyNumberFormat="1" applyFont="1" applyFill="1" applyAlignment="1">
      <alignment horizontal="right"/>
    </xf>
    <xf numFmtId="0" fontId="16" fillId="0" borderId="0" xfId="0" applyFont="1" applyFill="1" applyAlignment="1"/>
    <xf numFmtId="0" fontId="16" fillId="0" borderId="0" xfId="0" applyFont="1" applyFill="1" applyAlignment="1">
      <alignment horizontal="center"/>
    </xf>
    <xf numFmtId="0" fontId="16" fillId="0" borderId="52" xfId="0" applyFont="1" applyFill="1" applyBorder="1" applyAlignment="1"/>
    <xf numFmtId="0" fontId="16" fillId="0" borderId="52" xfId="0" applyFont="1" applyFill="1" applyBorder="1" applyAlignment="1">
      <alignment horizontal="center"/>
    </xf>
    <xf numFmtId="165" fontId="16" fillId="0" borderId="54" xfId="0" applyNumberFormat="1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165" fontId="16" fillId="0" borderId="52" xfId="0" applyNumberFormat="1" applyFont="1" applyFill="1" applyBorder="1" applyAlignment="1">
      <alignment horizontal="right"/>
    </xf>
    <xf numFmtId="164" fontId="16" fillId="0" borderId="0" xfId="0" applyNumberFormat="1" applyFont="1" applyFill="1" applyAlignment="1">
      <alignment horizontal="right"/>
    </xf>
    <xf numFmtId="3" fontId="16" fillId="0" borderId="0" xfId="0" applyNumberFormat="1" applyFont="1" applyFill="1" applyAlignment="1">
      <alignment horizontal="right"/>
    </xf>
    <xf numFmtId="3" fontId="16" fillId="0" borderId="52" xfId="0" applyNumberFormat="1" applyFont="1" applyFill="1" applyBorder="1" applyAlignment="1">
      <alignment horizontal="right"/>
    </xf>
    <xf numFmtId="0" fontId="16" fillId="0" borderId="52" xfId="0" applyFont="1" applyFill="1" applyBorder="1" applyAlignment="1">
      <alignment horizontal="right"/>
    </xf>
    <xf numFmtId="164" fontId="16" fillId="0" borderId="54" xfId="0" applyNumberFormat="1" applyFont="1" applyFill="1" applyBorder="1" applyAlignment="1">
      <alignment horizontal="right"/>
    </xf>
    <xf numFmtId="165" fontId="16" fillId="0" borderId="55" xfId="0" applyNumberFormat="1" applyFont="1" applyFill="1" applyBorder="1" applyAlignment="1">
      <alignment horizontal="right"/>
    </xf>
    <xf numFmtId="0" fontId="16" fillId="0" borderId="54" xfId="0" applyFont="1" applyFill="1" applyBorder="1" applyAlignment="1">
      <alignment horizontal="right"/>
    </xf>
    <xf numFmtId="164" fontId="16" fillId="0" borderId="55" xfId="0" applyNumberFormat="1" applyFont="1" applyFill="1" applyBorder="1" applyAlignment="1">
      <alignment horizontal="right"/>
    </xf>
    <xf numFmtId="165" fontId="16" fillId="0" borderId="52" xfId="0" applyNumberFormat="1" applyFont="1" applyFill="1" applyBorder="1" applyAlignment="1"/>
    <xf numFmtId="0" fontId="16" fillId="0" borderId="0" xfId="0" applyFont="1" applyFill="1" applyAlignment="1">
      <alignment horizontal="left"/>
    </xf>
    <xf numFmtId="165" fontId="18" fillId="3" borderId="54" xfId="0" applyNumberFormat="1" applyFont="1" applyFill="1" applyBorder="1" applyAlignment="1">
      <alignment horizontal="right"/>
    </xf>
    <xf numFmtId="165" fontId="16" fillId="3" borderId="52" xfId="0" applyNumberFormat="1" applyFont="1" applyFill="1" applyBorder="1" applyAlignment="1">
      <alignment horizontal="right"/>
    </xf>
    <xf numFmtId="165" fontId="16" fillId="3" borderId="55" xfId="0" applyNumberFormat="1" applyFont="1" applyFill="1" applyBorder="1" applyAlignment="1">
      <alignment horizontal="right"/>
    </xf>
    <xf numFmtId="165" fontId="16" fillId="3" borderId="54" xfId="0" applyNumberFormat="1" applyFont="1" applyFill="1" applyBorder="1" applyAlignment="1">
      <alignment horizontal="right"/>
    </xf>
    <xf numFmtId="165" fontId="16" fillId="3" borderId="0" xfId="0" applyNumberFormat="1" applyFont="1" applyFill="1" applyAlignment="1">
      <alignment horizontal="right"/>
    </xf>
    <xf numFmtId="164" fontId="16" fillId="3" borderId="54" xfId="0" applyNumberFormat="1" applyFont="1" applyFill="1" applyBorder="1" applyAlignment="1">
      <alignment horizontal="right"/>
    </xf>
    <xf numFmtId="164" fontId="16" fillId="3" borderId="55" xfId="0" applyNumberFormat="1" applyFont="1" applyFill="1" applyBorder="1" applyAlignment="1">
      <alignment horizontal="right"/>
    </xf>
    <xf numFmtId="3" fontId="16" fillId="3" borderId="52" xfId="0" applyNumberFormat="1" applyFont="1" applyFill="1" applyBorder="1" applyAlignment="1">
      <alignment horizontal="right"/>
    </xf>
    <xf numFmtId="164" fontId="16" fillId="3" borderId="52" xfId="0" applyNumberFormat="1" applyFont="1" applyFill="1" applyBorder="1" applyAlignment="1">
      <alignment horizontal="right"/>
    </xf>
    <xf numFmtId="3" fontId="16" fillId="3" borderId="56" xfId="0" applyNumberFormat="1" applyFont="1" applyFill="1" applyBorder="1" applyAlignment="1">
      <alignment horizontal="right"/>
    </xf>
    <xf numFmtId="0" fontId="42" fillId="0" borderId="0" xfId="0" applyFont="1" applyFill="1" applyAlignment="1"/>
    <xf numFmtId="165" fontId="42" fillId="0" borderId="0" xfId="0" applyNumberFormat="1" applyFont="1" applyFill="1" applyAlignment="1"/>
    <xf numFmtId="0" fontId="42" fillId="0" borderId="0" xfId="0" applyFont="1" applyFill="1" applyAlignment="1">
      <alignment horizontal="right"/>
    </xf>
    <xf numFmtId="165" fontId="19" fillId="0" borderId="0" xfId="0" applyNumberFormat="1" applyFont="1" applyAlignment="1">
      <alignment horizontal="center" vertical="center"/>
    </xf>
    <xf numFmtId="165" fontId="19" fillId="0" borderId="0" xfId="0" applyNumberFormat="1" applyFont="1" applyAlignment="1">
      <alignment vertical="center"/>
    </xf>
    <xf numFmtId="165" fontId="32" fillId="0" borderId="0" xfId="0" applyNumberFormat="1" applyFont="1" applyAlignment="1">
      <alignment vertical="top"/>
    </xf>
    <xf numFmtId="165" fontId="19" fillId="0" borderId="52" xfId="0" applyNumberFormat="1" applyFont="1" applyBorder="1" applyAlignment="1">
      <alignment horizontal="center" vertical="center"/>
    </xf>
    <xf numFmtId="165" fontId="34" fillId="0" borderId="53" xfId="0" applyNumberFormat="1" applyFont="1" applyBorder="1" applyAlignment="1">
      <alignment vertical="center"/>
    </xf>
    <xf numFmtId="165" fontId="20" fillId="0" borderId="0" xfId="0" applyNumberFormat="1" applyFont="1" applyAlignment="1">
      <alignment horizontal="right" vertical="center"/>
    </xf>
    <xf numFmtId="165" fontId="35" fillId="0" borderId="0" xfId="0" applyNumberFormat="1" applyFont="1" applyAlignment="1">
      <alignment horizontal="right" vertical="center"/>
    </xf>
    <xf numFmtId="165" fontId="20" fillId="0" borderId="53" xfId="0" applyNumberFormat="1" applyFont="1" applyBorder="1" applyAlignment="1">
      <alignment horizontal="right" vertical="center"/>
    </xf>
    <xf numFmtId="165" fontId="35" fillId="0" borderId="53" xfId="0" applyNumberFormat="1" applyFont="1" applyBorder="1" applyAlignment="1">
      <alignment horizontal="right" vertical="center"/>
    </xf>
    <xf numFmtId="165" fontId="35" fillId="0" borderId="54" xfId="0" applyNumberFormat="1" applyFont="1" applyBorder="1" applyAlignment="1">
      <alignment horizontal="right" vertical="center"/>
    </xf>
    <xf numFmtId="165" fontId="20" fillId="0" borderId="54" xfId="0" applyNumberFormat="1" applyFont="1" applyBorder="1" applyAlignment="1">
      <alignment horizontal="right" vertical="center"/>
    </xf>
    <xf numFmtId="165" fontId="35" fillId="0" borderId="52" xfId="0" applyNumberFormat="1" applyFont="1" applyBorder="1" applyAlignment="1">
      <alignment horizontal="right" vertical="center"/>
    </xf>
    <xf numFmtId="165" fontId="20" fillId="0" borderId="52" xfId="0" applyNumberFormat="1" applyFont="1" applyBorder="1" applyAlignment="1">
      <alignment horizontal="right" vertical="center"/>
    </xf>
    <xf numFmtId="165" fontId="35" fillId="0" borderId="55" xfId="0" applyNumberFormat="1" applyFont="1" applyBorder="1" applyAlignment="1">
      <alignment horizontal="right" vertical="center"/>
    </xf>
    <xf numFmtId="165" fontId="20" fillId="0" borderId="55" xfId="0" applyNumberFormat="1" applyFont="1" applyBorder="1" applyAlignment="1">
      <alignment horizontal="right" vertical="center"/>
    </xf>
    <xf numFmtId="165" fontId="19" fillId="0" borderId="0" xfId="0" applyNumberFormat="1" applyFont="1" applyAlignment="1">
      <alignment horizontal="right" vertical="center"/>
    </xf>
    <xf numFmtId="165" fontId="33" fillId="0" borderId="0" xfId="0" applyNumberFormat="1" applyFont="1" applyAlignment="1">
      <alignment horizontal="right" vertical="center"/>
    </xf>
    <xf numFmtId="165" fontId="19" fillId="0" borderId="55" xfId="0" applyNumberFormat="1" applyFont="1" applyBorder="1" applyAlignment="1">
      <alignment horizontal="right" vertical="center"/>
    </xf>
    <xf numFmtId="165" fontId="33" fillId="0" borderId="55" xfId="0" applyNumberFormat="1" applyFont="1" applyBorder="1" applyAlignment="1">
      <alignment horizontal="right" vertical="center"/>
    </xf>
    <xf numFmtId="165" fontId="35" fillId="0" borderId="0" xfId="0" applyNumberFormat="1" applyFont="1" applyBorder="1" applyAlignment="1">
      <alignment horizontal="right" vertical="center"/>
    </xf>
    <xf numFmtId="165" fontId="20" fillId="0" borderId="0" xfId="0" applyNumberFormat="1" applyFont="1" applyBorder="1" applyAlignment="1">
      <alignment horizontal="right" vertical="center"/>
    </xf>
    <xf numFmtId="165" fontId="16" fillId="2" borderId="0" xfId="0" applyNumberFormat="1" applyFont="1" applyFill="1" applyAlignment="1"/>
    <xf numFmtId="0" fontId="16" fillId="2" borderId="0" xfId="0" applyFont="1" applyFill="1" applyAlignment="1">
      <alignment horizontal="right"/>
    </xf>
    <xf numFmtId="3" fontId="16" fillId="2" borderId="0" xfId="0" applyNumberFormat="1" applyFont="1" applyFill="1" applyAlignment="1">
      <alignment horizontal="right"/>
    </xf>
    <xf numFmtId="165" fontId="16" fillId="0" borderId="32" xfId="0" applyNumberFormat="1" applyFont="1" applyFill="1" applyBorder="1" applyAlignment="1"/>
    <xf numFmtId="169" fontId="16" fillId="0" borderId="0" xfId="8" applyNumberFormat="1" applyFont="1" applyFill="1" applyAlignment="1"/>
    <xf numFmtId="165" fontId="14" fillId="12" borderId="0" xfId="0" applyNumberFormat="1" applyFont="1" applyFill="1" applyAlignment="1">
      <alignment vertical="center"/>
    </xf>
    <xf numFmtId="0" fontId="0" fillId="6" borderId="32" xfId="0" applyNumberFormat="1" applyFill="1" applyBorder="1"/>
    <xf numFmtId="165" fontId="43" fillId="0" borderId="18" xfId="0" applyNumberFormat="1" applyFont="1" applyBorder="1"/>
    <xf numFmtId="165" fontId="43" fillId="0" borderId="22" xfId="0" applyNumberFormat="1" applyFont="1" applyBorder="1"/>
    <xf numFmtId="165" fontId="43" fillId="0" borderId="25" xfId="0" applyNumberFormat="1" applyFont="1" applyBorder="1"/>
    <xf numFmtId="165" fontId="44" fillId="0" borderId="0" xfId="0" applyNumberFormat="1" applyFont="1"/>
    <xf numFmtId="165" fontId="0" fillId="0" borderId="0" xfId="0" applyNumberFormat="1" applyFont="1" applyFill="1"/>
    <xf numFmtId="165" fontId="45" fillId="0" borderId="50" xfId="9" applyNumberFormat="1" applyFont="1" applyFill="1" applyBorder="1"/>
    <xf numFmtId="165" fontId="45" fillId="0" borderId="51" xfId="9" applyNumberFormat="1" applyFont="1" applyFill="1" applyBorder="1"/>
    <xf numFmtId="165" fontId="46" fillId="0" borderId="0" xfId="9" applyNumberFormat="1" applyFont="1" applyFill="1"/>
    <xf numFmtId="165" fontId="0" fillId="0" borderId="0" xfId="0" quotePrefix="1" applyNumberFormat="1"/>
    <xf numFmtId="165" fontId="46" fillId="0" borderId="1" xfId="0" applyNumberFormat="1" applyFont="1" applyFill="1" applyBorder="1"/>
    <xf numFmtId="165" fontId="46" fillId="0" borderId="1" xfId="0" applyNumberFormat="1" applyFont="1" applyBorder="1"/>
    <xf numFmtId="165" fontId="46" fillId="0" borderId="0" xfId="0" applyNumberFormat="1" applyFont="1" applyFill="1"/>
    <xf numFmtId="165" fontId="46" fillId="0" borderId="0" xfId="0" applyNumberFormat="1" applyFont="1"/>
    <xf numFmtId="165" fontId="47" fillId="0" borderId="1" xfId="0" applyNumberFormat="1" applyFont="1" applyBorder="1" applyAlignment="1">
      <alignment horizontal="center"/>
    </xf>
    <xf numFmtId="165" fontId="25" fillId="4" borderId="1" xfId="0" applyNumberFormat="1" applyFont="1" applyFill="1" applyBorder="1"/>
    <xf numFmtId="0" fontId="46" fillId="0" borderId="1" xfId="0" applyNumberFormat="1" applyFont="1" applyBorder="1"/>
    <xf numFmtId="165" fontId="45" fillId="0" borderId="0" xfId="0" quotePrefix="1" applyNumberFormat="1" applyFont="1" applyFill="1" applyAlignment="1">
      <alignment horizontal="center"/>
    </xf>
    <xf numFmtId="174" fontId="0" fillId="0" borderId="0" xfId="0" applyNumberFormat="1" applyAlignment="1">
      <alignment horizontal="center"/>
    </xf>
    <xf numFmtId="165" fontId="0" fillId="0" borderId="4" xfId="0" applyNumberFormat="1" applyBorder="1"/>
    <xf numFmtId="165" fontId="0" fillId="0" borderId="50" xfId="0" applyNumberFormat="1" applyBorder="1"/>
    <xf numFmtId="165" fontId="0" fillId="0" borderId="5" xfId="0" applyNumberFormat="1" applyBorder="1"/>
    <xf numFmtId="165" fontId="0" fillId="3" borderId="0" xfId="0" applyNumberFormat="1" applyFill="1"/>
    <xf numFmtId="174" fontId="0" fillId="0" borderId="0" xfId="0" applyNumberFormat="1" applyAlignment="1"/>
    <xf numFmtId="165" fontId="0" fillId="0" borderId="32" xfId="0" applyNumberFormat="1" applyBorder="1"/>
    <xf numFmtId="166" fontId="1" fillId="6" borderId="4" xfId="0" applyNumberFormat="1" applyFont="1" applyFill="1" applyBorder="1" applyAlignment="1">
      <alignment horizontal="center"/>
    </xf>
    <xf numFmtId="166" fontId="1" fillId="6" borderId="5" xfId="0" applyNumberFormat="1" applyFont="1" applyFill="1" applyBorder="1" applyAlignment="1">
      <alignment horizontal="center"/>
    </xf>
    <xf numFmtId="0" fontId="6" fillId="8" borderId="6" xfId="1" applyFont="1" applyFill="1" applyBorder="1" applyAlignment="1">
      <alignment horizontal="center" vertical="center" wrapText="1"/>
    </xf>
    <xf numFmtId="0" fontId="6" fillId="8" borderId="12" xfId="1" applyFont="1" applyFill="1" applyBorder="1" applyAlignment="1">
      <alignment horizontal="center" vertical="center" wrapText="1"/>
    </xf>
    <xf numFmtId="0" fontId="6" fillId="8" borderId="7" xfId="1" applyFont="1" applyFill="1" applyBorder="1" applyAlignment="1" applyProtection="1">
      <alignment horizontal="center" vertical="center" wrapText="1"/>
    </xf>
    <xf numFmtId="0" fontId="6" fillId="8" borderId="10" xfId="1" applyFont="1" applyFill="1" applyBorder="1" applyAlignment="1" applyProtection="1">
      <alignment horizontal="center" vertical="center" wrapText="1"/>
    </xf>
    <xf numFmtId="0" fontId="6" fillId="8" borderId="8" xfId="1" applyFont="1" applyFill="1" applyBorder="1" applyAlignment="1" applyProtection="1">
      <alignment horizontal="center" vertical="center" wrapText="1"/>
    </xf>
    <xf numFmtId="0" fontId="6" fillId="8" borderId="11" xfId="1" applyFont="1" applyFill="1" applyBorder="1" applyAlignment="1" applyProtection="1">
      <alignment horizontal="center" vertical="center" wrapText="1"/>
    </xf>
    <xf numFmtId="0" fontId="6" fillId="8" borderId="9" xfId="1" applyFont="1" applyFill="1" applyBorder="1" applyAlignment="1">
      <alignment horizontal="center" vertical="center" wrapText="1"/>
    </xf>
    <xf numFmtId="43" fontId="6" fillId="8" borderId="6" xfId="2" applyNumberFormat="1" applyFont="1" applyFill="1" applyBorder="1" applyAlignment="1">
      <alignment horizontal="center" vertical="center" wrapText="1"/>
    </xf>
    <xf numFmtId="43" fontId="6" fillId="8" borderId="12" xfId="2" applyNumberFormat="1" applyFont="1" applyFill="1" applyBorder="1" applyAlignment="1">
      <alignment horizontal="center" vertical="center" wrapText="1"/>
    </xf>
    <xf numFmtId="0" fontId="6" fillId="8" borderId="15" xfId="1" applyFont="1" applyFill="1" applyBorder="1" applyAlignment="1">
      <alignment horizontal="center" vertical="center" wrapText="1"/>
    </xf>
    <xf numFmtId="0" fontId="6" fillId="8" borderId="16" xfId="1" applyFont="1" applyFill="1" applyBorder="1" applyAlignment="1">
      <alignment horizontal="center" vertical="center" wrapText="1"/>
    </xf>
    <xf numFmtId="43" fontId="6" fillId="8" borderId="15" xfId="2" applyNumberFormat="1" applyFont="1" applyFill="1" applyBorder="1" applyAlignment="1">
      <alignment horizontal="center" vertical="center" wrapText="1"/>
    </xf>
    <xf numFmtId="43" fontId="6" fillId="8" borderId="16" xfId="2" applyNumberFormat="1" applyFont="1" applyFill="1" applyBorder="1" applyAlignment="1">
      <alignment horizontal="center" vertical="center" wrapText="1"/>
    </xf>
    <xf numFmtId="165" fontId="6" fillId="8" borderId="6" xfId="2" applyNumberFormat="1" applyFont="1" applyFill="1" applyBorder="1" applyAlignment="1">
      <alignment horizontal="center" vertical="center" wrapText="1"/>
    </xf>
    <xf numFmtId="165" fontId="6" fillId="8" borderId="13" xfId="2" applyNumberFormat="1" applyFont="1" applyFill="1" applyBorder="1" applyAlignment="1">
      <alignment horizontal="center" vertical="center" wrapText="1"/>
    </xf>
    <xf numFmtId="43" fontId="15" fillId="13" borderId="28" xfId="0" applyNumberFormat="1" applyFont="1" applyFill="1" applyBorder="1" applyAlignment="1">
      <alignment horizontal="center" vertical="center" wrapText="1"/>
    </xf>
    <xf numFmtId="43" fontId="15" fillId="13" borderId="29" xfId="0" applyNumberFormat="1" applyFont="1" applyFill="1" applyBorder="1" applyAlignment="1">
      <alignment horizontal="center" vertical="center" wrapText="1"/>
    </xf>
    <xf numFmtId="43" fontId="15" fillId="13" borderId="30" xfId="0" applyNumberFormat="1" applyFont="1" applyFill="1" applyBorder="1" applyAlignment="1">
      <alignment horizontal="center" vertical="center" wrapText="1"/>
    </xf>
    <xf numFmtId="43" fontId="15" fillId="13" borderId="31" xfId="0" applyNumberFormat="1" applyFont="1" applyFill="1" applyBorder="1" applyAlignment="1">
      <alignment horizontal="center" vertical="center" wrapText="1"/>
    </xf>
    <xf numFmtId="49" fontId="6" fillId="8" borderId="9" xfId="1" applyNumberFormat="1" applyFont="1" applyFill="1" applyBorder="1" applyAlignment="1">
      <alignment horizontal="center" vertical="center" wrapText="1"/>
    </xf>
    <xf numFmtId="49" fontId="6" fillId="8" borderId="6" xfId="1" applyNumberFormat="1" applyFont="1" applyFill="1" applyBorder="1" applyAlignment="1">
      <alignment horizontal="center" vertical="center" wrapText="1"/>
    </xf>
    <xf numFmtId="43" fontId="6" fillId="8" borderId="9" xfId="2" applyNumberFormat="1" applyFont="1" applyFill="1" applyBorder="1" applyAlignment="1">
      <alignment horizontal="center" vertical="center" wrapText="1"/>
    </xf>
    <xf numFmtId="0" fontId="6" fillId="9" borderId="6" xfId="1" applyFont="1" applyFill="1" applyBorder="1" applyAlignment="1">
      <alignment horizontal="center" vertical="center" wrapText="1"/>
    </xf>
    <xf numFmtId="0" fontId="6" fillId="9" borderId="12" xfId="1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/>
    </xf>
    <xf numFmtId="17" fontId="17" fillId="3" borderId="0" xfId="6" applyNumberFormat="1" applyFont="1" applyFill="1" applyAlignment="1">
      <alignment horizontal="center"/>
    </xf>
    <xf numFmtId="0" fontId="18" fillId="0" borderId="32" xfId="0" applyFont="1" applyBorder="1" applyAlignment="1">
      <alignment horizontal="center"/>
    </xf>
    <xf numFmtId="41" fontId="18" fillId="0" borderId="32" xfId="5" applyFont="1" applyBorder="1" applyAlignment="1">
      <alignment horizontal="center"/>
    </xf>
    <xf numFmtId="0" fontId="6" fillId="8" borderId="17" xfId="1" applyFont="1" applyFill="1" applyBorder="1" applyAlignment="1" applyProtection="1">
      <alignment horizontal="center" vertical="center" wrapText="1"/>
    </xf>
    <xf numFmtId="0" fontId="6" fillId="8" borderId="10" xfId="0" applyFont="1" applyFill="1" applyBorder="1" applyAlignment="1" applyProtection="1">
      <alignment horizontal="center" vertical="center" wrapText="1"/>
    </xf>
    <xf numFmtId="0" fontId="6" fillId="8" borderId="17" xfId="0" applyFont="1" applyFill="1" applyBorder="1" applyAlignment="1" applyProtection="1">
      <alignment horizontal="center" vertical="center" wrapText="1"/>
    </xf>
    <xf numFmtId="0" fontId="6" fillId="14" borderId="10" xfId="1" applyFont="1" applyFill="1" applyBorder="1" applyAlignment="1" applyProtection="1">
      <alignment horizontal="center" vertical="center" wrapText="1"/>
    </xf>
    <xf numFmtId="0" fontId="6" fillId="14" borderId="17" xfId="1" applyFont="1" applyFill="1" applyBorder="1" applyAlignment="1" applyProtection="1">
      <alignment horizontal="center" vertical="center" wrapText="1"/>
    </xf>
    <xf numFmtId="174" fontId="6" fillId="8" borderId="10" xfId="0" applyNumberFormat="1" applyFont="1" applyFill="1" applyBorder="1" applyAlignment="1" applyProtection="1">
      <alignment horizontal="center" vertical="center" wrapText="1"/>
    </xf>
    <xf numFmtId="174" fontId="6" fillId="8" borderId="17" xfId="0" applyNumberFormat="1" applyFont="1" applyFill="1" applyBorder="1" applyAlignment="1" applyProtection="1">
      <alignment horizontal="center" vertical="center" wrapText="1"/>
    </xf>
    <xf numFmtId="165" fontId="1" fillId="6" borderId="20" xfId="0" applyNumberFormat="1" applyFont="1" applyFill="1" applyBorder="1" applyAlignment="1">
      <alignment horizontal="center"/>
    </xf>
    <xf numFmtId="165" fontId="1" fillId="6" borderId="33" xfId="0" applyNumberFormat="1" applyFont="1" applyFill="1" applyBorder="1" applyAlignment="1">
      <alignment horizontal="center"/>
    </xf>
    <xf numFmtId="165" fontId="1" fillId="6" borderId="21" xfId="0" applyNumberFormat="1" applyFont="1" applyFill="1" applyBorder="1" applyAlignment="1">
      <alignment horizontal="center"/>
    </xf>
    <xf numFmtId="165" fontId="1" fillId="6" borderId="4" xfId="0" applyNumberFormat="1" applyFont="1" applyFill="1" applyBorder="1" applyAlignment="1">
      <alignment horizontal="center"/>
    </xf>
    <xf numFmtId="165" fontId="1" fillId="6" borderId="50" xfId="0" applyNumberFormat="1" applyFont="1" applyFill="1" applyBorder="1" applyAlignment="1">
      <alignment horizontal="center"/>
    </xf>
    <xf numFmtId="165" fontId="1" fillId="6" borderId="5" xfId="0" applyNumberFormat="1" applyFont="1" applyFill="1" applyBorder="1" applyAlignment="1">
      <alignment horizontal="center"/>
    </xf>
    <xf numFmtId="43" fontId="15" fillId="13" borderId="48" xfId="1" applyNumberFormat="1" applyFont="1" applyFill="1" applyBorder="1" applyAlignment="1">
      <alignment horizontal="center" vertical="center" wrapText="1"/>
    </xf>
    <xf numFmtId="43" fontId="15" fillId="13" borderId="49" xfId="1" applyNumberFormat="1" applyFont="1" applyFill="1" applyBorder="1" applyAlignment="1">
      <alignment horizontal="center" vertical="center" wrapText="1"/>
    </xf>
    <xf numFmtId="0" fontId="6" fillId="8" borderId="13" xfId="1" applyFont="1" applyFill="1" applyBorder="1" applyAlignment="1">
      <alignment horizontal="center" vertical="center" wrapText="1"/>
    </xf>
    <xf numFmtId="0" fontId="6" fillId="8" borderId="9" xfId="1" applyNumberFormat="1" applyFont="1" applyFill="1" applyBorder="1" applyAlignment="1">
      <alignment horizontal="center" vertical="center" wrapText="1"/>
    </xf>
    <xf numFmtId="0" fontId="6" fillId="8" borderId="6" xfId="1" applyNumberFormat="1" applyFont="1" applyFill="1" applyBorder="1" applyAlignment="1">
      <alignment horizontal="center" vertical="center" wrapText="1"/>
    </xf>
    <xf numFmtId="166" fontId="6" fillId="8" borderId="9" xfId="2" applyNumberFormat="1" applyFont="1" applyFill="1" applyBorder="1" applyAlignment="1">
      <alignment horizontal="center" vertical="center" wrapText="1"/>
    </xf>
    <xf numFmtId="166" fontId="6" fillId="8" borderId="6" xfId="2" applyNumberFormat="1" applyFont="1" applyFill="1" applyBorder="1" applyAlignment="1">
      <alignment horizontal="center" vertical="center" wrapText="1"/>
    </xf>
    <xf numFmtId="0" fontId="2" fillId="6" borderId="0" xfId="1" applyNumberFormat="1" applyFont="1" applyFill="1" applyAlignment="1">
      <alignment horizontal="center"/>
    </xf>
    <xf numFmtId="165" fontId="34" fillId="0" borderId="53" xfId="1" applyNumberFormat="1" applyFont="1" applyBorder="1" applyAlignment="1">
      <alignment horizontal="center" vertical="center" wrapText="1"/>
    </xf>
    <xf numFmtId="165" fontId="20" fillId="0" borderId="0" xfId="1" applyNumberFormat="1" applyFont="1" applyFill="1" applyAlignment="1">
      <alignment vertical="center" wrapText="1"/>
    </xf>
    <xf numFmtId="165" fontId="19" fillId="0" borderId="0" xfId="1" applyNumberFormat="1" applyFont="1" applyFill="1" applyAlignment="1">
      <alignment vertical="center" wrapText="1"/>
    </xf>
  </cellXfs>
  <cellStyles count="10">
    <cellStyle name="Millares" xfId="4" builtinId="3"/>
    <cellStyle name="Millares [0]" xfId="5" builtinId="6"/>
    <cellStyle name="Millares 2" xfId="2" xr:uid="{99B87A66-26B3-CF47-8ECE-667400253C1B}"/>
    <cellStyle name="Millares 3" xfId="7" xr:uid="{F3464271-5451-9844-85BC-5E95FF7D98B5}"/>
    <cellStyle name="Normal" xfId="0" builtinId="0"/>
    <cellStyle name="Normal 2" xfId="1" xr:uid="{A0D8E00E-92E8-5F40-83CB-B1D6E847B4D7}"/>
    <cellStyle name="Normal 2 2" xfId="6" xr:uid="{A3EC6AE6-8856-3E4F-9DC7-62D6D2A86C68}"/>
    <cellStyle name="Normal 2 2 2" xfId="9" xr:uid="{D1EBE5E1-A2CE-0C44-9513-BAE20F9F4EDD}"/>
    <cellStyle name="Porcentaje" xfId="8" builtinId="5"/>
    <cellStyle name="Porcentaje 2" xfId="3" xr:uid="{60E6AE6D-00AC-8F4E-9DA2-FBE04F2F291D}"/>
  </cellStyles>
  <dxfs count="247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  <dxf>
      <numFmt numFmtId="165" formatCode="#,##0;[Red]\(#,##0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Apple%20220415/Dropbox/planillas%202014/Maestro/MAESTRO%20PLANILLAS/Planillas%20PYMES/1.%20Efectivo%20y%20Equivalentes%20de%20efec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uario de Microsoft Office" refreshedDate="44533.634823148146" createdVersion="6" refreshedVersion="6" minRefreshableVersion="3" recordCount="190" xr:uid="{E29DACCD-7D9B-3644-A9E2-001CDB35B0F1}">
  <cacheSource type="worksheet">
    <worksheetSource ref="A4:M194" sheet="HW PYMES"/>
  </cacheSource>
  <cacheFields count="13">
    <cacheField name="Cta.mayor" numFmtId="0">
      <sharedItems containsSemiMixedTypes="0" containsString="0" containsNumber="1" containsInteger="1" minValue="11051000" maxValue="80000000"/>
    </cacheField>
    <cacheField name="Texto breve" numFmtId="0">
      <sharedItems/>
    </cacheField>
    <cacheField name="ID" numFmtId="0">
      <sharedItems containsString="0" containsBlank="1" containsNumber="1" containsInteger="1" minValue="10" maxValue="55" count="27">
        <n v="10"/>
        <n v="11"/>
        <n v="12"/>
        <n v="13"/>
        <n v="14"/>
        <n v="15"/>
        <n v="16"/>
        <n v="17"/>
        <n v="21"/>
        <n v="23"/>
        <n v="22"/>
        <n v="24"/>
        <n v="29"/>
        <n v="28"/>
        <n v="31"/>
        <n v="32"/>
        <n v="37"/>
        <n v="38"/>
        <n v="39"/>
        <n v="41"/>
        <n v="53"/>
        <n v="54"/>
        <n v="52"/>
        <n v="51"/>
        <n v="55"/>
        <n v="42"/>
        <m/>
      </sharedItems>
    </cacheField>
    <cacheField name="NIIF ESF" numFmtId="0">
      <sharedItems count="28">
        <s v="Efectivo"/>
        <s v="Cuentas comerciales por cobrar"/>
        <s v="Otras cuentas por cobrar"/>
        <s v="Activos por impuestos corrientes"/>
        <s v="Equivalente al efectivo"/>
        <s v="Inventarios"/>
        <s v="Propiedades, planta y equipo"/>
        <s v="Activos por derecho de uso"/>
        <s v="Activos intangibles"/>
        <s v="Obligaciones financieras"/>
        <s v="Pasivos por arrendamientos"/>
        <s v="Cuentas por pagar a partes relacionadas"/>
        <s v="Cuentas comerciales por pagar y otras cuentas por pagar"/>
        <s v="Pasivos por impuestos corrientes"/>
        <s v="Pasivos por impuestos diferidos"/>
        <s v="Anticipos recibidos"/>
        <s v="Capital suscrito y pagado"/>
        <s v="Resultados acumulados"/>
        <s v="Adopción por primera vez"/>
        <s v="Otros resultados integrales"/>
        <s v="Ingresos de actividades ordinarias"/>
        <s v="Financieros, neto"/>
        <s v="Diferencia en cambio, neta"/>
        <s v="Otros (ingresos) gastos operativos, netos"/>
        <s v="Otros gastos operativos, neto"/>
        <s v="Gasto por impuesto sobre la renta"/>
        <s v="Costos de venta de bienes y servicios"/>
        <s v="Cuenta puente"/>
      </sharedItems>
    </cacheField>
    <cacheField name="Saldo 31 Dic 2019" numFmtId="165">
      <sharedItems containsSemiMixedTypes="0" containsString="0" containsNumber="1" minValue="-27116624669" maxValue="14230795912.620001"/>
    </cacheField>
    <cacheField name="Movimiento 2020" numFmtId="165">
      <sharedItems containsSemiMixedTypes="0" containsString="0" containsNumber="1" minValue="-8370807078.5900002" maxValue="8422473409.9700003"/>
    </cacheField>
    <cacheField name="Débito" numFmtId="166">
      <sharedItems containsNonDate="0" containsString="0" containsBlank="1"/>
    </cacheField>
    <cacheField name="Crédito" numFmtId="166">
      <sharedItems containsNonDate="0" containsString="0" containsBlank="1"/>
    </cacheField>
    <cacheField name="Saldo 31 Dic 2020" numFmtId="165">
      <sharedItems containsSemiMixedTypes="0" containsString="0" containsNumber="1" minValue="-32481759055.260002" maxValue="16644355168.470001"/>
    </cacheField>
    <cacheField name="Movimiento 2021" numFmtId="165">
      <sharedItems containsSemiMixedTypes="0" containsString="0" containsNumber="1" minValue="-9252121752.6399994" maxValue="7343203636.6800003"/>
    </cacheField>
    <cacheField name="Débito2" numFmtId="166">
      <sharedItems containsNonDate="0" containsString="0" containsBlank="1"/>
    </cacheField>
    <cacheField name="Crédito2" numFmtId="166">
      <sharedItems containsNonDate="0" containsString="0" containsBlank="1"/>
    </cacheField>
    <cacheField name="Saldo 31 Dic 2021" numFmtId="165">
      <sharedItems containsSemiMixedTypes="0" containsString="0" containsNumber="1" minValue="-32481759055.260002" maxValue="16160989071.61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">
  <r>
    <n v="11051000"/>
    <s v="Caja menores"/>
    <x v="0"/>
    <x v="0"/>
    <n v="7131366"/>
    <n v="2365544.44"/>
    <m/>
    <m/>
    <n v="9496910.4399999995"/>
    <n v="-8866931.2599999998"/>
    <m/>
    <m/>
    <n v="629979.1799999997"/>
  </r>
  <r>
    <n v="11100502"/>
    <s v="BANCO BILBAO VIZ. ARGENTARIA- BBVA (COP)"/>
    <x v="0"/>
    <x v="0"/>
    <n v="430445855"/>
    <n v="-364223788.19999999"/>
    <m/>
    <m/>
    <n v="66222066.800000012"/>
    <n v="697533707.79999995"/>
    <m/>
    <m/>
    <n v="763755774.5999999"/>
  </r>
  <r>
    <n v="11200500"/>
    <s v="Cta.ahorro, bancos"/>
    <x v="0"/>
    <x v="0"/>
    <n v="0"/>
    <n v="0"/>
    <m/>
    <m/>
    <n v="0"/>
    <n v="1398097.11"/>
    <m/>
    <m/>
    <n v="1398097.11"/>
  </r>
  <r>
    <n v="11200501"/>
    <s v="Ctas. de ahorro, AV VILLAS"/>
    <x v="0"/>
    <x v="0"/>
    <n v="0"/>
    <n v="0"/>
    <m/>
    <m/>
    <n v="0"/>
    <n v="4357.74"/>
    <m/>
    <m/>
    <n v="4357.74"/>
  </r>
  <r>
    <n v="11200502"/>
    <s v="Ctas. de ahorro, AV VILLAS 2"/>
    <x v="0"/>
    <x v="0"/>
    <n v="0"/>
    <n v="0"/>
    <m/>
    <m/>
    <n v="0"/>
    <n v="474695.38"/>
    <m/>
    <m/>
    <n v="474695.38"/>
  </r>
  <r>
    <n v="11200503"/>
    <s v="Ctas. de ahorro, AV VILLAS 3"/>
    <x v="0"/>
    <x v="0"/>
    <n v="0"/>
    <n v="0"/>
    <m/>
    <m/>
    <n v="0"/>
    <n v="2197898.94"/>
    <m/>
    <m/>
    <n v="2197898.94"/>
  </r>
  <r>
    <n v="11200504"/>
    <s v="Ctas. de ahorro, AV VILLAS 4"/>
    <x v="0"/>
    <x v="0"/>
    <n v="0"/>
    <n v="0"/>
    <m/>
    <m/>
    <n v="0"/>
    <n v="1983409.29"/>
    <m/>
    <m/>
    <n v="1983409.29"/>
  </r>
  <r>
    <n v="13050500"/>
    <s v="Deud.,client. nacion"/>
    <x v="1"/>
    <x v="1"/>
    <n v="949204100.69000006"/>
    <n v="1016678786.3200001"/>
    <m/>
    <m/>
    <n v="1965882887.0100002"/>
    <n v="-176524405.71000001"/>
    <m/>
    <m/>
    <n v="1789358481.3000002"/>
  </r>
  <r>
    <n v="13300500"/>
    <s v="Antic./avan. a prov."/>
    <x v="2"/>
    <x v="2"/>
    <n v="0"/>
    <n v="0"/>
    <m/>
    <m/>
    <n v="0"/>
    <n v="29798151"/>
    <m/>
    <m/>
    <n v="29798151"/>
  </r>
  <r>
    <n v="13301500"/>
    <s v="Antic./avan. a trab."/>
    <x v="2"/>
    <x v="2"/>
    <n v="20136142"/>
    <n v="-20136142"/>
    <m/>
    <m/>
    <n v="0"/>
    <n v="1226278"/>
    <m/>
    <m/>
    <n v="1226278"/>
  </r>
  <r>
    <n v="13550501"/>
    <s v="Antic.impto.renta"/>
    <x v="3"/>
    <x v="3"/>
    <n v="121343848"/>
    <n v="241492327.72999999"/>
    <m/>
    <m/>
    <n v="362836175.73000002"/>
    <n v="-67313354.930000007"/>
    <m/>
    <m/>
    <n v="295522820.80000001"/>
  </r>
  <r>
    <n v="13551800"/>
    <s v="Impto. de industria y comercio retenido"/>
    <x v="2"/>
    <x v="2"/>
    <n v="0"/>
    <n v="0"/>
    <m/>
    <m/>
    <n v="0"/>
    <n v="0"/>
    <m/>
    <m/>
    <n v="0"/>
  </r>
  <r>
    <n v="13552000"/>
    <s v="Sobr.liquid.priv.d.i"/>
    <x v="2"/>
    <x v="2"/>
    <n v="437579000"/>
    <n v="-55215000"/>
    <m/>
    <m/>
    <n v="382364000"/>
    <n v="-16549000"/>
    <m/>
    <m/>
    <n v="365815000"/>
  </r>
  <r>
    <n v="13801500"/>
    <s v="Deudores varios, fondo de inversión"/>
    <x v="0"/>
    <x v="4"/>
    <n v="0"/>
    <n v="1031998369.75"/>
    <m/>
    <m/>
    <n v="1031998369.75"/>
    <n v="-979820396.54999995"/>
    <m/>
    <m/>
    <n v="52177973.200000048"/>
  </r>
  <r>
    <n v="13809500"/>
    <s v="Deud. varios, otros"/>
    <x v="2"/>
    <x v="2"/>
    <n v="0"/>
    <n v="0"/>
    <m/>
    <m/>
    <n v="0"/>
    <n v="28853863.989999998"/>
    <m/>
    <m/>
    <n v="28853863.989999998"/>
  </r>
  <r>
    <n v="14000000"/>
    <s v="COMPRA DE MATERIAS PRIMAS (juego de inventarios)"/>
    <x v="4"/>
    <x v="5"/>
    <n v="0"/>
    <n v="0"/>
    <m/>
    <m/>
    <n v="0"/>
    <n v="-2881091.5"/>
    <m/>
    <m/>
    <n v="-2881091.5"/>
  </r>
  <r>
    <n v="14100100"/>
    <s v="Productos en proceso"/>
    <x v="4"/>
    <x v="5"/>
    <n v="0"/>
    <n v="0"/>
    <m/>
    <m/>
    <n v="0"/>
    <n v="23984.32"/>
    <m/>
    <m/>
    <n v="23984.32"/>
  </r>
  <r>
    <n v="14100101"/>
    <s v="Productos en proceso. Dif de precio"/>
    <x v="4"/>
    <x v="5"/>
    <n v="0"/>
    <n v="0"/>
    <m/>
    <m/>
    <n v="0"/>
    <n v="0"/>
    <m/>
    <m/>
    <n v="0"/>
  </r>
  <r>
    <n v="14200001"/>
    <s v="INVENTARIO DE CONTRATOS DE CONSTRUCCIÓN-COSTO"/>
    <x v="4"/>
    <x v="5"/>
    <n v="1264733852"/>
    <n v="-714357734"/>
    <m/>
    <m/>
    <n v="550376118"/>
    <n v="2035305368.7"/>
    <m/>
    <m/>
    <n v="2585681486.6999998"/>
  </r>
  <r>
    <n v="14200002"/>
    <s v="MATERIAS PRIMAS"/>
    <x v="4"/>
    <x v="5"/>
    <n v="97583258"/>
    <n v="98618576.579999998"/>
    <m/>
    <m/>
    <n v="196201834.57999998"/>
    <n v="-75039338.829999998"/>
    <m/>
    <m/>
    <n v="121162495.74999999"/>
  </r>
  <r>
    <n v="14200003"/>
    <s v="MATERIALES AUXILIARES"/>
    <x v="4"/>
    <x v="5"/>
    <n v="0"/>
    <n v="70450856.549999997"/>
    <m/>
    <m/>
    <n v="70450856.549999997"/>
    <n v="57225560.200000003"/>
    <m/>
    <m/>
    <n v="127676416.75"/>
  </r>
  <r>
    <n v="14200004"/>
    <s v="SUMINISTROS DIVERSOS"/>
    <x v="4"/>
    <x v="5"/>
    <n v="0"/>
    <n v="0"/>
    <m/>
    <m/>
    <n v="0"/>
    <n v="41882498.609999999"/>
    <m/>
    <m/>
    <n v="41882498.609999999"/>
  </r>
  <r>
    <n v="14200005"/>
    <s v="REPUESTOS"/>
    <x v="4"/>
    <x v="5"/>
    <n v="0"/>
    <n v="0"/>
    <m/>
    <m/>
    <n v="0"/>
    <n v="27284426.899999999"/>
    <m/>
    <m/>
    <n v="27284426.899999999"/>
  </r>
  <r>
    <n v="14300500"/>
    <s v="Productos terminados, manufacturados"/>
    <x v="4"/>
    <x v="5"/>
    <n v="0"/>
    <n v="0"/>
    <m/>
    <m/>
    <n v="0"/>
    <n v="217407445.02000001"/>
    <m/>
    <m/>
    <n v="217407445.02000001"/>
  </r>
  <r>
    <n v="15040000"/>
    <s v="Prop.,pl/equ.,terren"/>
    <x v="5"/>
    <x v="6"/>
    <n v="1694129760"/>
    <n v="0"/>
    <m/>
    <m/>
    <n v="1694129760"/>
    <n v="0"/>
    <m/>
    <m/>
    <n v="1694129760"/>
  </r>
  <r>
    <n v="19100400"/>
    <s v="Valoriz. prop., planta y equipo, terrenos"/>
    <x v="5"/>
    <x v="6"/>
    <n v="5956220240"/>
    <n v="0"/>
    <m/>
    <m/>
    <n v="5956220240"/>
    <n v="0"/>
    <m/>
    <m/>
    <n v="5956220240"/>
  </r>
  <r>
    <n v="15080000"/>
    <s v="CONSTRUCCIONES EN CURSO"/>
    <x v="5"/>
    <x v="6"/>
    <n v="47656611"/>
    <n v="-47656611"/>
    <m/>
    <m/>
    <n v="0"/>
    <n v="96606601.319999993"/>
    <m/>
    <m/>
    <n v="96606601.319999993"/>
  </r>
  <r>
    <n v="15080500"/>
    <s v="Constr.curso,constr/"/>
    <x v="5"/>
    <x v="6"/>
    <n v="0"/>
    <n v="0"/>
    <m/>
    <m/>
    <n v="0"/>
    <n v="0"/>
    <m/>
    <m/>
    <n v="0"/>
  </r>
  <r>
    <n v="15160000"/>
    <s v="Constr./edificacione"/>
    <x v="5"/>
    <x v="6"/>
    <n v="767877669"/>
    <n v="-0.2"/>
    <m/>
    <m/>
    <n v="767877668.79999995"/>
    <n v="0"/>
    <m/>
    <m/>
    <n v="767877668.79999995"/>
  </r>
  <r>
    <n v="15161000"/>
    <s v="Constr./edific.prod."/>
    <x v="5"/>
    <x v="6"/>
    <n v="7757906220"/>
    <n v="0"/>
    <m/>
    <m/>
    <n v="7757906220"/>
    <n v="0"/>
    <m/>
    <m/>
    <n v="7757906220"/>
  </r>
  <r>
    <n v="15162000"/>
    <s v="Constr./instalacione"/>
    <x v="5"/>
    <x v="6"/>
    <n v="719412180"/>
    <n v="0"/>
    <m/>
    <m/>
    <n v="719412180"/>
    <n v="24445958.859999999"/>
    <m/>
    <m/>
    <n v="743858138.86000001"/>
  </r>
  <r>
    <n v="15200000"/>
    <s v="Maqu/equ. adquirida"/>
    <x v="5"/>
    <x v="6"/>
    <n v="13432270478"/>
    <n v="852524793.63"/>
    <m/>
    <m/>
    <n v="14284795271.629999"/>
    <n v="578272399.53999996"/>
    <m/>
    <m/>
    <n v="14863067671.169998"/>
  </r>
  <r>
    <n v="15210000"/>
    <s v="Maqu/equ.herramienta"/>
    <x v="5"/>
    <x v="6"/>
    <n v="0"/>
    <n v="0"/>
    <m/>
    <m/>
    <n v="0"/>
    <n v="26369067"/>
    <m/>
    <m/>
    <n v="26369067"/>
  </r>
  <r>
    <n v="15240000"/>
    <s v="Equipo de oficina"/>
    <x v="5"/>
    <x v="6"/>
    <n v="40322293"/>
    <n v="7731695"/>
    <m/>
    <m/>
    <n v="48053988"/>
    <n v="0"/>
    <m/>
    <m/>
    <n v="48053988"/>
  </r>
  <r>
    <n v="15280000"/>
    <s v="Equ.comp./com."/>
    <x v="5"/>
    <x v="6"/>
    <n v="120981812"/>
    <n v="15662828.449999999"/>
    <m/>
    <m/>
    <n v="136644640.44999999"/>
    <n v="33917199"/>
    <m/>
    <m/>
    <n v="170561839.44999999"/>
  </r>
  <r>
    <n v="15400000"/>
    <s v="Flota/equ.de transpo"/>
    <x v="5"/>
    <x v="6"/>
    <n v="2343903438"/>
    <n v="124999999.55"/>
    <m/>
    <m/>
    <n v="2468903437.5500002"/>
    <n v="0"/>
    <m/>
    <m/>
    <n v="2468903437.5500002"/>
  </r>
  <r>
    <n v="15920500"/>
    <s v="Depreciación acumulada, construcciones y edificaci"/>
    <x v="5"/>
    <x v="6"/>
    <n v="-35549892"/>
    <n v="-17063948.280000001"/>
    <m/>
    <m/>
    <n v="-52613840.280000001"/>
    <n v="-17063948.199999999"/>
    <m/>
    <m/>
    <n v="-69677788.480000004"/>
  </r>
  <r>
    <n v="15920600"/>
    <s v="Depreciación acumulada, construcciones produccion"/>
    <x v="5"/>
    <x v="6"/>
    <n v="-359162325"/>
    <n v="-172397916"/>
    <m/>
    <m/>
    <n v="-531560241"/>
    <n v="-172397916"/>
    <m/>
    <m/>
    <n v="-703958157"/>
  </r>
  <r>
    <n v="15920700"/>
    <s v="Depreciación acumulada, instalaciones"/>
    <x v="5"/>
    <x v="6"/>
    <n v="-33306119.239999998"/>
    <n v="-15986937.77"/>
    <m/>
    <m/>
    <n v="-49293057.009999998"/>
    <n v="-16077477.92"/>
    <m/>
    <m/>
    <n v="-65370534.93"/>
  </r>
  <r>
    <n v="15921000"/>
    <s v="Depreciación acumulada, maquinaria y equipo"/>
    <x v="5"/>
    <x v="6"/>
    <n v="-1118537795"/>
    <n v="-683784568.14999998"/>
    <m/>
    <m/>
    <n v="-1802322363.1500001"/>
    <n v="-729723764.16999996"/>
    <m/>
    <m/>
    <n v="-2532046127.3200002"/>
  </r>
  <r>
    <n v="15921100"/>
    <s v="Depreciación acumulada, herramientas"/>
    <x v="5"/>
    <x v="6"/>
    <n v="0"/>
    <n v="0"/>
    <m/>
    <m/>
    <n v="0"/>
    <n v="-1114924.8500000001"/>
    <m/>
    <m/>
    <n v="-1114924.8500000001"/>
  </r>
  <r>
    <n v="15921500"/>
    <s v="Depr.acum,equ.d.ofic"/>
    <x v="5"/>
    <x v="6"/>
    <n v="-10649722"/>
    <n v="-4483244.83"/>
    <m/>
    <m/>
    <n v="-15132966.83"/>
    <n v="-4805398.8"/>
    <m/>
    <m/>
    <n v="-19938365.629999999"/>
  </r>
  <r>
    <n v="15922000"/>
    <s v="Depr.acum,comp/com."/>
    <x v="5"/>
    <x v="6"/>
    <n v="-26501240"/>
    <n v="-19427101.670000002"/>
    <m/>
    <m/>
    <n v="-45928341.670000002"/>
    <n v="-22150976.41"/>
    <m/>
    <m/>
    <n v="-68079318.079999998"/>
  </r>
  <r>
    <n v="15923500"/>
    <s v="Depr.acum,fl/equ.tra"/>
    <x v="5"/>
    <x v="6"/>
    <n v="-752173949"/>
    <n v="-236542909.88"/>
    <m/>
    <m/>
    <n v="-988716858.88"/>
    <n v="-242837353.91999999"/>
    <m/>
    <m/>
    <n v="-1231554212.8"/>
  </r>
  <r>
    <n v="16259500"/>
    <s v="Dr., otros"/>
    <x v="6"/>
    <x v="7"/>
    <n v="8453242.7300000004"/>
    <n v="-7245636.6200000001"/>
    <m/>
    <m/>
    <n v="1207606.1100000003"/>
    <n v="-1207606.1100000001"/>
    <m/>
    <m/>
    <n v="2.3283064365386963E-10"/>
  </r>
  <r>
    <n v="16259501"/>
    <s v="Intangible en curso"/>
    <x v="7"/>
    <x v="8"/>
    <n v="0"/>
    <n v="416249657.66000003"/>
    <m/>
    <m/>
    <n v="416249657.66000003"/>
    <n v="0"/>
    <m/>
    <m/>
    <n v="416249657.66000003"/>
  </r>
  <r>
    <n v="16350100"/>
    <s v="Licencias"/>
    <x v="7"/>
    <x v="8"/>
    <n v="25822233"/>
    <n v="78655308"/>
    <m/>
    <m/>
    <n v="104477541"/>
    <n v="21103846.199999999"/>
    <m/>
    <m/>
    <n v="125581387.2"/>
  </r>
  <r>
    <n v="16983000"/>
    <s v="Depreciación y/o amortización acumulada, derechos"/>
    <x v="7"/>
    <x v="8"/>
    <n v="0"/>
    <n v="0"/>
    <m/>
    <m/>
    <n v="0"/>
    <n v="0.23"/>
    <m/>
    <m/>
    <n v="0.23"/>
  </r>
  <r>
    <n v="16984000"/>
    <s v="Depreciación y/o amortización acumulada, licencias"/>
    <x v="7"/>
    <x v="8"/>
    <n v="-12037717"/>
    <n v="-382708.95"/>
    <m/>
    <m/>
    <n v="-12420425.949999999"/>
    <n v="-33609889.799999997"/>
    <m/>
    <m/>
    <n v="-46030315.75"/>
  </r>
  <r>
    <n v="21051000"/>
    <s v="Obligaciones financieras, bancos nacionales, pagar"/>
    <x v="8"/>
    <x v="9"/>
    <n v="-9578896000"/>
    <n v="-1300000000"/>
    <m/>
    <m/>
    <n v="-10878896000"/>
    <n v="0"/>
    <m/>
    <m/>
    <n v="-10878896000"/>
  </r>
  <r>
    <n v="21051001"/>
    <s v="Pasivos estim./prov., para costos y gastos, intere"/>
    <x v="8"/>
    <x v="9"/>
    <n v="-47382275"/>
    <n v="-16093077.59"/>
    <m/>
    <m/>
    <n v="-63475352.590000004"/>
    <n v="23486344.039999999"/>
    <m/>
    <m/>
    <n v="-39989008.550000004"/>
  </r>
  <r>
    <n v="21052000"/>
    <s v="Obl.fin,bannac,acept"/>
    <x v="8"/>
    <x v="9"/>
    <n v="-6070426"/>
    <n v="5790414"/>
    <m/>
    <m/>
    <n v="-280012"/>
    <n v="-122608"/>
    <m/>
    <m/>
    <n v="-402620"/>
  </r>
  <r>
    <n v="21953500"/>
    <s v="Obl.fin., otras obligaciones, otras"/>
    <x v="8"/>
    <x v="10"/>
    <n v="-37774893.869999997"/>
    <n v="28235243.579999998"/>
    <m/>
    <m/>
    <n v="-9539650.2899999991"/>
    <n v="9539650"/>
    <m/>
    <m/>
    <n v="-0.28999999910593033"/>
  </r>
  <r>
    <n v="22100100"/>
    <s v="Proveed. del exterio"/>
    <x v="9"/>
    <x v="11"/>
    <n v="-219766879"/>
    <n v="95836946.969999999"/>
    <m/>
    <m/>
    <n v="-123929932.03"/>
    <n v="-11852319.439999999"/>
    <m/>
    <m/>
    <n v="-135782251.47"/>
  </r>
  <r>
    <n v="23359500"/>
    <s v="Cost./gast.p.pagar,o"/>
    <x v="10"/>
    <x v="12"/>
    <n v="-2079134695"/>
    <n v="1072417945.5"/>
    <m/>
    <m/>
    <n v="-1006716749.5"/>
    <n v="-709991168.82000005"/>
    <m/>
    <m/>
    <n v="-1716707918.3200002"/>
  </r>
  <r>
    <n v="23550500"/>
    <s v="Deudas con accionist"/>
    <x v="9"/>
    <x v="11"/>
    <n v="0"/>
    <n v="-393256800"/>
    <m/>
    <m/>
    <n v="-393256800"/>
    <n v="393256799.99000001"/>
    <m/>
    <m/>
    <n v="-9.9999904632568359E-3"/>
  </r>
  <r>
    <n v="23650500"/>
    <s v="Ret.fuente,salar/pag"/>
    <x v="10"/>
    <x v="12"/>
    <n v="-6995000"/>
    <n v="-3000"/>
    <m/>
    <m/>
    <n v="-6998000"/>
    <n v="-1230000"/>
    <m/>
    <m/>
    <n v="-8228000"/>
  </r>
  <r>
    <n v="23654000"/>
    <s v="Ret.fuente,compras"/>
    <x v="10"/>
    <x v="12"/>
    <n v="-15469303"/>
    <n v="8428863.6400000006"/>
    <m/>
    <m/>
    <n v="-7040439.3599999994"/>
    <n v="-11739831.039999999"/>
    <m/>
    <m/>
    <n v="-18780270.399999999"/>
  </r>
  <r>
    <n v="23657001"/>
    <s v="Otras ret./ patrimon"/>
    <x v="10"/>
    <x v="12"/>
    <n v="-6572991"/>
    <n v="248723"/>
    <m/>
    <m/>
    <n v="-6324268"/>
    <n v="-3629318"/>
    <m/>
    <m/>
    <n v="-9953586"/>
  </r>
  <r>
    <n v="23670100"/>
    <s v="Impto.a l.ventas ret"/>
    <x v="10"/>
    <x v="12"/>
    <n v="-249670"/>
    <n v="249670"/>
    <m/>
    <m/>
    <n v="0"/>
    <n v="-2160847.7400000002"/>
    <m/>
    <m/>
    <n v="-2160847.7400000002"/>
  </r>
  <r>
    <n v="23680100"/>
    <s v="Impto.d.ind/com.rete"/>
    <x v="10"/>
    <x v="12"/>
    <n v="-3718420"/>
    <n v="1992138.3"/>
    <m/>
    <m/>
    <n v="-1726281.7"/>
    <n v="-783154.88"/>
    <m/>
    <m/>
    <n v="-2509436.58"/>
  </r>
  <r>
    <n v="23680101"/>
    <s v="Impto. de industria y comercio retenido Municipal"/>
    <x v="10"/>
    <x v="12"/>
    <n v="-152250"/>
    <n v="152250"/>
    <m/>
    <m/>
    <n v="0"/>
    <n v="0"/>
    <m/>
    <m/>
    <n v="0"/>
  </r>
  <r>
    <n v="23700500"/>
    <s v="Aport.promot.saludEP"/>
    <x v="10"/>
    <x v="12"/>
    <n v="-12908000"/>
    <n v="2961700"/>
    <m/>
    <m/>
    <n v="-9946300"/>
    <n v="-5344939"/>
    <m/>
    <m/>
    <n v="-15291239"/>
  </r>
  <r>
    <n v="23700600"/>
    <s v="Aport.adm.riesgprofA"/>
    <x v="10"/>
    <x v="12"/>
    <n v="-13225500"/>
    <n v="2879200"/>
    <m/>
    <m/>
    <n v="-10346300"/>
    <n v="-7556299"/>
    <m/>
    <m/>
    <n v="-17902599"/>
  </r>
  <r>
    <n v="23701000"/>
    <s v="Aport.ICBF,SENA,cajc"/>
    <x v="10"/>
    <x v="12"/>
    <n v="-11215400"/>
    <n v="2428800"/>
    <m/>
    <m/>
    <n v="-8786600"/>
    <n v="-5272683"/>
    <m/>
    <m/>
    <n v="-14059283"/>
  </r>
  <r>
    <n v="23702500"/>
    <s v="Embargos judiciales"/>
    <x v="10"/>
    <x v="12"/>
    <n v="0"/>
    <n v="-1240532"/>
    <m/>
    <m/>
    <n v="-1240532"/>
    <n v="1240532"/>
    <m/>
    <m/>
    <n v="0"/>
  </r>
  <r>
    <n v="23704500"/>
    <s v="Fondos"/>
    <x v="10"/>
    <x v="12"/>
    <n v="0"/>
    <n v="-5070000"/>
    <m/>
    <m/>
    <n v="-5070000"/>
    <n v="5070000"/>
    <m/>
    <m/>
    <n v="0"/>
  </r>
  <r>
    <n v="23803000"/>
    <s v="Acreed.var.,fond.ces"/>
    <x v="10"/>
    <x v="12"/>
    <n v="-37083500"/>
    <n v="8643700"/>
    <m/>
    <m/>
    <n v="-28439800"/>
    <n v="-68692763"/>
    <m/>
    <m/>
    <n v="-97132563"/>
  </r>
  <r>
    <n v="24040500"/>
    <s v="Imptos,grav.vig.fisc"/>
    <x v="11"/>
    <x v="13"/>
    <n v="0"/>
    <n v="0"/>
    <m/>
    <m/>
    <n v="0"/>
    <n v="0"/>
    <m/>
    <m/>
    <n v="0"/>
  </r>
  <r>
    <n v="24080100"/>
    <s v="Impto.s.l.ventas p.p"/>
    <x v="10"/>
    <x v="12"/>
    <n v="0"/>
    <n v="0"/>
    <m/>
    <m/>
    <n v="0"/>
    <n v="0.97"/>
    <m/>
    <m/>
    <n v="0.97"/>
  </r>
  <r>
    <n v="24120500"/>
    <s v="Impto. de industria y comercio, vigencia fiscal co"/>
    <x v="10"/>
    <x v="12"/>
    <n v="0"/>
    <n v="0"/>
    <m/>
    <m/>
    <n v="0"/>
    <n v="0"/>
    <m/>
    <m/>
    <n v="0"/>
  </r>
  <r>
    <n v="25050100"/>
    <s v="Obl.lab,salarios p.p"/>
    <x v="10"/>
    <x v="12"/>
    <n v="-397857"/>
    <n v="397857"/>
    <m/>
    <m/>
    <n v="0"/>
    <n v="23.1"/>
    <m/>
    <m/>
    <n v="23.1"/>
  </r>
  <r>
    <n v="25400100"/>
    <s v="Indemnizaciones laborales"/>
    <x v="10"/>
    <x v="12"/>
    <n v="0"/>
    <n v="0"/>
    <m/>
    <m/>
    <n v="0"/>
    <n v="0"/>
    <m/>
    <m/>
    <n v="0"/>
  </r>
  <r>
    <n v="26050500"/>
    <s v="Pasivos estim./prov., para costos y gastos, intere"/>
    <x v="8"/>
    <x v="9"/>
    <n v="0"/>
    <n v="0"/>
    <m/>
    <m/>
    <n v="0"/>
    <n v="0"/>
    <m/>
    <m/>
    <n v="0"/>
  </r>
  <r>
    <n v="26059500"/>
    <s v="Pasiv.est,otr. gast/"/>
    <x v="10"/>
    <x v="12"/>
    <n v="-15906082"/>
    <n v="4769160"/>
    <m/>
    <m/>
    <n v="-11136922"/>
    <n v="8404577.1600000001"/>
    <m/>
    <m/>
    <n v="-2732344.84"/>
  </r>
  <r>
    <n v="26100500"/>
    <s v="Pasiv.est,obl.lab,ce"/>
    <x v="10"/>
    <x v="12"/>
    <n v="-84423728"/>
    <n v="-56787029"/>
    <m/>
    <m/>
    <n v="-141210757"/>
    <n v="-48084901"/>
    <m/>
    <m/>
    <n v="-189295658"/>
  </r>
  <r>
    <n v="26101500"/>
    <s v="Pasiv.est,obl.lab,va"/>
    <x v="10"/>
    <x v="12"/>
    <n v="-48629554"/>
    <n v="-44195916.689999998"/>
    <m/>
    <m/>
    <n v="-92825470.689999998"/>
    <n v="-33359920"/>
    <m/>
    <m/>
    <n v="-126185390.69"/>
  </r>
  <r>
    <n v="26102000"/>
    <s v="Pasiv.est,obl.lab,pr"/>
    <x v="10"/>
    <x v="12"/>
    <n v="0"/>
    <n v="0"/>
    <m/>
    <m/>
    <n v="0"/>
    <n v="0"/>
    <m/>
    <m/>
    <n v="0"/>
  </r>
  <r>
    <n v="26109500"/>
    <s v="Pasivos estimados y provisiones, para obl. laboral"/>
    <x v="10"/>
    <x v="12"/>
    <n v="-62748"/>
    <n v="-427096"/>
    <m/>
    <m/>
    <n v="-489844"/>
    <n v="-1164276"/>
    <m/>
    <m/>
    <n v="-1654120"/>
  </r>
  <r>
    <n v="27259500"/>
    <s v="Diferidos, Imptos., diversos"/>
    <x v="12"/>
    <x v="14"/>
    <n v="-595622024"/>
    <n v="0"/>
    <m/>
    <m/>
    <n v="-595622024"/>
    <n v="0"/>
    <m/>
    <m/>
    <n v="-595622024"/>
  </r>
  <r>
    <n v="28050500"/>
    <s v="Antic./avan.recib.cl"/>
    <x v="13"/>
    <x v="15"/>
    <n v="-1172511485"/>
    <n v="242357087.59"/>
    <m/>
    <m/>
    <n v="-930154397.40999997"/>
    <n v="-401977841.67000002"/>
    <m/>
    <m/>
    <n v="-1332132239.0799999"/>
  </r>
  <r>
    <n v="31050500"/>
    <s v="Patrim,cap.soc.,auto"/>
    <x v="14"/>
    <x v="16"/>
    <n v="-27116624669"/>
    <n v="-5365134386.2600002"/>
    <m/>
    <m/>
    <n v="-32481759055.260002"/>
    <n v="0"/>
    <m/>
    <m/>
    <n v="-32481759055.260002"/>
  </r>
  <r>
    <n v="31050501"/>
    <s v="Patrimo, cap social, anticipo recib.por acc a emit"/>
    <x v="15"/>
    <x v="16"/>
    <n v="-1692516101"/>
    <n v="1692334386"/>
    <m/>
    <m/>
    <n v="-181715"/>
    <n v="0"/>
    <m/>
    <m/>
    <n v="-181715"/>
  </r>
  <r>
    <n v="37100100"/>
    <s v="Res.ejerc,pérdidas a"/>
    <x v="16"/>
    <x v="17"/>
    <n v="14230795912.620001"/>
    <n v="2413559255.8499999"/>
    <m/>
    <m/>
    <n v="16644355168.470001"/>
    <n v="-483366096.86000001"/>
    <m/>
    <m/>
    <n v="16160989071.610001"/>
  </r>
  <r>
    <n v="37100101"/>
    <s v="Result. ejercicios anteriores, pérdidas acum-NIFF"/>
    <x v="17"/>
    <x v="18"/>
    <n v="-5322681300.9300003"/>
    <n v="0"/>
    <m/>
    <m/>
    <n v="-5322681300.9300003"/>
    <n v="0"/>
    <m/>
    <m/>
    <n v="-5322681300.9300003"/>
  </r>
  <r>
    <n v="38100400"/>
    <s v="Superávit por valoriz.,de propiedad., planta y equ"/>
    <x v="18"/>
    <x v="19"/>
    <n v="0"/>
    <n v="0"/>
    <m/>
    <m/>
    <n v="0"/>
    <n v="0"/>
    <m/>
    <m/>
    <n v="0"/>
  </r>
  <r>
    <n v="41301000"/>
    <s v="Ingr.op,constr,ing.c"/>
    <x v="19"/>
    <x v="20"/>
    <n v="-3256996352"/>
    <n v="-8370807078.5900002"/>
    <m/>
    <m/>
    <n v="-8370807078.5900002"/>
    <n v="-9252121752.6399994"/>
    <m/>
    <m/>
    <n v="-9252121752.6399994"/>
  </r>
  <r>
    <n v="41301001"/>
    <s v="Ing.op,const.montaje"/>
    <x v="19"/>
    <x v="20"/>
    <n v="-146519069"/>
    <n v="0"/>
    <m/>
    <m/>
    <n v="0"/>
    <n v="0"/>
    <m/>
    <m/>
    <n v="0"/>
  </r>
  <r>
    <n v="41301002"/>
    <s v="Ing.op,const.adm.imp"/>
    <x v="19"/>
    <x v="20"/>
    <n v="-510527313"/>
    <n v="-1216367897.05"/>
    <m/>
    <m/>
    <n v="-1216367897.05"/>
    <n v="-1384801731.6800001"/>
    <m/>
    <m/>
    <n v="-1384801731.6800001"/>
  </r>
  <r>
    <n v="41301003"/>
    <s v="Ing.op,const.utilida"/>
    <x v="19"/>
    <x v="20"/>
    <n v="-102299467"/>
    <n v="-243273580.88999999"/>
    <m/>
    <m/>
    <n v="-243273580.88999999"/>
    <n v="-276960347.27999997"/>
    <m/>
    <m/>
    <n v="-276960347.27999997"/>
  </r>
  <r>
    <n v="41359500"/>
    <s v="Ingr.op.,com.,otros"/>
    <x v="19"/>
    <x v="20"/>
    <n v="-1408623313"/>
    <n v="-1257142988.21"/>
    <m/>
    <m/>
    <n v="-1257142988.21"/>
    <n v="-397561217.27999997"/>
    <m/>
    <m/>
    <n v="-397561217.27999997"/>
  </r>
  <r>
    <n v="41450500"/>
    <s v="Ingr.op,transp.carre"/>
    <x v="19"/>
    <x v="20"/>
    <n v="0"/>
    <n v="0"/>
    <m/>
    <m/>
    <n v="0"/>
    <n v="0"/>
    <m/>
    <m/>
    <n v="0"/>
  </r>
  <r>
    <n v="42100500"/>
    <s v="N.op.,otr.fin,intere"/>
    <x v="20"/>
    <x v="21"/>
    <n v="0"/>
    <n v="-2004757.75"/>
    <m/>
    <m/>
    <n v="-2004757.75"/>
    <n v="-14202486.289999999"/>
    <m/>
    <m/>
    <n v="-14202486.289999999"/>
  </r>
  <r>
    <n v="42102000"/>
    <s v="N.op.,otr.fin,dif.ca"/>
    <x v="21"/>
    <x v="22"/>
    <n v="-164250714"/>
    <n v="-31927021.199999999"/>
    <m/>
    <m/>
    <n v="-31927021.199999999"/>
    <n v="0"/>
    <m/>
    <m/>
    <n v="0"/>
  </r>
  <r>
    <n v="42102001"/>
    <s v="No operacionales, financieros, diferencia en cambi"/>
    <x v="21"/>
    <x v="22"/>
    <n v="0"/>
    <n v="0"/>
    <m/>
    <m/>
    <n v="0"/>
    <n v="-14722034.880000001"/>
    <m/>
    <m/>
    <n v="-14722034.880000001"/>
  </r>
  <r>
    <n v="42454000"/>
    <s v="No oper.,utilidad flota/equipo de transporte"/>
    <x v="22"/>
    <x v="23"/>
    <n v="-193603508"/>
    <n v="0"/>
    <m/>
    <m/>
    <n v="0"/>
    <n v="-2732798"/>
    <m/>
    <m/>
    <n v="-2732798"/>
  </r>
  <r>
    <n v="42551000"/>
    <s v="No operacionales, indemnizaciones por suministros"/>
    <x v="22"/>
    <x v="23"/>
    <n v="-285600"/>
    <n v="-2748892"/>
    <m/>
    <m/>
    <n v="-2748892"/>
    <n v="-2867469"/>
    <m/>
    <m/>
    <n v="-2867469"/>
  </r>
  <r>
    <n v="42554000"/>
    <s v="No operacionales, incapacidades"/>
    <x v="22"/>
    <x v="23"/>
    <n v="-1625939"/>
    <n v="-17891307"/>
    <m/>
    <m/>
    <n v="-17891307"/>
    <n v="-97838766"/>
    <m/>
    <m/>
    <n v="-97838766"/>
  </r>
  <r>
    <n v="51050300"/>
    <s v="Gast.op.adm,salario"/>
    <x v="23"/>
    <x v="24"/>
    <n v="678957592"/>
    <n v="989058379"/>
    <m/>
    <m/>
    <n v="989058379"/>
    <n v="987066023"/>
    <m/>
    <m/>
    <n v="987066023"/>
  </r>
  <r>
    <n v="51052700"/>
    <s v="Gast.op.adm,pr,auxtr"/>
    <x v="23"/>
    <x v="24"/>
    <n v="3231470"/>
    <n v="3434933"/>
    <m/>
    <m/>
    <n v="3434933"/>
    <n v="2386213"/>
    <m/>
    <m/>
    <n v="2386213"/>
  </r>
  <r>
    <n v="51053000"/>
    <s v="Gast.op.adm,cesantía"/>
    <x v="23"/>
    <x v="24"/>
    <n v="20383913"/>
    <n v="39791054"/>
    <m/>
    <m/>
    <n v="39791054"/>
    <n v="43784158"/>
    <m/>
    <m/>
    <n v="43784158"/>
  </r>
  <r>
    <n v="51053300"/>
    <s v="Gast.op.adm,int.cesa"/>
    <x v="23"/>
    <x v="24"/>
    <n v="2446064"/>
    <n v="8325974.5499999998"/>
    <m/>
    <m/>
    <n v="8325974.5499999998"/>
    <n v="5052023"/>
    <m/>
    <m/>
    <n v="5052023"/>
  </r>
  <r>
    <n v="51053600"/>
    <s v="Gast.op.adm,prima se"/>
    <x v="23"/>
    <x v="24"/>
    <n v="20383913"/>
    <n v="37839499"/>
    <m/>
    <m/>
    <n v="37839499"/>
    <n v="44149011"/>
    <m/>
    <m/>
    <n v="44149011"/>
  </r>
  <r>
    <n v="51053900"/>
    <s v="Gast.op.adm,vacacion"/>
    <x v="23"/>
    <x v="24"/>
    <n v="28668851"/>
    <n v="73802015"/>
    <m/>
    <m/>
    <n v="73802015"/>
    <n v="48536921"/>
    <m/>
    <m/>
    <n v="48536921"/>
  </r>
  <r>
    <n v="51054800"/>
    <s v="Gast.op.adm,pt,bonif"/>
    <x v="23"/>
    <x v="24"/>
    <n v="0"/>
    <n v="8094888"/>
    <m/>
    <m/>
    <n v="8094888"/>
    <n v="3362004"/>
    <m/>
    <m/>
    <n v="3362004"/>
  </r>
  <r>
    <n v="51055100"/>
    <s v="Gast.op.adm,dotación"/>
    <x v="23"/>
    <x v="24"/>
    <n v="1446458"/>
    <n v="2446886.7400000002"/>
    <m/>
    <m/>
    <n v="2446886.7400000002"/>
    <n v="2235439"/>
    <m/>
    <m/>
    <n v="2235439"/>
  </r>
  <r>
    <n v="51055700"/>
    <s v="Gast.op.adm,pension."/>
    <x v="23"/>
    <x v="24"/>
    <n v="66840351"/>
    <n v="101791207"/>
    <m/>
    <m/>
    <n v="101791207"/>
    <n v="138743798"/>
    <m/>
    <m/>
    <n v="138743798"/>
  </r>
  <r>
    <n v="51056000"/>
    <s v="Gast.op.adm,indemniz"/>
    <x v="23"/>
    <x v="24"/>
    <n v="2897683"/>
    <n v="18450196"/>
    <m/>
    <m/>
    <n v="18450196"/>
    <n v="0"/>
    <m/>
    <m/>
    <n v="0"/>
  </r>
  <r>
    <n v="51056300"/>
    <s v="Gast.op.adm,capacit."/>
    <x v="23"/>
    <x v="24"/>
    <n v="7396700"/>
    <n v="1720000"/>
    <m/>
    <m/>
    <n v="1720000"/>
    <n v="3628709"/>
    <m/>
    <m/>
    <n v="3628709"/>
  </r>
  <r>
    <n v="51056600"/>
    <s v="Gast.op.adm,deportiv"/>
    <x v="23"/>
    <x v="24"/>
    <n v="3850000"/>
    <n v="2422000"/>
    <m/>
    <m/>
    <n v="2422000"/>
    <n v="0"/>
    <m/>
    <m/>
    <n v="0"/>
  </r>
  <r>
    <n v="51056800"/>
    <s v="Gast.op.adm,riesg.pr"/>
    <x v="23"/>
    <x v="24"/>
    <n v="29235407"/>
    <n v="46738245.090000004"/>
    <m/>
    <m/>
    <n v="46738245.090000004"/>
    <n v="28246219"/>
    <m/>
    <m/>
    <n v="28246219"/>
  </r>
  <r>
    <n v="51056900"/>
    <s v="Gast.op.adm,prom.sal"/>
    <x v="23"/>
    <x v="24"/>
    <n v="28145291"/>
    <n v="40267560"/>
    <m/>
    <m/>
    <n v="40267560"/>
    <n v="29304458"/>
    <m/>
    <m/>
    <n v="29304458"/>
  </r>
  <r>
    <n v="51057200"/>
    <s v="Gast.op.adm,caj.comp"/>
    <x v="23"/>
    <x v="24"/>
    <n v="21567690"/>
    <n v="33716450"/>
    <m/>
    <m/>
    <n v="33716450"/>
    <n v="34246446"/>
    <m/>
    <m/>
    <n v="34246446"/>
  </r>
  <r>
    <n v="51057500"/>
    <s v="Gast.op.adm,ap.ICBF"/>
    <x v="23"/>
    <x v="24"/>
    <n v="9537820"/>
    <n v="14292661"/>
    <m/>
    <m/>
    <n v="14292661"/>
    <n v="10291188"/>
    <m/>
    <m/>
    <n v="10291188"/>
  </r>
  <r>
    <n v="51057800"/>
    <s v="Gast.op.adm., SENA"/>
    <x v="23"/>
    <x v="24"/>
    <n v="6385458"/>
    <n v="9529107"/>
    <m/>
    <m/>
    <n v="9529107"/>
    <n v="6860792"/>
    <m/>
    <m/>
    <n v="6860792"/>
  </r>
  <r>
    <n v="51058400"/>
    <s v="Gast.op.adm,médicos"/>
    <x v="23"/>
    <x v="24"/>
    <n v="651356"/>
    <n v="546894"/>
    <m/>
    <m/>
    <n v="546894"/>
    <n v="924749"/>
    <m/>
    <m/>
    <n v="924749"/>
  </r>
  <r>
    <n v="51101000"/>
    <s v="Gast.op.adm,honrevis"/>
    <x v="23"/>
    <x v="24"/>
    <n v="97475418"/>
    <n v="47856183.149999999"/>
    <m/>
    <m/>
    <n v="47856183.149999999"/>
    <n v="104118044"/>
    <m/>
    <m/>
    <n v="104118044"/>
  </r>
  <r>
    <n v="51101500"/>
    <s v="Gast.op.adm.,honaud."/>
    <x v="23"/>
    <x v="24"/>
    <n v="0"/>
    <n v="0"/>
    <m/>
    <m/>
    <n v="0"/>
    <n v="0"/>
    <m/>
    <m/>
    <n v="0"/>
  </r>
  <r>
    <n v="51102500"/>
    <s v="Gast.op.adm,hon.ases"/>
    <x v="23"/>
    <x v="24"/>
    <n v="0"/>
    <n v="4648390"/>
    <m/>
    <m/>
    <n v="4648390"/>
    <n v="43531380"/>
    <m/>
    <m/>
    <n v="43531380"/>
  </r>
  <r>
    <n v="51103500"/>
    <s v="Gast.op.adm,ases.téc"/>
    <x v="23"/>
    <x v="24"/>
    <n v="62979487"/>
    <n v="56572509"/>
    <m/>
    <m/>
    <n v="56572509"/>
    <n v="0"/>
    <m/>
    <m/>
    <n v="0"/>
  </r>
  <r>
    <n v="51109500"/>
    <s v="Gast.op.adm,hon.otr."/>
    <x v="23"/>
    <x v="24"/>
    <n v="17918395"/>
    <n v="32162575.16"/>
    <m/>
    <m/>
    <n v="32162575.16"/>
    <n v="12091976"/>
    <m/>
    <m/>
    <n v="12091976"/>
  </r>
  <r>
    <n v="51154000"/>
    <s v="Gast.op.adm,imp.veh."/>
    <x v="23"/>
    <x v="24"/>
    <n v="988000"/>
    <n v="579000"/>
    <m/>
    <m/>
    <n v="579000"/>
    <n v="461000"/>
    <m/>
    <m/>
    <n v="461000"/>
  </r>
  <r>
    <n v="51157000"/>
    <s v="Gast.op.adm,IVA desc"/>
    <x v="23"/>
    <x v="24"/>
    <n v="0"/>
    <n v="4231488.26"/>
    <m/>
    <m/>
    <n v="4231488.26"/>
    <n v="532000"/>
    <m/>
    <m/>
    <n v="532000"/>
  </r>
  <r>
    <n v="51159500"/>
    <s v="Gast.op.adm,imptos."/>
    <x v="23"/>
    <x v="24"/>
    <n v="73931133"/>
    <n v="149537972.08000001"/>
    <m/>
    <m/>
    <n v="149537972.08000001"/>
    <n v="151191329.52000001"/>
    <m/>
    <m/>
    <n v="151191329.52000001"/>
  </r>
  <r>
    <n v="51201000"/>
    <s v="Gast.op.adm,arr.edif"/>
    <x v="23"/>
    <x v="24"/>
    <n v="4444000"/>
    <n v="4874000"/>
    <m/>
    <m/>
    <n v="4874000"/>
    <n v="74797081.989999995"/>
    <m/>
    <m/>
    <n v="74797081.989999995"/>
  </r>
  <r>
    <n v="51201500"/>
    <s v="Gast.op.adm,arr.maqu"/>
    <x v="23"/>
    <x v="24"/>
    <n v="6750000"/>
    <n v="0"/>
    <m/>
    <m/>
    <n v="0"/>
    <n v="0"/>
    <m/>
    <m/>
    <n v="0"/>
  </r>
  <r>
    <n v="51204000"/>
    <s v="Gast.op.adm,fl.trans"/>
    <x v="23"/>
    <x v="24"/>
    <n v="3500000"/>
    <n v="2339142.62"/>
    <m/>
    <m/>
    <n v="2339142.62"/>
    <n v="3766655"/>
    <m/>
    <m/>
    <n v="3766655"/>
  </r>
  <r>
    <n v="51209500"/>
    <s v="Gast.op.adm,arr.otr."/>
    <x v="23"/>
    <x v="24"/>
    <n v="0"/>
    <n v="0"/>
    <m/>
    <m/>
    <n v="0"/>
    <n v="1106700"/>
    <m/>
    <m/>
    <n v="1106700"/>
  </r>
  <r>
    <n v="51250500"/>
    <s v="Gast.op. de administ"/>
    <x v="23"/>
    <x v="24"/>
    <n v="26089280"/>
    <n v="61976591.259999998"/>
    <m/>
    <m/>
    <n v="61976591.259999998"/>
    <n v="22606180"/>
    <m/>
    <m/>
    <n v="22606180"/>
  </r>
  <r>
    <n v="51301000"/>
    <s v="Gast,seg.cumplimient"/>
    <x v="23"/>
    <x v="24"/>
    <n v="101833158"/>
    <n v="677678"/>
    <m/>
    <m/>
    <n v="677678"/>
    <n v="3581532"/>
    <m/>
    <m/>
    <n v="3581532"/>
  </r>
  <r>
    <n v="51302500"/>
    <s v="Gastos,seg. incendio"/>
    <x v="23"/>
    <x v="24"/>
    <n v="0"/>
    <n v="0"/>
    <m/>
    <m/>
    <n v="0"/>
    <n v="3683589"/>
    <m/>
    <m/>
    <n v="3683589"/>
  </r>
  <r>
    <n v="51304000"/>
    <s v="Gast.,seg.transporte"/>
    <x v="23"/>
    <x v="24"/>
    <n v="2363716"/>
    <n v="2857833"/>
    <m/>
    <m/>
    <n v="2857833"/>
    <n v="2682899"/>
    <m/>
    <m/>
    <n v="2682899"/>
  </r>
  <r>
    <n v="51306000"/>
    <s v="Gast.,seg.responsab."/>
    <x v="23"/>
    <x v="24"/>
    <n v="12142499"/>
    <n v="10951936.27"/>
    <m/>
    <m/>
    <n v="10951936.27"/>
    <n v="2550000"/>
    <m/>
    <m/>
    <n v="2550000"/>
  </r>
  <r>
    <n v="51309500"/>
    <s v="Gast.,seguros otros"/>
    <x v="23"/>
    <x v="24"/>
    <n v="50103162"/>
    <n v="33570431"/>
    <m/>
    <m/>
    <n v="33570431"/>
    <n v="7366457"/>
    <m/>
    <m/>
    <n v="7366457"/>
  </r>
  <r>
    <n v="51350510"/>
    <s v="Gasto aseo"/>
    <x v="23"/>
    <x v="24"/>
    <n v="20309719"/>
    <n v="0"/>
    <m/>
    <m/>
    <n v="0"/>
    <n v="0"/>
    <m/>
    <m/>
    <n v="0"/>
  </r>
  <r>
    <n v="51351000"/>
    <s v="Gast.,serv.temporal."/>
    <x v="23"/>
    <x v="24"/>
    <n v="1500222"/>
    <n v="0"/>
    <m/>
    <m/>
    <n v="0"/>
    <n v="0"/>
    <m/>
    <m/>
    <n v="0"/>
  </r>
  <r>
    <n v="51351500"/>
    <s v="Gast.,serv.asistenc."/>
    <x v="23"/>
    <x v="24"/>
    <n v="15051949"/>
    <n v="10705585.33"/>
    <m/>
    <m/>
    <n v="10705585.33"/>
    <n v="42503024.460000001"/>
    <m/>
    <m/>
    <n v="42503024.460000001"/>
  </r>
  <r>
    <n v="51352500"/>
    <s v="Gast.,acued/alcantar"/>
    <x v="23"/>
    <x v="24"/>
    <n v="632063"/>
    <n v="490586"/>
    <m/>
    <m/>
    <n v="490586"/>
    <n v="1248810"/>
    <m/>
    <m/>
    <n v="1248810"/>
  </r>
  <r>
    <n v="51353000"/>
    <s v="Gast.,energ.eléctr."/>
    <x v="23"/>
    <x v="24"/>
    <n v="6586463"/>
    <n v="3128341"/>
    <m/>
    <m/>
    <n v="3128341"/>
    <n v="3692349"/>
    <m/>
    <m/>
    <n v="3692349"/>
  </r>
  <r>
    <n v="51353500"/>
    <s v="Gast.,serv. teléfono"/>
    <x v="23"/>
    <x v="24"/>
    <n v="41333756"/>
    <n v="45255333.340000004"/>
    <m/>
    <m/>
    <n v="45255333.340000004"/>
    <n v="50001235"/>
    <m/>
    <m/>
    <n v="50001235"/>
  </r>
  <r>
    <n v="51354000"/>
    <s v="Gast.,correo/telegr."/>
    <x v="23"/>
    <x v="24"/>
    <n v="0"/>
    <n v="0"/>
    <m/>
    <m/>
    <n v="0"/>
    <n v="92800"/>
    <m/>
    <m/>
    <n v="92800"/>
  </r>
  <r>
    <n v="51355000"/>
    <s v="Gast.,transp./fletes"/>
    <x v="23"/>
    <x v="24"/>
    <n v="5412897"/>
    <n v="1150387"/>
    <m/>
    <m/>
    <n v="1150387"/>
    <n v="3108000"/>
    <m/>
    <m/>
    <n v="3108000"/>
  </r>
  <r>
    <n v="51355500"/>
    <s v="Gast.,serv.,gas"/>
    <x v="23"/>
    <x v="24"/>
    <n v="0"/>
    <n v="0"/>
    <m/>
    <m/>
    <n v="0"/>
    <n v="0"/>
    <m/>
    <m/>
    <n v="0"/>
  </r>
  <r>
    <n v="51359500"/>
    <s v="Gastos,serv.,otros"/>
    <x v="23"/>
    <x v="24"/>
    <n v="5280608"/>
    <n v="3200000"/>
    <m/>
    <m/>
    <n v="3200000"/>
    <n v="0"/>
    <m/>
    <m/>
    <n v="0"/>
  </r>
  <r>
    <n v="51400500"/>
    <s v="Gast.legal.,notarial"/>
    <x v="23"/>
    <x v="24"/>
    <n v="27769761"/>
    <n v="40169236.420000002"/>
    <m/>
    <m/>
    <n v="40169236.420000002"/>
    <n v="1925799"/>
    <m/>
    <m/>
    <n v="1925799"/>
  </r>
  <r>
    <n v="51401000"/>
    <s v="Gast.legal,reg.merc."/>
    <x v="23"/>
    <x v="24"/>
    <n v="1923200"/>
    <n v="5800"/>
    <m/>
    <m/>
    <n v="5800"/>
    <n v="2115100"/>
    <m/>
    <m/>
    <n v="2115100"/>
  </r>
  <r>
    <n v="51451500"/>
    <s v="Gast.repar.maquin."/>
    <x v="23"/>
    <x v="24"/>
    <n v="40710456"/>
    <n v="40533447.210000001"/>
    <m/>
    <m/>
    <n v="40533447.210000001"/>
    <n v="43619850"/>
    <m/>
    <m/>
    <n v="43619850"/>
  </r>
  <r>
    <n v="51452000"/>
    <s v="Gast.repar.equ.ofic."/>
    <x v="23"/>
    <x v="24"/>
    <n v="5675212"/>
    <n v="0"/>
    <m/>
    <m/>
    <n v="0"/>
    <n v="0"/>
    <m/>
    <m/>
    <n v="0"/>
  </r>
  <r>
    <n v="51454000"/>
    <s v="Gast.repar,equ.trans"/>
    <x v="23"/>
    <x v="24"/>
    <n v="4449579"/>
    <n v="0"/>
    <m/>
    <m/>
    <n v="0"/>
    <n v="0"/>
    <m/>
    <m/>
    <n v="0"/>
  </r>
  <r>
    <n v="51550500"/>
    <s v="Gast.viaj.,alojam."/>
    <x v="23"/>
    <x v="24"/>
    <n v="13634961"/>
    <n v="13106526"/>
    <m/>
    <m/>
    <n v="13106526"/>
    <n v="7272166"/>
    <m/>
    <m/>
    <n v="7272166"/>
  </r>
  <r>
    <n v="51551500"/>
    <s v="Gast.viaje,pasaj.aér"/>
    <x v="23"/>
    <x v="24"/>
    <n v="59543003"/>
    <n v="65166569"/>
    <m/>
    <m/>
    <n v="65166569"/>
    <n v="20401662"/>
    <m/>
    <m/>
    <n v="20401662"/>
  </r>
  <r>
    <n v="51552000"/>
    <s v="Gast.viaj,pasaj.terr"/>
    <x v="23"/>
    <x v="24"/>
    <n v="149468637"/>
    <n v="579570"/>
    <m/>
    <m/>
    <n v="579570"/>
    <n v="24483259"/>
    <m/>
    <m/>
    <n v="24483259"/>
  </r>
  <r>
    <n v="51600500"/>
    <s v="Gast.,depr.,constr."/>
    <x v="23"/>
    <x v="24"/>
    <n v="39560826.240000002"/>
    <n v="18098730.620000001"/>
    <m/>
    <m/>
    <n v="18098730.620000001"/>
    <n v="0"/>
    <m/>
    <m/>
    <n v="0"/>
  </r>
  <r>
    <n v="51601000"/>
    <s v="Gast.,depr.,maquin."/>
    <x v="23"/>
    <x v="24"/>
    <n v="30884355"/>
    <n v="0"/>
    <m/>
    <m/>
    <n v="0"/>
    <n v="0"/>
    <m/>
    <m/>
    <n v="0"/>
  </r>
  <r>
    <n v="51601500"/>
    <s v="Gast.,depr.,equ.ofic"/>
    <x v="23"/>
    <x v="24"/>
    <n v="12418941"/>
    <n v="25125337.68"/>
    <m/>
    <m/>
    <n v="25125337.68"/>
    <n v="17680370.579999998"/>
    <m/>
    <m/>
    <n v="17680370.579999998"/>
  </r>
  <r>
    <n v="51603500"/>
    <s v="Gast.,depr.equ.trans"/>
    <x v="23"/>
    <x v="24"/>
    <n v="35649253"/>
    <n v="0"/>
    <m/>
    <m/>
    <n v="0"/>
    <n v="0"/>
    <m/>
    <m/>
    <n v="0"/>
  </r>
  <r>
    <n v="51605000"/>
    <s v="Gastos depreciación Activo por derecho de uso"/>
    <x v="23"/>
    <x v="24"/>
    <n v="7245636.6200000001"/>
    <n v="0"/>
    <m/>
    <m/>
    <n v="0"/>
    <n v="0"/>
    <m/>
    <m/>
    <n v="0"/>
  </r>
  <r>
    <n v="51651001"/>
    <s v="Gastos op. admin.,amort. intangibles,Licencias"/>
    <x v="23"/>
    <x v="24"/>
    <n v="6031197"/>
    <n v="6550479.2699999996"/>
    <m/>
    <m/>
    <n v="6550479.2699999996"/>
    <n v="32742294.969999999"/>
    <m/>
    <m/>
    <n v="32742294.969999999"/>
  </r>
  <r>
    <n v="51651002"/>
    <s v="Gastos op. admin.,amort. intangibles,Derechos"/>
    <x v="23"/>
    <x v="24"/>
    <n v="0"/>
    <n v="0"/>
    <m/>
    <m/>
    <n v="0"/>
    <n v="1207605.8799999999"/>
    <m/>
    <m/>
    <n v="1207605.8799999999"/>
  </r>
  <r>
    <n v="51951000"/>
    <s v="Gast.div.,libros,sub"/>
    <x v="23"/>
    <x v="24"/>
    <n v="4650000"/>
    <n v="30716510.43"/>
    <m/>
    <m/>
    <n v="30716510.43"/>
    <n v="25374600"/>
    <m/>
    <m/>
    <n v="25374600"/>
  </r>
  <r>
    <n v="51952000"/>
    <s v="Gast.div.,represent."/>
    <x v="23"/>
    <x v="24"/>
    <n v="4777000"/>
    <n v="2848767"/>
    <m/>
    <m/>
    <n v="2848767"/>
    <n v="3284000"/>
    <m/>
    <m/>
    <n v="3284000"/>
  </r>
  <r>
    <n v="51952500"/>
    <s v="Gast.div.,elem.aseo"/>
    <x v="23"/>
    <x v="24"/>
    <n v="9307291"/>
    <n v="18177267.129999999"/>
    <m/>
    <m/>
    <n v="18177267.129999999"/>
    <n v="3873547"/>
    <m/>
    <m/>
    <n v="3873547"/>
  </r>
  <r>
    <n v="51953000"/>
    <s v="Gast.div.,útiles"/>
    <x v="23"/>
    <x v="24"/>
    <n v="7523725"/>
    <n v="9323397.1899999995"/>
    <m/>
    <m/>
    <n v="9323397.1899999995"/>
    <n v="8159759"/>
    <m/>
    <m/>
    <n v="8159759"/>
  </r>
  <r>
    <n v="51953500"/>
    <s v="Gast.div.,combust."/>
    <x v="23"/>
    <x v="24"/>
    <n v="14483187"/>
    <n v="12918253"/>
    <m/>
    <m/>
    <n v="12918253"/>
    <n v="6867286"/>
    <m/>
    <m/>
    <n v="6867286"/>
  </r>
  <r>
    <n v="51954500"/>
    <s v="Gast.div,taxis/buses Y (PEAJES)"/>
    <x v="23"/>
    <x v="24"/>
    <n v="48519952"/>
    <n v="41962093.07"/>
    <m/>
    <m/>
    <n v="41962093.07"/>
    <n v="12552839.99"/>
    <m/>
    <m/>
    <n v="12552839.99"/>
  </r>
  <r>
    <n v="51956000"/>
    <s v="Gast.div,casino/rest"/>
    <x v="23"/>
    <x v="24"/>
    <n v="19302488"/>
    <n v="15422366.75"/>
    <m/>
    <m/>
    <n v="15422366.75"/>
    <n v="4999431"/>
    <m/>
    <m/>
    <n v="4999431"/>
  </r>
  <r>
    <n v="51959503"/>
    <s v="Patrocinio auspicio"/>
    <x v="23"/>
    <x v="24"/>
    <n v="0"/>
    <n v="0"/>
    <m/>
    <m/>
    <n v="0"/>
    <n v="2975000"/>
    <m/>
    <m/>
    <n v="2975000"/>
  </r>
  <r>
    <n v="52157099"/>
    <s v="Corr.imptos.IVA desc"/>
    <x v="23"/>
    <x v="24"/>
    <n v="11794"/>
    <n v="0"/>
    <m/>
    <m/>
    <n v="0"/>
    <n v="0"/>
    <m/>
    <m/>
    <n v="0"/>
  </r>
  <r>
    <n v="53050500"/>
    <s v="N.op.,fin.,gast.banc"/>
    <x v="20"/>
    <x v="21"/>
    <n v="1216694"/>
    <n v="1809343.3"/>
    <m/>
    <m/>
    <n v="1809343.3"/>
    <n v="20089597.23"/>
    <m/>
    <m/>
    <n v="20089597.23"/>
  </r>
  <r>
    <n v="53051500"/>
    <s v="N.op.,fin.,comisione"/>
    <x v="20"/>
    <x v="21"/>
    <n v="7585235"/>
    <n v="10303414.449999999"/>
    <m/>
    <m/>
    <n v="10303414.449999999"/>
    <n v="6087116"/>
    <m/>
    <m/>
    <n v="6087116"/>
  </r>
  <r>
    <n v="53052000"/>
    <s v="No operacionales, financieros, intereses"/>
    <x v="20"/>
    <x v="21"/>
    <n v="703383347"/>
    <n v="686534122.95000005"/>
    <m/>
    <m/>
    <n v="686534122.95000005"/>
    <n v="750329528.54999995"/>
    <m/>
    <m/>
    <n v="750329528.54999995"/>
  </r>
  <r>
    <n v="53052001"/>
    <s v="No op.Intereses arrendamientos"/>
    <x v="20"/>
    <x v="21"/>
    <n v="47997131.450000003"/>
    <n v="30771318.420000002"/>
    <m/>
    <m/>
    <n v="30771318.420000002"/>
    <n v="496428"/>
    <m/>
    <m/>
    <n v="496428"/>
  </r>
  <r>
    <n v="53052500"/>
    <s v="N.op.,fin.,dif.en ca"/>
    <x v="21"/>
    <x v="22"/>
    <n v="284876269"/>
    <n v="0"/>
    <m/>
    <m/>
    <n v="0"/>
    <n v="137684835.72"/>
    <m/>
    <m/>
    <n v="137684835.72"/>
  </r>
  <r>
    <n v="53151500"/>
    <s v="'N.op.extrao.,ejerc."/>
    <x v="22"/>
    <x v="23"/>
    <n v="104055524"/>
    <n v="131937908.15000001"/>
    <m/>
    <m/>
    <n v="131937908.15000001"/>
    <n v="52987966.719999999"/>
    <m/>
    <m/>
    <n v="52987966.719999999"/>
  </r>
  <r>
    <n v="53152000"/>
    <s v="'N.op.extrao,imptos."/>
    <x v="22"/>
    <x v="23"/>
    <n v="316165"/>
    <n v="5007"/>
    <m/>
    <m/>
    <n v="5007"/>
    <n v="3040358.59"/>
    <m/>
    <m/>
    <n v="3040358.59"/>
  </r>
  <r>
    <n v="53952000"/>
    <s v="'N.op.div.,sanc./lit"/>
    <x v="22"/>
    <x v="23"/>
    <n v="1706394"/>
    <n v="0"/>
    <m/>
    <m/>
    <n v="0"/>
    <n v="358000"/>
    <m/>
    <m/>
    <n v="358000"/>
  </r>
  <r>
    <n v="53952500"/>
    <s v="'N.op.div.,donacione"/>
    <x v="22"/>
    <x v="23"/>
    <n v="0"/>
    <n v="168200"/>
    <m/>
    <m/>
    <n v="168200"/>
    <n v="201840"/>
    <m/>
    <m/>
    <n v="201840"/>
  </r>
  <r>
    <n v="53959501"/>
    <s v="'N.op.div.,otros,red"/>
    <x v="22"/>
    <x v="23"/>
    <n v="108480"/>
    <n v="116670.19"/>
    <m/>
    <m/>
    <n v="116670.19"/>
    <n v="223646.18"/>
    <m/>
    <m/>
    <n v="223646.18"/>
  </r>
  <r>
    <n v="53959503"/>
    <s v="Pruebas y análisis de material"/>
    <x v="22"/>
    <x v="23"/>
    <n v="0"/>
    <n v="0"/>
    <m/>
    <m/>
    <n v="0"/>
    <n v="1675584"/>
    <m/>
    <m/>
    <n v="1675584"/>
  </r>
  <r>
    <n v="54050500"/>
    <s v="Impto.renta/compleme"/>
    <x v="24"/>
    <x v="25"/>
    <n v="154142000"/>
    <n v="72817000"/>
    <m/>
    <m/>
    <n v="72817000"/>
    <n v="25329000"/>
    <m/>
    <m/>
    <n v="25329000"/>
  </r>
  <r>
    <n v="61301001"/>
    <s v="SERV D OBRAS CIVILES"/>
    <x v="25"/>
    <x v="26"/>
    <n v="2497023504"/>
    <n v="8422473409.9700003"/>
    <m/>
    <m/>
    <n v="8422473409.9700003"/>
    <n v="7343203636.6800003"/>
    <m/>
    <m/>
    <n v="7343203636.6800003"/>
  </r>
  <r>
    <n v="61301002"/>
    <s v="SERV DE FABRICACION"/>
    <x v="25"/>
    <x v="26"/>
    <n v="754188972"/>
    <n v="162940478.59999999"/>
    <m/>
    <m/>
    <n v="162940478.59999999"/>
    <n v="2196966"/>
    <m/>
    <m/>
    <n v="2196966"/>
  </r>
  <r>
    <n v="61301003"/>
    <s v="Costo,const.utilida"/>
    <x v="25"/>
    <x v="26"/>
    <n v="0"/>
    <n v="0"/>
    <m/>
    <m/>
    <n v="0"/>
    <n v="0"/>
    <m/>
    <m/>
    <n v="0"/>
  </r>
  <r>
    <n v="61359500"/>
    <s v="C.v.,com.may/men,otr (Producto Terminado)"/>
    <x v="25"/>
    <x v="26"/>
    <n v="1762889019"/>
    <n v="1786107641.7"/>
    <m/>
    <m/>
    <n v="1786107641.7"/>
    <n v="473472239.01999998"/>
    <m/>
    <m/>
    <n v="473472239.01999998"/>
  </r>
  <r>
    <n v="61450500"/>
    <s v="Costo de venta, servicio transporte por carretera"/>
    <x v="25"/>
    <x v="26"/>
    <n v="25750000"/>
    <n v="0"/>
    <m/>
    <m/>
    <n v="0"/>
    <n v="0"/>
    <m/>
    <m/>
    <n v="0"/>
  </r>
  <r>
    <n v="71010100"/>
    <s v="Variación de productos terminados producción"/>
    <x v="25"/>
    <x v="26"/>
    <n v="0"/>
    <n v="0"/>
    <m/>
    <m/>
    <n v="0"/>
    <n v="0"/>
    <m/>
    <m/>
    <n v="0"/>
  </r>
  <r>
    <n v="71010101"/>
    <s v="Variación de productos en proceso producción"/>
    <x v="25"/>
    <x v="26"/>
    <n v="0"/>
    <n v="0"/>
    <m/>
    <m/>
    <n v="0"/>
    <n v="0"/>
    <m/>
    <m/>
    <n v="0"/>
  </r>
  <r>
    <n v="71010102"/>
    <s v="Variación de productos en proc. Consumo a producci"/>
    <x v="25"/>
    <x v="26"/>
    <n v="0"/>
    <n v="0"/>
    <m/>
    <m/>
    <n v="0"/>
    <n v="0"/>
    <m/>
    <m/>
    <n v="0"/>
  </r>
  <r>
    <n v="74010106"/>
    <s v="CONSUMO DE MATERIAS PRIMAS"/>
    <x v="25"/>
    <x v="26"/>
    <n v="5700736"/>
    <n v="0"/>
    <m/>
    <m/>
    <n v="0"/>
    <n v="0"/>
    <m/>
    <m/>
    <n v="0"/>
  </r>
  <r>
    <n v="80000000"/>
    <s v="Cierre de año"/>
    <x v="26"/>
    <x v="27"/>
    <n v="-2598400592.3099999"/>
    <n v="-2413559254.6599998"/>
    <m/>
    <m/>
    <n v="-2413559254.6599998"/>
    <n v="483366096.97000003"/>
    <m/>
    <m/>
    <n v="483366096.97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575CC9-BFF5-E745-8B84-23CA5F458458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3:D60" firstHeaderRow="0" firstDataRow="1" firstDataCol="1"/>
  <pivotFields count="13">
    <pivotField showAll="0"/>
    <pivotField showAll="0"/>
    <pivotField axis="axisRow" showAll="0" sortType="ascending">
      <items count="28">
        <item x="0"/>
        <item x="1"/>
        <item x="2"/>
        <item x="3"/>
        <item x="4"/>
        <item x="5"/>
        <item x="6"/>
        <item x="7"/>
        <item x="8"/>
        <item x="10"/>
        <item x="9"/>
        <item x="11"/>
        <item x="13"/>
        <item x="12"/>
        <item x="14"/>
        <item x="15"/>
        <item x="16"/>
        <item x="17"/>
        <item x="18"/>
        <item x="19"/>
        <item x="25"/>
        <item x="23"/>
        <item x="22"/>
        <item x="20"/>
        <item x="21"/>
        <item x="24"/>
        <item x="26"/>
        <item t="default"/>
      </items>
    </pivotField>
    <pivotField axis="axisRow" showAll="0">
      <items count="29">
        <item x="8"/>
        <item x="18"/>
        <item x="15"/>
        <item x="16"/>
        <item x="26"/>
        <item x="27"/>
        <item x="1"/>
        <item x="12"/>
        <item x="11"/>
        <item x="22"/>
        <item x="0"/>
        <item x="21"/>
        <item x="25"/>
        <item x="20"/>
        <item x="5"/>
        <item x="9"/>
        <item x="2"/>
        <item x="24"/>
        <item x="19"/>
        <item x="13"/>
        <item x="14"/>
        <item x="6"/>
        <item x="17"/>
        <item x="3"/>
        <item x="23"/>
        <item x="4"/>
        <item x="7"/>
        <item x="10"/>
        <item t="default"/>
      </items>
    </pivotField>
    <pivotField dataField="1" numFmtId="165" showAll="0"/>
    <pivotField numFmtId="165" showAll="0"/>
    <pivotField showAll="0"/>
    <pivotField showAll="0"/>
    <pivotField dataField="1" numFmtId="165" showAll="0"/>
    <pivotField numFmtId="165" showAll="0"/>
    <pivotField showAll="0"/>
    <pivotField showAll="0"/>
    <pivotField dataField="1" numFmtId="165" showAll="0"/>
  </pivotFields>
  <rowFields count="2">
    <field x="2"/>
    <field x="3"/>
  </rowFields>
  <rowItems count="57">
    <i>
      <x/>
    </i>
    <i r="1">
      <x v="10"/>
    </i>
    <i r="1">
      <x v="25"/>
    </i>
    <i>
      <x v="1"/>
    </i>
    <i r="1">
      <x v="6"/>
    </i>
    <i>
      <x v="2"/>
    </i>
    <i r="1">
      <x v="16"/>
    </i>
    <i>
      <x v="3"/>
    </i>
    <i r="1">
      <x v="23"/>
    </i>
    <i>
      <x v="4"/>
    </i>
    <i r="1">
      <x v="14"/>
    </i>
    <i>
      <x v="5"/>
    </i>
    <i r="1">
      <x v="21"/>
    </i>
    <i>
      <x v="6"/>
    </i>
    <i r="1">
      <x v="26"/>
    </i>
    <i>
      <x v="7"/>
    </i>
    <i r="1">
      <x/>
    </i>
    <i>
      <x v="8"/>
    </i>
    <i r="1">
      <x v="15"/>
    </i>
    <i r="1">
      <x v="27"/>
    </i>
    <i>
      <x v="9"/>
    </i>
    <i r="1">
      <x v="7"/>
    </i>
    <i>
      <x v="10"/>
    </i>
    <i r="1">
      <x v="8"/>
    </i>
    <i>
      <x v="11"/>
    </i>
    <i r="1">
      <x v="19"/>
    </i>
    <i>
      <x v="12"/>
    </i>
    <i r="1">
      <x v="2"/>
    </i>
    <i>
      <x v="13"/>
    </i>
    <i r="1">
      <x v="20"/>
    </i>
    <i>
      <x v="14"/>
    </i>
    <i r="1">
      <x v="3"/>
    </i>
    <i>
      <x v="15"/>
    </i>
    <i r="1">
      <x v="3"/>
    </i>
    <i>
      <x v="16"/>
    </i>
    <i r="1">
      <x v="22"/>
    </i>
    <i>
      <x v="17"/>
    </i>
    <i r="1">
      <x v="1"/>
    </i>
    <i>
      <x v="18"/>
    </i>
    <i r="1">
      <x v="18"/>
    </i>
    <i>
      <x v="19"/>
    </i>
    <i r="1">
      <x v="13"/>
    </i>
    <i>
      <x v="20"/>
    </i>
    <i r="1">
      <x v="4"/>
    </i>
    <i>
      <x v="21"/>
    </i>
    <i r="1">
      <x v="17"/>
    </i>
    <i>
      <x v="22"/>
    </i>
    <i r="1">
      <x v="24"/>
    </i>
    <i>
      <x v="23"/>
    </i>
    <i r="1">
      <x v="11"/>
    </i>
    <i>
      <x v="24"/>
    </i>
    <i r="1">
      <x v="9"/>
    </i>
    <i>
      <x v="25"/>
    </i>
    <i r="1">
      <x v="12"/>
    </i>
    <i>
      <x v="26"/>
    </i>
    <i r="1"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de Saldo 31 Dic 2021" fld="12" baseField="0" baseItem="0"/>
    <dataField name="Suma de Saldo 31 Dic 2020" fld="8" baseField="0" baseItem="0"/>
    <dataField name="Suma de Saldo 31 Dic 2019" fld="4" baseField="0" baseItem="0"/>
  </dataFields>
  <formats count="25">
    <format dxfId="246">
      <pivotArea type="all" dataOnly="0" outline="0" fieldPosition="0"/>
    </format>
    <format dxfId="245">
      <pivotArea outline="0" collapsedLevelsAreSubtotals="1" fieldPosition="0"/>
    </format>
    <format dxfId="244">
      <pivotArea field="2" type="button" dataOnly="0" labelOnly="1" outline="0" axis="axisRow" fieldPosition="0"/>
    </format>
    <format dxfId="243">
      <pivotArea dataOnly="0" labelOnly="1" fieldPosition="0">
        <references count="1">
          <reference field="2" count="0"/>
        </references>
      </pivotArea>
    </format>
    <format dxfId="242">
      <pivotArea dataOnly="0" labelOnly="1" grandRow="1" outline="0" fieldPosition="0"/>
    </format>
    <format dxfId="241">
      <pivotArea dataOnly="0" labelOnly="1" fieldPosition="0">
        <references count="2">
          <reference field="2" count="1" selected="0">
            <x v="1"/>
          </reference>
          <reference field="3" count="1">
            <x v="10"/>
          </reference>
        </references>
      </pivotArea>
    </format>
    <format dxfId="240">
      <pivotArea dataOnly="0" labelOnly="1" fieldPosition="0">
        <references count="2">
          <reference field="2" count="1" selected="0">
            <x v="3"/>
          </reference>
          <reference field="3" count="2">
            <x v="6"/>
            <x v="16"/>
          </reference>
        </references>
      </pivotArea>
    </format>
    <format dxfId="239">
      <pivotArea dataOnly="0" labelOnly="1" fieldPosition="0">
        <references count="2">
          <reference field="2" count="1" selected="0">
            <x v="4"/>
          </reference>
          <reference field="3" count="1">
            <x v="14"/>
          </reference>
        </references>
      </pivotArea>
    </format>
    <format dxfId="238">
      <pivotArea dataOnly="0" labelOnly="1" fieldPosition="0">
        <references count="2">
          <reference field="2" count="1" selected="0">
            <x v="5"/>
          </reference>
          <reference field="3" count="1">
            <x v="21"/>
          </reference>
        </references>
      </pivotArea>
    </format>
    <format dxfId="237">
      <pivotArea dataOnly="0" labelOnly="1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236">
      <pivotArea dataOnly="0" labelOnly="1" fieldPosition="0">
        <references count="2">
          <reference field="2" count="1" selected="0">
            <x v="8"/>
          </reference>
          <reference field="3" count="1">
            <x v="15"/>
          </reference>
        </references>
      </pivotArea>
    </format>
    <format dxfId="235">
      <pivotArea dataOnly="0" labelOnly="1" fieldPosition="0">
        <references count="2">
          <reference field="2" count="1" selected="0">
            <x v="9"/>
          </reference>
          <reference field="3" count="1">
            <x v="7"/>
          </reference>
        </references>
      </pivotArea>
    </format>
    <format dxfId="234">
      <pivotArea dataOnly="0" labelOnly="1" fieldPosition="0">
        <references count="2">
          <reference field="2" count="1" selected="0">
            <x v="10"/>
          </reference>
          <reference field="3" count="1">
            <x v="8"/>
          </reference>
        </references>
      </pivotArea>
    </format>
    <format dxfId="233">
      <pivotArea dataOnly="0" labelOnly="1" fieldPosition="0">
        <references count="2">
          <reference field="2" count="1" selected="0">
            <x v="11"/>
          </reference>
          <reference field="3" count="1">
            <x v="19"/>
          </reference>
        </references>
      </pivotArea>
    </format>
    <format dxfId="232">
      <pivotArea dataOnly="0" labelOnly="1" fieldPosition="0">
        <references count="2">
          <reference field="2" count="1" selected="0">
            <x v="12"/>
          </reference>
          <reference field="3" count="1">
            <x v="2"/>
          </reference>
        </references>
      </pivotArea>
    </format>
    <format dxfId="231">
      <pivotArea dataOnly="0" labelOnly="1" fieldPosition="0">
        <references count="2">
          <reference field="2" count="1" selected="0">
            <x v="14"/>
          </reference>
          <reference field="3" count="1">
            <x v="3"/>
          </reference>
        </references>
      </pivotArea>
    </format>
    <format dxfId="230">
      <pivotArea dataOnly="0" labelOnly="1" fieldPosition="0">
        <references count="2">
          <reference field="2" count="1" selected="0">
            <x v="16"/>
          </reference>
          <reference field="3" count="1">
            <x v="22"/>
          </reference>
        </references>
      </pivotArea>
    </format>
    <format dxfId="229">
      <pivotArea dataOnly="0" labelOnly="1" fieldPosition="0">
        <references count="2">
          <reference field="2" count="1" selected="0">
            <x v="17"/>
          </reference>
          <reference field="3" count="1">
            <x v="1"/>
          </reference>
        </references>
      </pivotArea>
    </format>
    <format dxfId="228">
      <pivotArea dataOnly="0" labelOnly="1" fieldPosition="0">
        <references count="2">
          <reference field="2" count="1" selected="0">
            <x v="18"/>
          </reference>
          <reference field="3" count="1">
            <x v="18"/>
          </reference>
        </references>
      </pivotArea>
    </format>
    <format dxfId="227">
      <pivotArea dataOnly="0" labelOnly="1" fieldPosition="0">
        <references count="2">
          <reference field="2" count="1" selected="0">
            <x v="19"/>
          </reference>
          <reference field="3" count="1">
            <x v="13"/>
          </reference>
        </references>
      </pivotArea>
    </format>
    <format dxfId="226">
      <pivotArea dataOnly="0" labelOnly="1" fieldPosition="0">
        <references count="2">
          <reference field="2" count="1" selected="0">
            <x v="20"/>
          </reference>
          <reference field="3" count="3">
            <x v="9"/>
            <x v="11"/>
            <x v="17"/>
          </reference>
        </references>
      </pivotArea>
    </format>
    <format dxfId="225">
      <pivotArea dataOnly="0" labelOnly="1" fieldPosition="0">
        <references count="2">
          <reference field="2" count="1" selected="0">
            <x v="23"/>
          </reference>
          <reference field="3" count="3">
            <x v="9"/>
            <x v="11"/>
            <x v="17"/>
          </reference>
        </references>
      </pivotArea>
    </format>
    <format dxfId="224">
      <pivotArea dataOnly="0" labelOnly="1" fieldPosition="0">
        <references count="2">
          <reference field="2" count="1" selected="0">
            <x v="24"/>
          </reference>
          <reference field="3" count="1">
            <x v="12"/>
          </reference>
        </references>
      </pivotArea>
    </format>
    <format dxfId="223">
      <pivotArea dataOnly="0" labelOnly="1" outline="0" axis="axisValues" fieldPosition="0"/>
    </format>
    <format dxfId="222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94DB1-74FA-1343-AC1F-82ABC2B871E3}">
  <dimension ref="A1:X63"/>
  <sheetViews>
    <sheetView zoomScale="140" zoomScaleNormal="140" workbookViewId="0"/>
  </sheetViews>
  <sheetFormatPr baseColWidth="10" defaultColWidth="10.875" defaultRowHeight="15.75"/>
  <cols>
    <col min="1" max="1" width="10.875" style="1"/>
    <col min="2" max="2" width="28.875" style="1" bestFit="1" customWidth="1"/>
    <col min="3" max="3" width="11.875" style="1" bestFit="1" customWidth="1"/>
    <col min="4" max="6" width="10.875" style="1"/>
    <col min="7" max="7" width="27.875" style="1" bestFit="1" customWidth="1"/>
    <col min="8" max="8" width="11.875" style="1" bestFit="1" customWidth="1"/>
    <col min="9" max="14" width="10.875" style="1"/>
    <col min="15" max="15" width="16" style="1" bestFit="1" customWidth="1"/>
    <col min="16" max="16384" width="10.875" style="1"/>
  </cols>
  <sheetData>
    <row r="1" spans="1:24">
      <c r="A1" s="227" t="s">
        <v>1085</v>
      </c>
      <c r="B1" s="227" t="s">
        <v>144</v>
      </c>
    </row>
    <row r="3" spans="1:24" s="463" customFormat="1">
      <c r="C3" s="463">
        <v>43466</v>
      </c>
      <c r="E3" s="463">
        <v>43830</v>
      </c>
      <c r="G3" s="463">
        <v>44561</v>
      </c>
      <c r="L3" s="468" t="s">
        <v>1121</v>
      </c>
    </row>
    <row r="4" spans="1:24">
      <c r="B4" s="1" t="s">
        <v>993</v>
      </c>
      <c r="C4" s="1">
        <v>10000</v>
      </c>
      <c r="E4" s="1">
        <f>C8</f>
        <v>15000</v>
      </c>
      <c r="L4" s="1" t="s">
        <v>1122</v>
      </c>
      <c r="O4" s="240" t="s">
        <v>1125</v>
      </c>
    </row>
    <row r="5" spans="1:24">
      <c r="B5" s="1" t="s">
        <v>144</v>
      </c>
      <c r="G5" s="1" t="s">
        <v>1076</v>
      </c>
      <c r="L5" s="240" t="s">
        <v>1123</v>
      </c>
      <c r="M5" s="240" t="s">
        <v>1124</v>
      </c>
      <c r="N5" s="240" t="s">
        <v>206</v>
      </c>
      <c r="O5" s="240" t="s">
        <v>1126</v>
      </c>
      <c r="U5" s="227" t="s">
        <v>1137</v>
      </c>
    </row>
    <row r="6" spans="1:24">
      <c r="B6" s="1" t="s">
        <v>1071</v>
      </c>
      <c r="G6" s="1" t="s">
        <v>1077</v>
      </c>
      <c r="H6" s="1">
        <v>22000</v>
      </c>
      <c r="L6" s="1">
        <f>E4</f>
        <v>15000</v>
      </c>
      <c r="M6" s="1">
        <f>C4</f>
        <v>10000</v>
      </c>
      <c r="N6" s="1">
        <f>L6-M6</f>
        <v>5000</v>
      </c>
      <c r="O6" s="1">
        <f>N6*10%</f>
        <v>500</v>
      </c>
      <c r="U6" s="1" t="s">
        <v>1138</v>
      </c>
      <c r="W6" s="1">
        <f>N6</f>
        <v>5000</v>
      </c>
    </row>
    <row r="7" spans="1:24">
      <c r="Q7" s="227" t="s">
        <v>1131</v>
      </c>
      <c r="U7" s="464" t="s">
        <v>484</v>
      </c>
      <c r="V7" s="465"/>
      <c r="W7" s="466">
        <f>W6*10%</f>
        <v>500</v>
      </c>
    </row>
    <row r="8" spans="1:24">
      <c r="B8" s="1" t="s">
        <v>1081</v>
      </c>
      <c r="C8" s="1">
        <v>15000</v>
      </c>
      <c r="L8" s="1" t="s">
        <v>1082</v>
      </c>
      <c r="Q8" s="1" t="s">
        <v>1132</v>
      </c>
      <c r="T8" s="1" t="s">
        <v>1133</v>
      </c>
    </row>
    <row r="9" spans="1:24">
      <c r="L9" s="1" t="s">
        <v>1075</v>
      </c>
      <c r="O9" s="1">
        <f>O6</f>
        <v>500</v>
      </c>
      <c r="Q9" s="1" t="s">
        <v>1134</v>
      </c>
      <c r="T9" s="1" t="s">
        <v>1135</v>
      </c>
      <c r="U9" s="1" t="s">
        <v>1139</v>
      </c>
      <c r="X9" s="1">
        <f>W7</f>
        <v>500</v>
      </c>
    </row>
    <row r="10" spans="1:24">
      <c r="B10" s="1" t="s">
        <v>1072</v>
      </c>
      <c r="C10" s="1">
        <f>C8-C4</f>
        <v>5000</v>
      </c>
      <c r="G10" s="1" t="s">
        <v>1078</v>
      </c>
      <c r="H10" s="1">
        <f>H6</f>
        <v>22000</v>
      </c>
      <c r="L10" s="464" t="s">
        <v>1127</v>
      </c>
      <c r="M10" s="465"/>
      <c r="N10" s="465"/>
      <c r="O10" s="466">
        <f>-O9</f>
        <v>-500</v>
      </c>
      <c r="Q10" s="1" t="s">
        <v>1136</v>
      </c>
      <c r="T10" s="1" t="s">
        <v>1133</v>
      </c>
      <c r="U10" s="1" t="s">
        <v>1140</v>
      </c>
      <c r="X10" s="1">
        <f>-X9</f>
        <v>-500</v>
      </c>
    </row>
    <row r="11" spans="1:24">
      <c r="B11" s="1" t="s">
        <v>1073</v>
      </c>
      <c r="C11" s="1">
        <f>-C10</f>
        <v>-5000</v>
      </c>
      <c r="E11" s="1">
        <f>C11</f>
        <v>-5000</v>
      </c>
      <c r="G11" s="1" t="s">
        <v>1079</v>
      </c>
      <c r="H11" s="1">
        <f>-E4</f>
        <v>-15000</v>
      </c>
    </row>
    <row r="12" spans="1:24">
      <c r="B12" s="1" t="s">
        <v>1075</v>
      </c>
      <c r="G12" s="1" t="s">
        <v>1080</v>
      </c>
      <c r="H12" s="1">
        <f>-SUM(H10:H11)</f>
        <v>-7000</v>
      </c>
      <c r="I12" s="454" t="s">
        <v>1084</v>
      </c>
      <c r="L12" s="464" t="s">
        <v>1128</v>
      </c>
      <c r="M12" s="465"/>
      <c r="N12" s="465"/>
      <c r="O12" s="466">
        <f>E11+O9</f>
        <v>-4500</v>
      </c>
      <c r="Q12" s="227" t="s">
        <v>1141</v>
      </c>
    </row>
    <row r="13" spans="1:24">
      <c r="B13" s="1" t="s">
        <v>1074</v>
      </c>
      <c r="Q13" s="1" t="s">
        <v>1132</v>
      </c>
      <c r="T13" s="1">
        <f>X9</f>
        <v>500</v>
      </c>
    </row>
    <row r="14" spans="1:24">
      <c r="G14" s="1" t="s">
        <v>1082</v>
      </c>
      <c r="H14" s="1">
        <f>-O12</f>
        <v>4500</v>
      </c>
      <c r="L14" s="1" t="s">
        <v>1129</v>
      </c>
      <c r="O14" s="1">
        <f>-O10</f>
        <v>500</v>
      </c>
      <c r="Q14" s="1" t="s">
        <v>1136</v>
      </c>
      <c r="T14" s="469">
        <f>O15</f>
        <v>-500</v>
      </c>
    </row>
    <row r="15" spans="1:24">
      <c r="G15" s="1" t="s">
        <v>1075</v>
      </c>
      <c r="L15" s="1" t="s">
        <v>1130</v>
      </c>
      <c r="O15" s="1">
        <f>-O14</f>
        <v>-500</v>
      </c>
      <c r="T15" s="227">
        <f>SUM(T13:T14)</f>
        <v>0</v>
      </c>
    </row>
    <row r="16" spans="1:24">
      <c r="G16" s="1" t="s">
        <v>1073</v>
      </c>
      <c r="H16" s="1">
        <f>-H14</f>
        <v>-4500</v>
      </c>
      <c r="I16" s="454" t="s">
        <v>1084</v>
      </c>
    </row>
    <row r="17" spans="1:10">
      <c r="G17" s="1" t="s">
        <v>1083</v>
      </c>
    </row>
    <row r="18" spans="1:10" s="467" customFormat="1" ht="5.0999999999999996" customHeight="1"/>
    <row r="19" spans="1:10">
      <c r="A19" s="227" t="s">
        <v>1086</v>
      </c>
      <c r="B19" s="227" t="s">
        <v>1087</v>
      </c>
    </row>
    <row r="21" spans="1:10" s="463" customFormat="1">
      <c r="C21" s="463">
        <v>44196</v>
      </c>
      <c r="E21" s="463">
        <v>44561</v>
      </c>
    </row>
    <row r="22" spans="1:10">
      <c r="B22" s="1" t="s">
        <v>993</v>
      </c>
      <c r="C22" s="1">
        <v>10000</v>
      </c>
      <c r="E22" s="1">
        <f>C22+C29</f>
        <v>15000</v>
      </c>
      <c r="G22" s="227" t="s">
        <v>1092</v>
      </c>
    </row>
    <row r="23" spans="1:10">
      <c r="B23" s="1" t="s">
        <v>1088</v>
      </c>
      <c r="G23" s="1" t="s">
        <v>1093</v>
      </c>
      <c r="H23" s="240">
        <v>2021</v>
      </c>
      <c r="I23" s="240"/>
      <c r="J23" s="240">
        <v>2020</v>
      </c>
    </row>
    <row r="24" spans="1:10">
      <c r="B24" s="1" t="s">
        <v>1089</v>
      </c>
      <c r="G24" s="1" t="s">
        <v>133</v>
      </c>
      <c r="H24" s="1">
        <f>E22</f>
        <v>15000</v>
      </c>
      <c r="J24" s="1">
        <f>C22</f>
        <v>10000</v>
      </c>
    </row>
    <row r="25" spans="1:10">
      <c r="B25" s="454" t="s">
        <v>1090</v>
      </c>
    </row>
    <row r="26" spans="1:10">
      <c r="G26" s="1" t="s">
        <v>1094</v>
      </c>
    </row>
    <row r="27" spans="1:10">
      <c r="B27" s="464" t="s">
        <v>332</v>
      </c>
      <c r="C27" s="465"/>
      <c r="D27" s="465"/>
      <c r="E27" s="466">
        <v>15000</v>
      </c>
      <c r="G27" s="1" t="s">
        <v>1095</v>
      </c>
      <c r="H27" s="1">
        <f>E30</f>
        <v>-5000</v>
      </c>
      <c r="J27" s="1">
        <v>0</v>
      </c>
    </row>
    <row r="29" spans="1:10">
      <c r="B29" s="1" t="s">
        <v>1072</v>
      </c>
      <c r="C29" s="1">
        <f>E27-C22</f>
        <v>5000</v>
      </c>
      <c r="G29" s="227" t="s">
        <v>1102</v>
      </c>
    </row>
    <row r="30" spans="1:10">
      <c r="B30" s="1" t="s">
        <v>1073</v>
      </c>
      <c r="C30" s="1">
        <f>-C29</f>
        <v>-5000</v>
      </c>
      <c r="E30" s="1">
        <f>C30</f>
        <v>-5000</v>
      </c>
      <c r="G30" s="1" t="s">
        <v>1097</v>
      </c>
    </row>
    <row r="31" spans="1:10">
      <c r="B31" s="1" t="s">
        <v>1091</v>
      </c>
      <c r="G31" s="1" t="s">
        <v>1098</v>
      </c>
    </row>
    <row r="32" spans="1:10">
      <c r="G32" s="1" t="s">
        <v>568</v>
      </c>
      <c r="H32" s="1">
        <f>H12</f>
        <v>-7000</v>
      </c>
    </row>
    <row r="33" spans="2:9">
      <c r="G33" s="449" t="s">
        <v>1099</v>
      </c>
    </row>
    <row r="34" spans="2:9">
      <c r="G34" s="1" t="s">
        <v>1100</v>
      </c>
    </row>
    <row r="35" spans="2:9">
      <c r="G35" s="449" t="s">
        <v>1101</v>
      </c>
      <c r="H35" s="449">
        <f>SUM(H32:H34)</f>
        <v>-7000</v>
      </c>
      <c r="I35" s="454" t="s">
        <v>1105</v>
      </c>
    </row>
    <row r="37" spans="2:9">
      <c r="G37" s="1" t="s">
        <v>143</v>
      </c>
    </row>
    <row r="38" spans="2:9">
      <c r="G38" s="454" t="s">
        <v>1103</v>
      </c>
      <c r="H38" s="1">
        <f>H27</f>
        <v>-5000</v>
      </c>
    </row>
    <row r="40" spans="2:9">
      <c r="G40" s="449" t="s">
        <v>1104</v>
      </c>
      <c r="H40" s="449">
        <f>H35+H38</f>
        <v>-12000</v>
      </c>
    </row>
    <row r="41" spans="2:9" s="467" customFormat="1" ht="5.0999999999999996" customHeight="1"/>
    <row r="42" spans="2:9">
      <c r="B42" s="1" t="s">
        <v>1106</v>
      </c>
      <c r="C42" s="463">
        <v>44503</v>
      </c>
    </row>
    <row r="43" spans="2:9">
      <c r="B43" s="1" t="s">
        <v>1107</v>
      </c>
      <c r="C43" s="1">
        <v>13500</v>
      </c>
    </row>
    <row r="44" spans="2:9">
      <c r="C44" s="1">
        <v>3623</v>
      </c>
      <c r="D44" s="1" t="s">
        <v>487</v>
      </c>
    </row>
    <row r="46" spans="2:9">
      <c r="B46" s="1" t="s">
        <v>1108</v>
      </c>
      <c r="C46" s="1">
        <f>C43*C44</f>
        <v>48910500</v>
      </c>
      <c r="E46" s="1" t="s">
        <v>1113</v>
      </c>
      <c r="G46" s="1" t="s">
        <v>1116</v>
      </c>
    </row>
    <row r="47" spans="2:9">
      <c r="B47" s="1" t="s">
        <v>1109</v>
      </c>
      <c r="C47" s="1">
        <f>-C46</f>
        <v>-48910500</v>
      </c>
      <c r="E47" s="1" t="s">
        <v>1114</v>
      </c>
      <c r="G47" s="1" t="s">
        <v>1115</v>
      </c>
    </row>
    <row r="49" spans="2:8">
      <c r="C49" s="463">
        <v>44561</v>
      </c>
    </row>
    <row r="50" spans="2:8">
      <c r="C50" s="1">
        <v>3870</v>
      </c>
      <c r="D50" s="1" t="s">
        <v>487</v>
      </c>
      <c r="G50" s="227" t="s">
        <v>1092</v>
      </c>
    </row>
    <row r="51" spans="2:8">
      <c r="B51" s="1" t="s">
        <v>1110</v>
      </c>
      <c r="G51" s="1" t="s">
        <v>1118</v>
      </c>
    </row>
    <row r="52" spans="2:8">
      <c r="B52" s="1" t="s">
        <v>1111</v>
      </c>
      <c r="C52" s="1">
        <f>-C43*C50</f>
        <v>-52245000</v>
      </c>
      <c r="G52" s="1" t="s">
        <v>276</v>
      </c>
      <c r="H52" s="1">
        <f>C46</f>
        <v>48910500</v>
      </c>
    </row>
    <row r="54" spans="2:8">
      <c r="B54" s="1" t="s">
        <v>1112</v>
      </c>
      <c r="G54" s="1" t="s">
        <v>1119</v>
      </c>
    </row>
    <row r="55" spans="2:8">
      <c r="G55" s="1" t="s">
        <v>1120</v>
      </c>
      <c r="H55" s="1">
        <f>C47+D57</f>
        <v>-52245000</v>
      </c>
    </row>
    <row r="56" spans="2:8">
      <c r="B56" s="1" t="s">
        <v>1117</v>
      </c>
      <c r="D56" s="1">
        <f>C47-C52</f>
        <v>3334500</v>
      </c>
    </row>
    <row r="57" spans="2:8">
      <c r="B57" s="1" t="s">
        <v>1109</v>
      </c>
      <c r="D57" s="1">
        <f>-D56</f>
        <v>-3334500</v>
      </c>
      <c r="G57" s="227" t="s">
        <v>1096</v>
      </c>
    </row>
    <row r="58" spans="2:8">
      <c r="G58" s="1" t="s">
        <v>1097</v>
      </c>
    </row>
    <row r="59" spans="2:8">
      <c r="G59" s="1" t="s">
        <v>1098</v>
      </c>
    </row>
    <row r="60" spans="2:8">
      <c r="G60" s="1" t="s">
        <v>150</v>
      </c>
      <c r="H60" s="1">
        <f>D56</f>
        <v>3334500</v>
      </c>
    </row>
    <row r="61" spans="2:8">
      <c r="G61" s="449" t="s">
        <v>1099</v>
      </c>
    </row>
    <row r="62" spans="2:8">
      <c r="G62" s="1" t="s">
        <v>1100</v>
      </c>
    </row>
    <row r="63" spans="2:8">
      <c r="G63" s="449" t="s">
        <v>1101</v>
      </c>
      <c r="H63" s="449">
        <f>SUM(H60:H62)</f>
        <v>3334500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72776-0BA0-5C4C-B987-9BB1262BF56C}">
  <dimension ref="A1:P197"/>
  <sheetViews>
    <sheetView zoomScaleNormal="100" workbookViewId="0"/>
  </sheetViews>
  <sheetFormatPr baseColWidth="10" defaultColWidth="10.875" defaultRowHeight="15.75"/>
  <cols>
    <col min="1" max="1" width="9.125" style="18" bestFit="1" customWidth="1"/>
    <col min="2" max="2" width="48.375" style="18" bestFit="1" customWidth="1"/>
    <col min="3" max="3" width="3.125" style="18" bestFit="1" customWidth="1"/>
    <col min="4" max="4" width="48.625" style="457" bestFit="1" customWidth="1"/>
    <col min="5" max="5" width="15.5" style="18" customWidth="1"/>
    <col min="6" max="6" width="15.125" style="18" customWidth="1"/>
    <col min="7" max="8" width="15.875" style="19" customWidth="1"/>
    <col min="9" max="9" width="15" style="18" bestFit="1" customWidth="1"/>
    <col min="10" max="10" width="15.125" style="18" customWidth="1"/>
    <col min="11" max="12" width="15.875" style="19" customWidth="1"/>
    <col min="13" max="13" width="15" style="18" bestFit="1" customWidth="1"/>
    <col min="14" max="15" width="15.125" style="18" customWidth="1"/>
    <col min="16" max="16" width="28.5" style="18" bestFit="1" customWidth="1"/>
    <col min="17" max="16384" width="10.875" style="18"/>
  </cols>
  <sheetData>
    <row r="1" spans="1:16">
      <c r="A1" s="292" t="s">
        <v>910</v>
      </c>
    </row>
    <row r="2" spans="1:16">
      <c r="A2" s="292" t="s">
        <v>1024</v>
      </c>
    </row>
    <row r="3" spans="1:16" s="1" customFormat="1">
      <c r="D3" s="458"/>
      <c r="G3" s="470" t="s">
        <v>199</v>
      </c>
      <c r="H3" s="471"/>
      <c r="K3" s="470" t="s">
        <v>199</v>
      </c>
      <c r="L3" s="471"/>
    </row>
    <row r="4" spans="1:16" s="1" customFormat="1">
      <c r="A4" s="2" t="s">
        <v>1</v>
      </c>
      <c r="B4" s="3" t="s">
        <v>2</v>
      </c>
      <c r="C4" s="3" t="s">
        <v>154</v>
      </c>
      <c r="D4" s="459" t="s">
        <v>131</v>
      </c>
      <c r="E4" s="4" t="s">
        <v>188</v>
      </c>
      <c r="F4" s="20" t="s">
        <v>703</v>
      </c>
      <c r="G4" s="221" t="s">
        <v>197</v>
      </c>
      <c r="H4" s="221" t="s">
        <v>198</v>
      </c>
      <c r="I4" s="4" t="s">
        <v>704</v>
      </c>
      <c r="J4" s="20" t="s">
        <v>1025</v>
      </c>
      <c r="K4" s="221" t="s">
        <v>197</v>
      </c>
      <c r="L4" s="221" t="s">
        <v>198</v>
      </c>
      <c r="M4" s="4" t="s">
        <v>1026</v>
      </c>
      <c r="N4" s="4" t="s">
        <v>537</v>
      </c>
      <c r="O4" s="4" t="s">
        <v>538</v>
      </c>
      <c r="P4" s="4" t="s">
        <v>676</v>
      </c>
    </row>
    <row r="5" spans="1:16" s="1" customFormat="1">
      <c r="A5" s="5">
        <v>11051000</v>
      </c>
      <c r="B5" s="5" t="s">
        <v>3</v>
      </c>
      <c r="C5" s="5">
        <v>10</v>
      </c>
      <c r="D5" s="456" t="s">
        <v>127</v>
      </c>
      <c r="E5" s="7">
        <v>7131366</v>
      </c>
      <c r="F5" s="21">
        <v>2365544.44</v>
      </c>
      <c r="G5" s="172"/>
      <c r="H5" s="172"/>
      <c r="I5" s="7">
        <f t="shared" ref="I5:I36" si="0">E5+F5+G5-H5</f>
        <v>9496910.4399999995</v>
      </c>
      <c r="J5" s="21">
        <v>-8866931.2599999998</v>
      </c>
      <c r="K5" s="172"/>
      <c r="L5" s="172"/>
      <c r="M5" s="7">
        <f t="shared" ref="M5:M36" si="1">I5+J5+K5-L5</f>
        <v>629979.1799999997</v>
      </c>
    </row>
    <row r="6" spans="1:16" s="1" customFormat="1">
      <c r="A6" s="5">
        <v>11100502</v>
      </c>
      <c r="B6" s="5" t="s">
        <v>5</v>
      </c>
      <c r="C6" s="5">
        <v>10</v>
      </c>
      <c r="D6" s="456" t="s">
        <v>127</v>
      </c>
      <c r="E6" s="7">
        <v>430445855</v>
      </c>
      <c r="F6" s="21">
        <v>-364223788.19999999</v>
      </c>
      <c r="G6" s="172"/>
      <c r="H6" s="172"/>
      <c r="I6" s="7">
        <f t="shared" si="0"/>
        <v>66222066.800000012</v>
      </c>
      <c r="J6" s="21">
        <v>697533707.79999995</v>
      </c>
      <c r="K6" s="172"/>
      <c r="L6" s="172"/>
      <c r="M6" s="7">
        <f t="shared" si="1"/>
        <v>763755774.5999999</v>
      </c>
    </row>
    <row r="7" spans="1:16" s="1" customFormat="1">
      <c r="A7" s="5">
        <v>11200500</v>
      </c>
      <c r="B7" s="5" t="s">
        <v>6</v>
      </c>
      <c r="C7" s="5">
        <v>10</v>
      </c>
      <c r="D7" s="456" t="s">
        <v>127</v>
      </c>
      <c r="E7" s="7">
        <v>0</v>
      </c>
      <c r="F7" s="21">
        <v>0</v>
      </c>
      <c r="G7" s="172"/>
      <c r="H7" s="172"/>
      <c r="I7" s="7">
        <f t="shared" si="0"/>
        <v>0</v>
      </c>
      <c r="J7" s="21">
        <v>1398097.11</v>
      </c>
      <c r="K7" s="172"/>
      <c r="L7" s="172"/>
      <c r="M7" s="7">
        <f t="shared" si="1"/>
        <v>1398097.11</v>
      </c>
    </row>
    <row r="8" spans="1:16" s="1" customFormat="1">
      <c r="A8" s="5">
        <v>11200501</v>
      </c>
      <c r="B8" s="5" t="s">
        <v>705</v>
      </c>
      <c r="C8" s="5">
        <v>10</v>
      </c>
      <c r="D8" s="456" t="s">
        <v>127</v>
      </c>
      <c r="E8" s="7">
        <v>0</v>
      </c>
      <c r="F8" s="21">
        <v>0</v>
      </c>
      <c r="G8" s="172"/>
      <c r="H8" s="172"/>
      <c r="I8" s="7">
        <f t="shared" si="0"/>
        <v>0</v>
      </c>
      <c r="J8" s="21">
        <v>4357.74</v>
      </c>
      <c r="K8" s="172"/>
      <c r="L8" s="172"/>
      <c r="M8" s="7">
        <f t="shared" si="1"/>
        <v>4357.74</v>
      </c>
    </row>
    <row r="9" spans="1:16" s="1" customFormat="1">
      <c r="A9" s="5">
        <v>11200502</v>
      </c>
      <c r="B9" s="5" t="s">
        <v>706</v>
      </c>
      <c r="C9" s="5">
        <v>10</v>
      </c>
      <c r="D9" s="456" t="s">
        <v>127</v>
      </c>
      <c r="E9" s="7">
        <v>0</v>
      </c>
      <c r="F9" s="21">
        <v>0</v>
      </c>
      <c r="G9" s="172"/>
      <c r="H9" s="172"/>
      <c r="I9" s="7">
        <f t="shared" si="0"/>
        <v>0</v>
      </c>
      <c r="J9" s="21">
        <v>474695.38</v>
      </c>
      <c r="K9" s="172"/>
      <c r="L9" s="172"/>
      <c r="M9" s="7">
        <f t="shared" si="1"/>
        <v>474695.38</v>
      </c>
    </row>
    <row r="10" spans="1:16" s="1" customFormat="1">
      <c r="A10" s="5">
        <v>11200503</v>
      </c>
      <c r="B10" s="5" t="s">
        <v>707</v>
      </c>
      <c r="C10" s="5">
        <v>10</v>
      </c>
      <c r="D10" s="456" t="s">
        <v>127</v>
      </c>
      <c r="E10" s="7">
        <v>0</v>
      </c>
      <c r="F10" s="21">
        <v>0</v>
      </c>
      <c r="G10" s="172"/>
      <c r="H10" s="172"/>
      <c r="I10" s="7">
        <f t="shared" si="0"/>
        <v>0</v>
      </c>
      <c r="J10" s="21">
        <v>2197898.94</v>
      </c>
      <c r="K10" s="172"/>
      <c r="L10" s="172"/>
      <c r="M10" s="7">
        <f t="shared" si="1"/>
        <v>2197898.94</v>
      </c>
    </row>
    <row r="11" spans="1:16" s="1" customFormat="1">
      <c r="A11" s="5">
        <v>11200504</v>
      </c>
      <c r="B11" s="5" t="s">
        <v>708</v>
      </c>
      <c r="C11" s="5">
        <v>10</v>
      </c>
      <c r="D11" s="456" t="s">
        <v>127</v>
      </c>
      <c r="E11" s="7">
        <v>0</v>
      </c>
      <c r="F11" s="21">
        <v>0</v>
      </c>
      <c r="G11" s="172"/>
      <c r="H11" s="172"/>
      <c r="I11" s="7">
        <f t="shared" si="0"/>
        <v>0</v>
      </c>
      <c r="J11" s="21">
        <v>1983409.29</v>
      </c>
      <c r="K11" s="172"/>
      <c r="L11" s="172"/>
      <c r="M11" s="7">
        <f t="shared" si="1"/>
        <v>1983409.29</v>
      </c>
    </row>
    <row r="12" spans="1:16" s="1" customFormat="1">
      <c r="A12" s="5">
        <v>13050500</v>
      </c>
      <c r="B12" s="5" t="s">
        <v>7</v>
      </c>
      <c r="C12" s="5">
        <v>11</v>
      </c>
      <c r="D12" s="456" t="s">
        <v>128</v>
      </c>
      <c r="E12" s="7">
        <v>949204100.69000006</v>
      </c>
      <c r="F12" s="21">
        <v>1016678786.3200001</v>
      </c>
      <c r="G12" s="172"/>
      <c r="H12" s="172"/>
      <c r="I12" s="7">
        <f t="shared" si="0"/>
        <v>1965882887.0100002</v>
      </c>
      <c r="J12" s="21">
        <v>-176524405.71000001</v>
      </c>
      <c r="K12" s="172"/>
      <c r="L12" s="172"/>
      <c r="M12" s="7">
        <f t="shared" si="1"/>
        <v>1789358481.3000002</v>
      </c>
    </row>
    <row r="13" spans="1:16" s="1" customFormat="1">
      <c r="A13" s="5">
        <v>13300500</v>
      </c>
      <c r="B13" s="5" t="s">
        <v>8</v>
      </c>
      <c r="C13" s="5">
        <v>12</v>
      </c>
      <c r="D13" s="456" t="s">
        <v>129</v>
      </c>
      <c r="E13" s="7">
        <v>0</v>
      </c>
      <c r="F13" s="21">
        <v>0</v>
      </c>
      <c r="G13" s="172"/>
      <c r="H13" s="172"/>
      <c r="I13" s="7">
        <f t="shared" si="0"/>
        <v>0</v>
      </c>
      <c r="J13" s="21">
        <v>29798151</v>
      </c>
      <c r="K13" s="172"/>
      <c r="L13" s="172"/>
      <c r="M13" s="7">
        <f t="shared" si="1"/>
        <v>29798151</v>
      </c>
    </row>
    <row r="14" spans="1:16" s="1" customFormat="1">
      <c r="A14" s="5">
        <v>13301500</v>
      </c>
      <c r="B14" s="5" t="s">
        <v>9</v>
      </c>
      <c r="C14" s="5">
        <v>12</v>
      </c>
      <c r="D14" s="456" t="s">
        <v>129</v>
      </c>
      <c r="E14" s="7">
        <v>20136142</v>
      </c>
      <c r="F14" s="21">
        <v>-20136142</v>
      </c>
      <c r="G14" s="172"/>
      <c r="H14" s="172"/>
      <c r="I14" s="7">
        <f t="shared" si="0"/>
        <v>0</v>
      </c>
      <c r="J14" s="21">
        <v>1226278</v>
      </c>
      <c r="K14" s="172"/>
      <c r="L14" s="172"/>
      <c r="M14" s="7">
        <f t="shared" si="1"/>
        <v>1226278</v>
      </c>
    </row>
    <row r="15" spans="1:16" s="1" customFormat="1">
      <c r="A15" s="5">
        <v>13550501</v>
      </c>
      <c r="B15" s="5" t="s">
        <v>10</v>
      </c>
      <c r="C15" s="5">
        <v>13</v>
      </c>
      <c r="D15" s="456" t="s">
        <v>186</v>
      </c>
      <c r="E15" s="7">
        <v>121343848</v>
      </c>
      <c r="F15" s="21">
        <v>241492327.72999999</v>
      </c>
      <c r="G15" s="172"/>
      <c r="H15" s="172"/>
      <c r="I15" s="7">
        <f t="shared" si="0"/>
        <v>362836175.73000002</v>
      </c>
      <c r="J15" s="21">
        <v>-67313354.930000007</v>
      </c>
      <c r="K15" s="172"/>
      <c r="L15" s="172"/>
      <c r="M15" s="7">
        <f t="shared" si="1"/>
        <v>295522820.80000001</v>
      </c>
    </row>
    <row r="16" spans="1:16" s="1" customFormat="1">
      <c r="A16" s="5">
        <v>13551800</v>
      </c>
      <c r="B16" s="5" t="s">
        <v>11</v>
      </c>
      <c r="C16" s="5">
        <v>12</v>
      </c>
      <c r="D16" s="456" t="s">
        <v>129</v>
      </c>
      <c r="E16" s="7">
        <v>0</v>
      </c>
      <c r="F16" s="21">
        <v>0</v>
      </c>
      <c r="G16" s="172"/>
      <c r="H16" s="172"/>
      <c r="I16" s="7">
        <f t="shared" si="0"/>
        <v>0</v>
      </c>
      <c r="J16" s="21">
        <v>0</v>
      </c>
      <c r="K16" s="172"/>
      <c r="L16" s="172"/>
      <c r="M16" s="7">
        <f t="shared" si="1"/>
        <v>0</v>
      </c>
    </row>
    <row r="17" spans="1:13" s="1" customFormat="1">
      <c r="A17" s="5">
        <v>13552000</v>
      </c>
      <c r="B17" s="5" t="s">
        <v>12</v>
      </c>
      <c r="C17" s="5">
        <v>12</v>
      </c>
      <c r="D17" s="456" t="s">
        <v>129</v>
      </c>
      <c r="E17" s="7">
        <v>437579000</v>
      </c>
      <c r="F17" s="21">
        <v>-55215000</v>
      </c>
      <c r="G17" s="172"/>
      <c r="H17" s="172"/>
      <c r="I17" s="7">
        <f t="shared" si="0"/>
        <v>382364000</v>
      </c>
      <c r="J17" s="21">
        <v>-16549000</v>
      </c>
      <c r="K17" s="172"/>
      <c r="L17" s="172"/>
      <c r="M17" s="7">
        <f t="shared" si="1"/>
        <v>365815000</v>
      </c>
    </row>
    <row r="18" spans="1:13" s="1" customFormat="1">
      <c r="A18" s="5">
        <v>13801500</v>
      </c>
      <c r="B18" s="5" t="s">
        <v>709</v>
      </c>
      <c r="C18" s="5">
        <v>10</v>
      </c>
      <c r="D18" s="456" t="s">
        <v>190</v>
      </c>
      <c r="E18" s="7">
        <v>0</v>
      </c>
      <c r="F18" s="21">
        <v>1031998369.75</v>
      </c>
      <c r="G18" s="172"/>
      <c r="H18" s="172"/>
      <c r="I18" s="7">
        <f t="shared" si="0"/>
        <v>1031998369.75</v>
      </c>
      <c r="J18" s="21">
        <v>-979820396.54999995</v>
      </c>
      <c r="K18" s="172"/>
      <c r="L18" s="172"/>
      <c r="M18" s="7">
        <f t="shared" si="1"/>
        <v>52177973.200000048</v>
      </c>
    </row>
    <row r="19" spans="1:13" s="1" customFormat="1">
      <c r="A19" s="5">
        <v>13809500</v>
      </c>
      <c r="B19" s="5" t="s">
        <v>710</v>
      </c>
      <c r="C19" s="5">
        <v>12</v>
      </c>
      <c r="D19" s="456" t="s">
        <v>129</v>
      </c>
      <c r="E19" s="7">
        <v>0</v>
      </c>
      <c r="F19" s="21">
        <v>0</v>
      </c>
      <c r="G19" s="172"/>
      <c r="H19" s="172"/>
      <c r="I19" s="7">
        <f t="shared" si="0"/>
        <v>0</v>
      </c>
      <c r="J19" s="21">
        <v>28853863.989999998</v>
      </c>
      <c r="K19" s="172"/>
      <c r="L19" s="172"/>
      <c r="M19" s="7">
        <f t="shared" si="1"/>
        <v>28853863.989999998</v>
      </c>
    </row>
    <row r="20" spans="1:13" s="1" customFormat="1">
      <c r="A20" s="5">
        <v>14000000</v>
      </c>
      <c r="B20" s="5" t="s">
        <v>711</v>
      </c>
      <c r="C20" s="5">
        <v>14</v>
      </c>
      <c r="D20" s="456" t="s">
        <v>132</v>
      </c>
      <c r="E20" s="7">
        <v>0</v>
      </c>
      <c r="F20" s="21">
        <v>0</v>
      </c>
      <c r="G20" s="172"/>
      <c r="H20" s="172"/>
      <c r="I20" s="7">
        <f t="shared" si="0"/>
        <v>0</v>
      </c>
      <c r="J20" s="21">
        <v>-2881091.5</v>
      </c>
      <c r="K20" s="172"/>
      <c r="L20" s="172"/>
      <c r="M20" s="7">
        <f t="shared" si="1"/>
        <v>-2881091.5</v>
      </c>
    </row>
    <row r="21" spans="1:13" s="1" customFormat="1">
      <c r="A21" s="5">
        <v>14100100</v>
      </c>
      <c r="B21" s="5" t="s">
        <v>712</v>
      </c>
      <c r="C21" s="5">
        <v>14</v>
      </c>
      <c r="D21" s="456" t="s">
        <v>132</v>
      </c>
      <c r="E21" s="7">
        <v>0</v>
      </c>
      <c r="F21" s="21">
        <v>0</v>
      </c>
      <c r="G21" s="172"/>
      <c r="H21" s="172"/>
      <c r="I21" s="7">
        <f t="shared" si="0"/>
        <v>0</v>
      </c>
      <c r="J21" s="21">
        <v>23984.32</v>
      </c>
      <c r="K21" s="172"/>
      <c r="L21" s="172"/>
      <c r="M21" s="7">
        <f t="shared" si="1"/>
        <v>23984.32</v>
      </c>
    </row>
    <row r="22" spans="1:13" s="1" customFormat="1">
      <c r="A22" s="5">
        <v>14100101</v>
      </c>
      <c r="B22" s="5" t="s">
        <v>713</v>
      </c>
      <c r="C22" s="5">
        <v>14</v>
      </c>
      <c r="D22" s="456" t="s">
        <v>132</v>
      </c>
      <c r="E22" s="7">
        <v>0</v>
      </c>
      <c r="F22" s="21">
        <v>0</v>
      </c>
      <c r="G22" s="172"/>
      <c r="H22" s="172"/>
      <c r="I22" s="7">
        <f t="shared" si="0"/>
        <v>0</v>
      </c>
      <c r="J22" s="21">
        <v>0</v>
      </c>
      <c r="K22" s="172"/>
      <c r="L22" s="172"/>
      <c r="M22" s="7">
        <f t="shared" si="1"/>
        <v>0</v>
      </c>
    </row>
    <row r="23" spans="1:13" s="1" customFormat="1">
      <c r="A23" s="5">
        <v>14200001</v>
      </c>
      <c r="B23" s="5" t="s">
        <v>155</v>
      </c>
      <c r="C23" s="5">
        <v>14</v>
      </c>
      <c r="D23" s="456" t="s">
        <v>132</v>
      </c>
      <c r="E23" s="7">
        <v>1264733852</v>
      </c>
      <c r="F23" s="21">
        <v>-714357734</v>
      </c>
      <c r="G23" s="172"/>
      <c r="H23" s="172"/>
      <c r="I23" s="7">
        <f t="shared" si="0"/>
        <v>550376118</v>
      </c>
      <c r="J23" s="21">
        <v>2035305368.7</v>
      </c>
      <c r="K23" s="172"/>
      <c r="L23" s="172"/>
      <c r="M23" s="7">
        <f t="shared" si="1"/>
        <v>2585681486.6999998</v>
      </c>
    </row>
    <row r="24" spans="1:13" s="1" customFormat="1">
      <c r="A24" s="5">
        <v>14200002</v>
      </c>
      <c r="B24" s="5" t="s">
        <v>13</v>
      </c>
      <c r="C24" s="5">
        <v>14</v>
      </c>
      <c r="D24" s="456" t="s">
        <v>132</v>
      </c>
      <c r="E24" s="7">
        <v>97583258</v>
      </c>
      <c r="F24" s="21">
        <v>98618576.579999998</v>
      </c>
      <c r="G24" s="172"/>
      <c r="H24" s="172"/>
      <c r="I24" s="7">
        <f t="shared" si="0"/>
        <v>196201834.57999998</v>
      </c>
      <c r="J24" s="21">
        <v>-75039338.829999998</v>
      </c>
      <c r="K24" s="172"/>
      <c r="L24" s="172"/>
      <c r="M24" s="7">
        <f t="shared" si="1"/>
        <v>121162495.74999999</v>
      </c>
    </row>
    <row r="25" spans="1:13" s="1" customFormat="1">
      <c r="A25" s="5">
        <v>14200003</v>
      </c>
      <c r="B25" s="5" t="s">
        <v>156</v>
      </c>
      <c r="C25" s="5">
        <v>14</v>
      </c>
      <c r="D25" s="456" t="s">
        <v>132</v>
      </c>
      <c r="E25" s="7">
        <v>0</v>
      </c>
      <c r="F25" s="21">
        <v>70450856.549999997</v>
      </c>
      <c r="G25" s="172"/>
      <c r="H25" s="172"/>
      <c r="I25" s="7">
        <f t="shared" si="0"/>
        <v>70450856.549999997</v>
      </c>
      <c r="J25" s="21">
        <v>57225560.200000003</v>
      </c>
      <c r="K25" s="172"/>
      <c r="L25" s="172"/>
      <c r="M25" s="7">
        <f t="shared" si="1"/>
        <v>127676416.75</v>
      </c>
    </row>
    <row r="26" spans="1:13" s="1" customFormat="1">
      <c r="A26" s="5">
        <v>14200004</v>
      </c>
      <c r="B26" s="5" t="s">
        <v>157</v>
      </c>
      <c r="C26" s="5">
        <v>14</v>
      </c>
      <c r="D26" s="456" t="s">
        <v>132</v>
      </c>
      <c r="E26" s="7">
        <v>0</v>
      </c>
      <c r="F26" s="21">
        <v>0</v>
      </c>
      <c r="G26" s="172"/>
      <c r="H26" s="172"/>
      <c r="I26" s="7">
        <f t="shared" si="0"/>
        <v>0</v>
      </c>
      <c r="J26" s="21">
        <v>41882498.609999999</v>
      </c>
      <c r="K26" s="172"/>
      <c r="L26" s="172"/>
      <c r="M26" s="7">
        <f t="shared" si="1"/>
        <v>41882498.609999999</v>
      </c>
    </row>
    <row r="27" spans="1:13" s="1" customFormat="1">
      <c r="A27" s="5">
        <v>14200005</v>
      </c>
      <c r="B27" s="5" t="s">
        <v>158</v>
      </c>
      <c r="C27" s="5">
        <v>14</v>
      </c>
      <c r="D27" s="456" t="s">
        <v>132</v>
      </c>
      <c r="E27" s="7">
        <v>0</v>
      </c>
      <c r="F27" s="21">
        <v>0</v>
      </c>
      <c r="G27" s="172"/>
      <c r="H27" s="172"/>
      <c r="I27" s="7">
        <f t="shared" si="0"/>
        <v>0</v>
      </c>
      <c r="J27" s="21">
        <v>27284426.899999999</v>
      </c>
      <c r="K27" s="172"/>
      <c r="L27" s="172"/>
      <c r="M27" s="7">
        <f t="shared" si="1"/>
        <v>27284426.899999999</v>
      </c>
    </row>
    <row r="28" spans="1:13" s="1" customFormat="1">
      <c r="A28" s="5">
        <v>14300500</v>
      </c>
      <c r="B28" s="5" t="s">
        <v>714</v>
      </c>
      <c r="C28" s="5">
        <v>14</v>
      </c>
      <c r="D28" s="456" t="s">
        <v>132</v>
      </c>
      <c r="E28" s="7">
        <v>0</v>
      </c>
      <c r="F28" s="21">
        <v>0</v>
      </c>
      <c r="G28" s="172"/>
      <c r="H28" s="172"/>
      <c r="I28" s="7">
        <f t="shared" si="0"/>
        <v>0</v>
      </c>
      <c r="J28" s="21">
        <v>217407445.02000001</v>
      </c>
      <c r="K28" s="172"/>
      <c r="L28" s="172"/>
      <c r="M28" s="7">
        <f t="shared" si="1"/>
        <v>217407445.02000001</v>
      </c>
    </row>
    <row r="29" spans="1:13" s="1" customFormat="1">
      <c r="A29" s="5">
        <v>15040000</v>
      </c>
      <c r="B29" s="5" t="s">
        <v>14</v>
      </c>
      <c r="C29" s="5">
        <v>15</v>
      </c>
      <c r="D29" s="455" t="s">
        <v>133</v>
      </c>
      <c r="E29" s="7">
        <v>1694129760</v>
      </c>
      <c r="F29" s="21">
        <v>0</v>
      </c>
      <c r="G29" s="172"/>
      <c r="H29" s="172"/>
      <c r="I29" s="7">
        <f t="shared" si="0"/>
        <v>1694129760</v>
      </c>
      <c r="J29" s="21">
        <v>0</v>
      </c>
      <c r="K29" s="172"/>
      <c r="L29" s="172"/>
      <c r="M29" s="7">
        <f t="shared" si="1"/>
        <v>1694129760</v>
      </c>
    </row>
    <row r="30" spans="1:13" s="1" customFormat="1">
      <c r="A30" s="9">
        <v>19100400</v>
      </c>
      <c r="B30" s="10" t="s">
        <v>715</v>
      </c>
      <c r="C30" s="10">
        <v>15</v>
      </c>
      <c r="D30" s="460" t="s">
        <v>133</v>
      </c>
      <c r="E30" s="7">
        <v>5956220240</v>
      </c>
      <c r="F30" s="21">
        <v>0</v>
      </c>
      <c r="G30" s="172"/>
      <c r="H30" s="172"/>
      <c r="I30" s="7">
        <f t="shared" si="0"/>
        <v>5956220240</v>
      </c>
      <c r="J30" s="21">
        <v>0</v>
      </c>
      <c r="K30" s="172"/>
      <c r="L30" s="172"/>
      <c r="M30" s="7">
        <f t="shared" si="1"/>
        <v>5956220240</v>
      </c>
    </row>
    <row r="31" spans="1:13" s="1" customFormat="1">
      <c r="A31" s="5">
        <v>15080000</v>
      </c>
      <c r="B31" s="5" t="s">
        <v>159</v>
      </c>
      <c r="C31" s="5">
        <v>15</v>
      </c>
      <c r="D31" s="455" t="s">
        <v>133</v>
      </c>
      <c r="E31" s="7">
        <v>47656611</v>
      </c>
      <c r="F31" s="21">
        <v>-47656611</v>
      </c>
      <c r="G31" s="172"/>
      <c r="H31" s="172"/>
      <c r="I31" s="7">
        <f t="shared" si="0"/>
        <v>0</v>
      </c>
      <c r="J31" s="21">
        <v>96606601.319999993</v>
      </c>
      <c r="K31" s="172"/>
      <c r="L31" s="172"/>
      <c r="M31" s="7">
        <f t="shared" si="1"/>
        <v>96606601.319999993</v>
      </c>
    </row>
    <row r="32" spans="1:13" s="1" customFormat="1">
      <c r="A32" s="5">
        <v>15080500</v>
      </c>
      <c r="B32" s="5" t="s">
        <v>16</v>
      </c>
      <c r="C32" s="5">
        <v>15</v>
      </c>
      <c r="D32" s="455" t="s">
        <v>133</v>
      </c>
      <c r="E32" s="7">
        <v>0</v>
      </c>
      <c r="F32" s="21">
        <v>0</v>
      </c>
      <c r="G32" s="172"/>
      <c r="H32" s="172"/>
      <c r="I32" s="7">
        <f t="shared" si="0"/>
        <v>0</v>
      </c>
      <c r="J32" s="21">
        <v>0</v>
      </c>
      <c r="K32" s="172"/>
      <c r="L32" s="172"/>
      <c r="M32" s="7">
        <f t="shared" si="1"/>
        <v>0</v>
      </c>
    </row>
    <row r="33" spans="1:13" s="1" customFormat="1">
      <c r="A33" s="5">
        <v>15160000</v>
      </c>
      <c r="B33" s="5" t="s">
        <v>17</v>
      </c>
      <c r="C33" s="5">
        <v>15</v>
      </c>
      <c r="D33" s="455" t="s">
        <v>133</v>
      </c>
      <c r="E33" s="7">
        <v>767877669</v>
      </c>
      <c r="F33" s="21">
        <v>-0.2</v>
      </c>
      <c r="G33" s="172"/>
      <c r="H33" s="172"/>
      <c r="I33" s="7">
        <f t="shared" si="0"/>
        <v>767877668.79999995</v>
      </c>
      <c r="J33" s="21">
        <v>0</v>
      </c>
      <c r="K33" s="172"/>
      <c r="L33" s="172"/>
      <c r="M33" s="7">
        <f t="shared" si="1"/>
        <v>767877668.79999995</v>
      </c>
    </row>
    <row r="34" spans="1:13" s="1" customFormat="1">
      <c r="A34" s="5">
        <v>15161000</v>
      </c>
      <c r="B34" s="5" t="s">
        <v>18</v>
      </c>
      <c r="C34" s="5">
        <v>15</v>
      </c>
      <c r="D34" s="455" t="s">
        <v>133</v>
      </c>
      <c r="E34" s="7">
        <v>7757906220</v>
      </c>
      <c r="F34" s="21">
        <v>0</v>
      </c>
      <c r="G34" s="172"/>
      <c r="H34" s="172"/>
      <c r="I34" s="7">
        <f t="shared" si="0"/>
        <v>7757906220</v>
      </c>
      <c r="J34" s="21">
        <v>0</v>
      </c>
      <c r="K34" s="172"/>
      <c r="L34" s="172"/>
      <c r="M34" s="7">
        <f t="shared" si="1"/>
        <v>7757906220</v>
      </c>
    </row>
    <row r="35" spans="1:13" s="1" customFormat="1">
      <c r="A35" s="5">
        <v>15162000</v>
      </c>
      <c r="B35" s="5" t="s">
        <v>19</v>
      </c>
      <c r="C35" s="5">
        <v>15</v>
      </c>
      <c r="D35" s="455" t="s">
        <v>133</v>
      </c>
      <c r="E35" s="7">
        <v>719412180</v>
      </c>
      <c r="F35" s="21">
        <v>0</v>
      </c>
      <c r="G35" s="172"/>
      <c r="H35" s="172"/>
      <c r="I35" s="7">
        <f t="shared" si="0"/>
        <v>719412180</v>
      </c>
      <c r="J35" s="21">
        <v>24445958.859999999</v>
      </c>
      <c r="K35" s="172"/>
      <c r="L35" s="172"/>
      <c r="M35" s="7">
        <f t="shared" si="1"/>
        <v>743858138.86000001</v>
      </c>
    </row>
    <row r="36" spans="1:13" s="1" customFormat="1">
      <c r="A36" s="5">
        <v>15200000</v>
      </c>
      <c r="B36" s="5" t="s">
        <v>20</v>
      </c>
      <c r="C36" s="5">
        <v>15</v>
      </c>
      <c r="D36" s="455" t="s">
        <v>133</v>
      </c>
      <c r="E36" s="7">
        <v>13432270478</v>
      </c>
      <c r="F36" s="21">
        <v>852524793.63</v>
      </c>
      <c r="G36" s="172"/>
      <c r="H36" s="172"/>
      <c r="I36" s="7">
        <f t="shared" si="0"/>
        <v>14284795271.629999</v>
      </c>
      <c r="J36" s="21">
        <v>578272399.53999996</v>
      </c>
      <c r="K36" s="172"/>
      <c r="L36" s="172"/>
      <c r="M36" s="7">
        <f t="shared" si="1"/>
        <v>14863067671.169998</v>
      </c>
    </row>
    <row r="37" spans="1:13" s="1" customFormat="1">
      <c r="A37" s="5">
        <v>15210000</v>
      </c>
      <c r="B37" s="5" t="s">
        <v>716</v>
      </c>
      <c r="C37" s="5">
        <v>15</v>
      </c>
      <c r="D37" s="455" t="s">
        <v>133</v>
      </c>
      <c r="E37" s="7">
        <v>0</v>
      </c>
      <c r="F37" s="21">
        <v>0</v>
      </c>
      <c r="G37" s="172"/>
      <c r="H37" s="172"/>
      <c r="I37" s="7">
        <f t="shared" ref="I37:I68" si="2">E37+F37+G37-H37</f>
        <v>0</v>
      </c>
      <c r="J37" s="21">
        <v>26369067</v>
      </c>
      <c r="K37" s="172"/>
      <c r="L37" s="172"/>
      <c r="M37" s="7">
        <f t="shared" ref="M37:M68" si="3">I37+J37+K37-L37</f>
        <v>26369067</v>
      </c>
    </row>
    <row r="38" spans="1:13" s="1" customFormat="1">
      <c r="A38" s="5">
        <v>15240000</v>
      </c>
      <c r="B38" s="5" t="s">
        <v>21</v>
      </c>
      <c r="C38" s="5">
        <v>15</v>
      </c>
      <c r="D38" s="455" t="s">
        <v>133</v>
      </c>
      <c r="E38" s="7">
        <v>40322293</v>
      </c>
      <c r="F38" s="21">
        <v>7731695</v>
      </c>
      <c r="G38" s="172"/>
      <c r="H38" s="172"/>
      <c r="I38" s="7">
        <f t="shared" si="2"/>
        <v>48053988</v>
      </c>
      <c r="J38" s="21">
        <v>0</v>
      </c>
      <c r="K38" s="172"/>
      <c r="L38" s="172"/>
      <c r="M38" s="7">
        <f t="shared" si="3"/>
        <v>48053988</v>
      </c>
    </row>
    <row r="39" spans="1:13" s="1" customFormat="1">
      <c r="A39" s="5">
        <v>15280000</v>
      </c>
      <c r="B39" s="5" t="s">
        <v>22</v>
      </c>
      <c r="C39" s="5">
        <v>15</v>
      </c>
      <c r="D39" s="455" t="s">
        <v>133</v>
      </c>
      <c r="E39" s="7">
        <v>120981812</v>
      </c>
      <c r="F39" s="21">
        <v>15662828.449999999</v>
      </c>
      <c r="G39" s="172"/>
      <c r="H39" s="172"/>
      <c r="I39" s="7">
        <f t="shared" si="2"/>
        <v>136644640.44999999</v>
      </c>
      <c r="J39" s="21">
        <v>33917199</v>
      </c>
      <c r="K39" s="172"/>
      <c r="L39" s="172"/>
      <c r="M39" s="7">
        <f t="shared" si="3"/>
        <v>170561839.44999999</v>
      </c>
    </row>
    <row r="40" spans="1:13" s="1" customFormat="1">
      <c r="A40" s="5">
        <v>15400000</v>
      </c>
      <c r="B40" s="5" t="s">
        <v>23</v>
      </c>
      <c r="C40" s="5">
        <v>15</v>
      </c>
      <c r="D40" s="455" t="s">
        <v>133</v>
      </c>
      <c r="E40" s="7">
        <v>2343903438</v>
      </c>
      <c r="F40" s="21">
        <v>124999999.55</v>
      </c>
      <c r="G40" s="172"/>
      <c r="H40" s="172"/>
      <c r="I40" s="7">
        <f t="shared" si="2"/>
        <v>2468903437.5500002</v>
      </c>
      <c r="J40" s="21">
        <v>0</v>
      </c>
      <c r="K40" s="172"/>
      <c r="L40" s="172"/>
      <c r="M40" s="7">
        <f t="shared" si="3"/>
        <v>2468903437.5500002</v>
      </c>
    </row>
    <row r="41" spans="1:13" s="1" customFormat="1">
      <c r="A41" s="5">
        <v>15920500</v>
      </c>
      <c r="B41" s="5" t="s">
        <v>24</v>
      </c>
      <c r="C41" s="5">
        <v>15</v>
      </c>
      <c r="D41" s="455" t="s">
        <v>133</v>
      </c>
      <c r="E41" s="7">
        <v>-35549892</v>
      </c>
      <c r="F41" s="21">
        <v>-17063948.280000001</v>
      </c>
      <c r="G41" s="172"/>
      <c r="H41" s="172"/>
      <c r="I41" s="7">
        <f t="shared" si="2"/>
        <v>-52613840.280000001</v>
      </c>
      <c r="J41" s="21">
        <v>-17063948.199999999</v>
      </c>
      <c r="K41" s="172"/>
      <c r="L41" s="172"/>
      <c r="M41" s="7">
        <f t="shared" si="3"/>
        <v>-69677788.480000004</v>
      </c>
    </row>
    <row r="42" spans="1:13" s="1" customFormat="1">
      <c r="A42" s="5">
        <v>15920600</v>
      </c>
      <c r="B42" s="5" t="s">
        <v>25</v>
      </c>
      <c r="C42" s="5">
        <v>15</v>
      </c>
      <c r="D42" s="455" t="s">
        <v>133</v>
      </c>
      <c r="E42" s="7">
        <v>-359162325</v>
      </c>
      <c r="F42" s="21">
        <v>-172397916</v>
      </c>
      <c r="G42" s="172"/>
      <c r="H42" s="172"/>
      <c r="I42" s="7">
        <f t="shared" si="2"/>
        <v>-531560241</v>
      </c>
      <c r="J42" s="21">
        <v>-172397916</v>
      </c>
      <c r="K42" s="172"/>
      <c r="L42" s="172"/>
      <c r="M42" s="7">
        <f t="shared" si="3"/>
        <v>-703958157</v>
      </c>
    </row>
    <row r="43" spans="1:13" s="1" customFormat="1">
      <c r="A43" s="5">
        <v>15920700</v>
      </c>
      <c r="B43" s="5" t="s">
        <v>26</v>
      </c>
      <c r="C43" s="5">
        <v>15</v>
      </c>
      <c r="D43" s="455" t="s">
        <v>133</v>
      </c>
      <c r="E43" s="7">
        <v>-33306119.239999998</v>
      </c>
      <c r="F43" s="21">
        <v>-15986937.77</v>
      </c>
      <c r="G43" s="172"/>
      <c r="H43" s="172"/>
      <c r="I43" s="7">
        <f t="shared" si="2"/>
        <v>-49293057.009999998</v>
      </c>
      <c r="J43" s="21">
        <v>-16077477.92</v>
      </c>
      <c r="K43" s="172"/>
      <c r="L43" s="172"/>
      <c r="M43" s="7">
        <f t="shared" si="3"/>
        <v>-65370534.93</v>
      </c>
    </row>
    <row r="44" spans="1:13" s="1" customFormat="1">
      <c r="A44" s="5">
        <v>15921000</v>
      </c>
      <c r="B44" s="5" t="s">
        <v>717</v>
      </c>
      <c r="C44" s="5">
        <v>15</v>
      </c>
      <c r="D44" s="455" t="s">
        <v>133</v>
      </c>
      <c r="E44" s="7">
        <v>-1118537795</v>
      </c>
      <c r="F44" s="21">
        <v>-683784568.14999998</v>
      </c>
      <c r="G44" s="172"/>
      <c r="H44" s="172"/>
      <c r="I44" s="7">
        <f t="shared" si="2"/>
        <v>-1802322363.1500001</v>
      </c>
      <c r="J44" s="21">
        <v>-729723764.16999996</v>
      </c>
      <c r="K44" s="172"/>
      <c r="L44" s="172"/>
      <c r="M44" s="7">
        <f t="shared" si="3"/>
        <v>-2532046127.3200002</v>
      </c>
    </row>
    <row r="45" spans="1:13" s="1" customFormat="1">
      <c r="A45" s="5">
        <v>15921100</v>
      </c>
      <c r="B45" s="5" t="s">
        <v>718</v>
      </c>
      <c r="C45" s="5">
        <v>15</v>
      </c>
      <c r="D45" s="455" t="s">
        <v>133</v>
      </c>
      <c r="E45" s="7">
        <v>0</v>
      </c>
      <c r="F45" s="21">
        <v>0</v>
      </c>
      <c r="G45" s="172"/>
      <c r="H45" s="172"/>
      <c r="I45" s="7">
        <f t="shared" si="2"/>
        <v>0</v>
      </c>
      <c r="J45" s="21">
        <v>-1114924.8500000001</v>
      </c>
      <c r="K45" s="172"/>
      <c r="L45" s="172"/>
      <c r="M45" s="7">
        <f t="shared" si="3"/>
        <v>-1114924.8500000001</v>
      </c>
    </row>
    <row r="46" spans="1:13" s="1" customFormat="1">
      <c r="A46" s="5">
        <v>15921500</v>
      </c>
      <c r="B46" s="5" t="s">
        <v>28</v>
      </c>
      <c r="C46" s="5">
        <v>15</v>
      </c>
      <c r="D46" s="455" t="s">
        <v>133</v>
      </c>
      <c r="E46" s="7">
        <v>-10649722</v>
      </c>
      <c r="F46" s="21">
        <v>-4483244.83</v>
      </c>
      <c r="G46" s="172"/>
      <c r="H46" s="172"/>
      <c r="I46" s="7">
        <f t="shared" si="2"/>
        <v>-15132966.83</v>
      </c>
      <c r="J46" s="21">
        <v>-4805398.8</v>
      </c>
      <c r="K46" s="172"/>
      <c r="L46" s="172"/>
      <c r="M46" s="7">
        <f t="shared" si="3"/>
        <v>-19938365.629999999</v>
      </c>
    </row>
    <row r="47" spans="1:13" s="1" customFormat="1">
      <c r="A47" s="5">
        <v>15922000</v>
      </c>
      <c r="B47" s="5" t="s">
        <v>29</v>
      </c>
      <c r="C47" s="5">
        <v>15</v>
      </c>
      <c r="D47" s="455" t="s">
        <v>133</v>
      </c>
      <c r="E47" s="7">
        <v>-26501240</v>
      </c>
      <c r="F47" s="21">
        <v>-19427101.670000002</v>
      </c>
      <c r="G47" s="172"/>
      <c r="H47" s="172"/>
      <c r="I47" s="7">
        <f t="shared" si="2"/>
        <v>-45928341.670000002</v>
      </c>
      <c r="J47" s="21">
        <v>-22150976.41</v>
      </c>
      <c r="K47" s="172"/>
      <c r="L47" s="172"/>
      <c r="M47" s="7">
        <f t="shared" si="3"/>
        <v>-68079318.079999998</v>
      </c>
    </row>
    <row r="48" spans="1:13" s="1" customFormat="1">
      <c r="A48" s="5">
        <v>15923500</v>
      </c>
      <c r="B48" s="5" t="s">
        <v>30</v>
      </c>
      <c r="C48" s="5">
        <v>15</v>
      </c>
      <c r="D48" s="455" t="s">
        <v>133</v>
      </c>
      <c r="E48" s="7">
        <v>-752173949</v>
      </c>
      <c r="F48" s="21">
        <v>-236542909.88</v>
      </c>
      <c r="G48" s="172"/>
      <c r="H48" s="172"/>
      <c r="I48" s="7">
        <f t="shared" si="2"/>
        <v>-988716858.88</v>
      </c>
      <c r="J48" s="21">
        <v>-242837353.91999999</v>
      </c>
      <c r="K48" s="172"/>
      <c r="L48" s="172"/>
      <c r="M48" s="7">
        <f t="shared" si="3"/>
        <v>-1231554212.8</v>
      </c>
    </row>
    <row r="49" spans="1:15" s="1" customFormat="1">
      <c r="A49" s="5">
        <v>16259500</v>
      </c>
      <c r="B49" s="6" t="s">
        <v>719</v>
      </c>
      <c r="C49" s="5">
        <v>16</v>
      </c>
      <c r="D49" s="456" t="s">
        <v>421</v>
      </c>
      <c r="E49" s="7">
        <v>8453242.7300000004</v>
      </c>
      <c r="F49" s="21">
        <v>-7245636.6200000001</v>
      </c>
      <c r="G49" s="172"/>
      <c r="H49" s="172"/>
      <c r="I49" s="7">
        <f t="shared" si="2"/>
        <v>1207606.1100000003</v>
      </c>
      <c r="J49" s="21">
        <v>-1207606.1100000001</v>
      </c>
      <c r="K49" s="172"/>
      <c r="L49" s="172"/>
      <c r="M49" s="7">
        <f t="shared" si="3"/>
        <v>2.3283064365386963E-10</v>
      </c>
    </row>
    <row r="50" spans="1:15" s="1" customFormat="1">
      <c r="A50" s="5">
        <v>16259501</v>
      </c>
      <c r="B50" s="5" t="s">
        <v>720</v>
      </c>
      <c r="C50" s="5">
        <v>17</v>
      </c>
      <c r="D50" s="456" t="s">
        <v>134</v>
      </c>
      <c r="E50" s="7">
        <v>0</v>
      </c>
      <c r="F50" s="21">
        <v>416249657.66000003</v>
      </c>
      <c r="G50" s="172"/>
      <c r="H50" s="172"/>
      <c r="I50" s="7">
        <f t="shared" si="2"/>
        <v>416249657.66000003</v>
      </c>
      <c r="J50" s="21">
        <v>0</v>
      </c>
      <c r="K50" s="172"/>
      <c r="L50" s="172"/>
      <c r="M50" s="7">
        <f t="shared" si="3"/>
        <v>416249657.66000003</v>
      </c>
    </row>
    <row r="51" spans="1:15" s="1" customFormat="1">
      <c r="A51" s="5">
        <v>16350100</v>
      </c>
      <c r="B51" s="5" t="s">
        <v>31</v>
      </c>
      <c r="C51" s="5">
        <v>17</v>
      </c>
      <c r="D51" s="456" t="s">
        <v>134</v>
      </c>
      <c r="E51" s="7">
        <v>25822233</v>
      </c>
      <c r="F51" s="21">
        <v>78655308</v>
      </c>
      <c r="G51" s="172"/>
      <c r="H51" s="172"/>
      <c r="I51" s="7">
        <f t="shared" si="2"/>
        <v>104477541</v>
      </c>
      <c r="J51" s="21">
        <v>21103846.199999999</v>
      </c>
      <c r="K51" s="172"/>
      <c r="L51" s="172"/>
      <c r="M51" s="7">
        <f t="shared" si="3"/>
        <v>125581387.2</v>
      </c>
    </row>
    <row r="52" spans="1:15" s="1" customFormat="1">
      <c r="A52" s="5">
        <v>16983000</v>
      </c>
      <c r="B52" s="5" t="s">
        <v>721</v>
      </c>
      <c r="C52" s="5">
        <v>17</v>
      </c>
      <c r="D52" s="456" t="s">
        <v>134</v>
      </c>
      <c r="E52" s="7">
        <v>0</v>
      </c>
      <c r="F52" s="21">
        <v>0</v>
      </c>
      <c r="G52" s="172"/>
      <c r="H52" s="172"/>
      <c r="I52" s="7">
        <f t="shared" si="2"/>
        <v>0</v>
      </c>
      <c r="J52" s="21">
        <v>0.23</v>
      </c>
      <c r="K52" s="172"/>
      <c r="L52" s="172"/>
      <c r="M52" s="7">
        <f t="shared" si="3"/>
        <v>0.23</v>
      </c>
    </row>
    <row r="53" spans="1:15" s="1" customFormat="1">
      <c r="A53" s="5">
        <v>16984000</v>
      </c>
      <c r="B53" s="5" t="s">
        <v>32</v>
      </c>
      <c r="C53" s="5">
        <v>17</v>
      </c>
      <c r="D53" s="456" t="s">
        <v>134</v>
      </c>
      <c r="E53" s="7">
        <v>-12037717</v>
      </c>
      <c r="F53" s="21">
        <v>-382708.95</v>
      </c>
      <c r="G53" s="172"/>
      <c r="H53" s="172"/>
      <c r="I53" s="7">
        <f t="shared" si="2"/>
        <v>-12420425.949999999</v>
      </c>
      <c r="J53" s="21">
        <v>-33609889.799999997</v>
      </c>
      <c r="K53" s="172"/>
      <c r="L53" s="172"/>
      <c r="M53" s="7">
        <f t="shared" si="3"/>
        <v>-46030315.75</v>
      </c>
      <c r="N53" s="227"/>
    </row>
    <row r="54" spans="1:15" s="1" customFormat="1">
      <c r="A54" s="5">
        <v>21051000</v>
      </c>
      <c r="B54" s="5" t="s">
        <v>33</v>
      </c>
      <c r="C54" s="5">
        <v>21</v>
      </c>
      <c r="D54" s="456" t="s">
        <v>136</v>
      </c>
      <c r="E54" s="7">
        <v>-9578896000</v>
      </c>
      <c r="F54" s="21">
        <v>-1300000000</v>
      </c>
      <c r="G54" s="172"/>
      <c r="H54" s="172"/>
      <c r="I54" s="7">
        <f t="shared" si="2"/>
        <v>-10878896000</v>
      </c>
      <c r="J54" s="21">
        <v>0</v>
      </c>
      <c r="K54" s="172"/>
      <c r="L54" s="172"/>
      <c r="M54" s="7">
        <f t="shared" si="3"/>
        <v>-10878896000</v>
      </c>
      <c r="N54" s="227" t="s">
        <v>540</v>
      </c>
    </row>
    <row r="55" spans="1:15" s="1" customFormat="1">
      <c r="A55" s="5">
        <v>21051001</v>
      </c>
      <c r="B55" s="5" t="s">
        <v>50</v>
      </c>
      <c r="C55" s="5">
        <v>21</v>
      </c>
      <c r="D55" s="456" t="s">
        <v>136</v>
      </c>
      <c r="E55" s="7">
        <v>-47382275</v>
      </c>
      <c r="F55" s="21">
        <v>-16093077.59</v>
      </c>
      <c r="G55" s="172"/>
      <c r="H55" s="172"/>
      <c r="I55" s="7">
        <f t="shared" si="2"/>
        <v>-63475352.590000004</v>
      </c>
      <c r="J55" s="21">
        <v>23486344.039999999</v>
      </c>
      <c r="K55" s="172"/>
      <c r="L55" s="172"/>
      <c r="M55" s="7">
        <f t="shared" si="3"/>
        <v>-39989008.550000004</v>
      </c>
      <c r="N55" s="227" t="s">
        <v>539</v>
      </c>
    </row>
    <row r="56" spans="1:15" s="1" customFormat="1">
      <c r="A56" s="5">
        <v>21052000</v>
      </c>
      <c r="B56" s="5" t="s">
        <v>34</v>
      </c>
      <c r="C56" s="5">
        <v>21</v>
      </c>
      <c r="D56" s="456" t="s">
        <v>136</v>
      </c>
      <c r="E56" s="7">
        <v>-6070426</v>
      </c>
      <c r="F56" s="21">
        <v>5790414</v>
      </c>
      <c r="G56" s="172"/>
      <c r="H56" s="172"/>
      <c r="I56" s="7">
        <f t="shared" si="2"/>
        <v>-280012</v>
      </c>
      <c r="J56" s="21">
        <v>-122608</v>
      </c>
      <c r="K56" s="172"/>
      <c r="L56" s="172"/>
      <c r="M56" s="7">
        <f t="shared" si="3"/>
        <v>-402620</v>
      </c>
      <c r="N56" s="1">
        <f>ROUND((E55+E56)/1000,0)</f>
        <v>-53453</v>
      </c>
      <c r="O56" s="1">
        <f>ROUND((E54)/1000,0)</f>
        <v>-9578896</v>
      </c>
    </row>
    <row r="57" spans="1:15" s="1" customFormat="1">
      <c r="A57" s="5">
        <v>21953500</v>
      </c>
      <c r="B57" s="5" t="s">
        <v>722</v>
      </c>
      <c r="C57" s="5">
        <v>21</v>
      </c>
      <c r="D57" s="461" t="s">
        <v>449</v>
      </c>
      <c r="E57" s="7">
        <v>-37774893.869999997</v>
      </c>
      <c r="F57" s="21">
        <v>28235243.579999998</v>
      </c>
      <c r="G57" s="172"/>
      <c r="H57" s="172"/>
      <c r="I57" s="7">
        <f t="shared" si="2"/>
        <v>-9539650.2899999991</v>
      </c>
      <c r="J57" s="21">
        <v>9539650</v>
      </c>
      <c r="K57" s="172"/>
      <c r="L57" s="172"/>
      <c r="M57" s="7">
        <f t="shared" si="3"/>
        <v>-0.28999999910593033</v>
      </c>
      <c r="N57" s="227" t="s">
        <v>743</v>
      </c>
    </row>
    <row r="58" spans="1:15" s="1" customFormat="1">
      <c r="A58" s="5">
        <v>22100100</v>
      </c>
      <c r="B58" s="5" t="s">
        <v>35</v>
      </c>
      <c r="C58" s="5">
        <v>23</v>
      </c>
      <c r="D58" s="456" t="s">
        <v>137</v>
      </c>
      <c r="E58" s="7">
        <v>-219766879</v>
      </c>
      <c r="F58" s="21">
        <v>95836946.969999999</v>
      </c>
      <c r="G58" s="172"/>
      <c r="H58" s="172"/>
      <c r="I58" s="7">
        <f t="shared" si="2"/>
        <v>-123929932.03</v>
      </c>
      <c r="J58" s="21">
        <v>-11852319.439999999</v>
      </c>
      <c r="K58" s="172"/>
      <c r="L58" s="172"/>
      <c r="M58" s="7">
        <f t="shared" si="3"/>
        <v>-135782251.47</v>
      </c>
      <c r="N58" s="1">
        <f>ROUND((I55+I56)/1000,0)</f>
        <v>-63755</v>
      </c>
      <c r="O58" s="1">
        <f>ROUND((I54)/1000,0)</f>
        <v>-10878896</v>
      </c>
    </row>
    <row r="59" spans="1:15" s="1" customFormat="1">
      <c r="A59" s="5">
        <v>23359500</v>
      </c>
      <c r="B59" s="5" t="s">
        <v>36</v>
      </c>
      <c r="C59" s="5">
        <v>22</v>
      </c>
      <c r="D59" s="456" t="s">
        <v>140</v>
      </c>
      <c r="E59" s="7">
        <v>-2079134695</v>
      </c>
      <c r="F59" s="21">
        <v>1072417945.5</v>
      </c>
      <c r="G59" s="172"/>
      <c r="H59" s="172"/>
      <c r="I59" s="7">
        <f t="shared" si="2"/>
        <v>-1006716749.5</v>
      </c>
      <c r="J59" s="21">
        <v>-709991168.82000005</v>
      </c>
      <c r="K59" s="172"/>
      <c r="L59" s="172"/>
      <c r="M59" s="7">
        <f t="shared" si="3"/>
        <v>-1716707918.3200002</v>
      </c>
      <c r="N59" s="227" t="s">
        <v>1028</v>
      </c>
    </row>
    <row r="60" spans="1:15" s="1" customFormat="1">
      <c r="A60" s="5">
        <v>23550500</v>
      </c>
      <c r="B60" s="5" t="s">
        <v>723</v>
      </c>
      <c r="C60" s="5">
        <v>23</v>
      </c>
      <c r="D60" s="456" t="s">
        <v>137</v>
      </c>
      <c r="E60" s="7">
        <v>0</v>
      </c>
      <c r="F60" s="21">
        <v>-393256800</v>
      </c>
      <c r="G60" s="172"/>
      <c r="H60" s="172"/>
      <c r="I60" s="7">
        <f t="shared" si="2"/>
        <v>-393256800</v>
      </c>
      <c r="J60" s="21">
        <v>393256799.99000001</v>
      </c>
      <c r="K60" s="172"/>
      <c r="L60" s="172"/>
      <c r="M60" s="7">
        <f t="shared" si="3"/>
        <v>-9.9999904632568359E-3</v>
      </c>
      <c r="N60" s="1">
        <f>ROUND((M55+M56)/1000,0)</f>
        <v>-40392</v>
      </c>
      <c r="O60" s="1">
        <f>ROUND((M54)/1000,0)</f>
        <v>-10878896</v>
      </c>
    </row>
    <row r="61" spans="1:15" s="1" customFormat="1">
      <c r="A61" s="5">
        <v>23650500</v>
      </c>
      <c r="B61" s="5" t="s">
        <v>37</v>
      </c>
      <c r="C61" s="5">
        <v>22</v>
      </c>
      <c r="D61" s="456" t="s">
        <v>140</v>
      </c>
      <c r="E61" s="7">
        <v>-6995000</v>
      </c>
      <c r="F61" s="21">
        <v>-3000</v>
      </c>
      <c r="G61" s="172"/>
      <c r="H61" s="172"/>
      <c r="I61" s="7">
        <f t="shared" si="2"/>
        <v>-6998000</v>
      </c>
      <c r="J61" s="21">
        <v>-1230000</v>
      </c>
      <c r="K61" s="172"/>
      <c r="L61" s="172"/>
      <c r="M61" s="7">
        <f t="shared" si="3"/>
        <v>-8228000</v>
      </c>
    </row>
    <row r="62" spans="1:15" s="1" customFormat="1">
      <c r="A62" s="5">
        <v>23654000</v>
      </c>
      <c r="B62" s="5" t="s">
        <v>38</v>
      </c>
      <c r="C62" s="5">
        <v>22</v>
      </c>
      <c r="D62" s="456" t="s">
        <v>140</v>
      </c>
      <c r="E62" s="7">
        <v>-15469303</v>
      </c>
      <c r="F62" s="21">
        <v>8428863.6400000006</v>
      </c>
      <c r="G62" s="172"/>
      <c r="H62" s="172"/>
      <c r="I62" s="7">
        <f t="shared" si="2"/>
        <v>-7040439.3599999994</v>
      </c>
      <c r="J62" s="21">
        <v>-11739831.039999999</v>
      </c>
      <c r="K62" s="172"/>
      <c r="L62" s="172"/>
      <c r="M62" s="7">
        <f t="shared" si="3"/>
        <v>-18780270.399999999</v>
      </c>
      <c r="N62" s="227" t="s">
        <v>650</v>
      </c>
    </row>
    <row r="63" spans="1:15" s="1" customFormat="1">
      <c r="A63" s="5">
        <v>23657001</v>
      </c>
      <c r="B63" s="5" t="s">
        <v>39</v>
      </c>
      <c r="C63" s="5">
        <v>22</v>
      </c>
      <c r="D63" s="456" t="s">
        <v>140</v>
      </c>
      <c r="E63" s="7">
        <v>-6572991</v>
      </c>
      <c r="F63" s="21">
        <v>248723</v>
      </c>
      <c r="G63" s="172"/>
      <c r="H63" s="172"/>
      <c r="I63" s="7">
        <f t="shared" si="2"/>
        <v>-6324268</v>
      </c>
      <c r="J63" s="21">
        <v>-3629318</v>
      </c>
      <c r="K63" s="172"/>
      <c r="L63" s="172"/>
      <c r="M63" s="7">
        <f t="shared" si="3"/>
        <v>-9953586</v>
      </c>
      <c r="N63" s="227" t="s">
        <v>1029</v>
      </c>
    </row>
    <row r="64" spans="1:15" s="1" customFormat="1">
      <c r="A64" s="5">
        <v>23670100</v>
      </c>
      <c r="B64" s="5" t="s">
        <v>40</v>
      </c>
      <c r="C64" s="5">
        <v>22</v>
      </c>
      <c r="D64" s="456" t="s">
        <v>140</v>
      </c>
      <c r="E64" s="7">
        <v>-249670</v>
      </c>
      <c r="F64" s="21">
        <v>249670</v>
      </c>
      <c r="G64" s="172"/>
      <c r="H64" s="172"/>
      <c r="I64" s="7">
        <f t="shared" si="2"/>
        <v>0</v>
      </c>
      <c r="J64" s="21">
        <v>-2160847.7400000002</v>
      </c>
      <c r="K64" s="172"/>
      <c r="L64" s="172"/>
      <c r="M64" s="7">
        <f t="shared" si="3"/>
        <v>-2160847.7400000002</v>
      </c>
      <c r="N64" s="1">
        <f>ROUND((-Arrendam!T40)/1000,0)</f>
        <v>-4083</v>
      </c>
      <c r="O64" s="1">
        <f>ROUND((-Arrendam!U40)/1000,0)</f>
        <v>-37775</v>
      </c>
    </row>
    <row r="65" spans="1:15" s="1" customFormat="1">
      <c r="A65" s="5">
        <v>23680100</v>
      </c>
      <c r="B65" s="5" t="s">
        <v>41</v>
      </c>
      <c r="C65" s="5">
        <v>22</v>
      </c>
      <c r="D65" s="456" t="s">
        <v>140</v>
      </c>
      <c r="E65" s="7">
        <v>-3718420</v>
      </c>
      <c r="F65" s="21">
        <v>1992138.3</v>
      </c>
      <c r="G65" s="172"/>
      <c r="H65" s="172"/>
      <c r="I65" s="7">
        <f t="shared" si="2"/>
        <v>-1726281.7</v>
      </c>
      <c r="J65" s="21">
        <v>-783154.88</v>
      </c>
      <c r="K65" s="172"/>
      <c r="L65" s="172"/>
      <c r="M65" s="7">
        <f t="shared" si="3"/>
        <v>-2509436.58</v>
      </c>
      <c r="N65" s="227" t="s">
        <v>539</v>
      </c>
    </row>
    <row r="66" spans="1:15" s="1" customFormat="1">
      <c r="A66" s="5">
        <v>23680101</v>
      </c>
      <c r="B66" s="5" t="s">
        <v>160</v>
      </c>
      <c r="C66" s="5">
        <v>22</v>
      </c>
      <c r="D66" s="456" t="s">
        <v>140</v>
      </c>
      <c r="E66" s="7">
        <v>-152250</v>
      </c>
      <c r="F66" s="21">
        <v>152250</v>
      </c>
      <c r="G66" s="172"/>
      <c r="H66" s="172"/>
      <c r="I66" s="7">
        <f t="shared" si="2"/>
        <v>0</v>
      </c>
      <c r="J66" s="21">
        <v>0</v>
      </c>
      <c r="K66" s="172"/>
      <c r="L66" s="172"/>
      <c r="M66" s="7">
        <f t="shared" si="3"/>
        <v>0</v>
      </c>
      <c r="N66" s="1">
        <f>ROUND((-Arrendam!T52)/1000,0)</f>
        <v>-28235</v>
      </c>
      <c r="O66" s="1">
        <f>ROUND((-Arrendam!U52)/1000,0)</f>
        <v>-9540</v>
      </c>
    </row>
    <row r="67" spans="1:15" s="1" customFormat="1">
      <c r="A67" s="5">
        <v>23700500</v>
      </c>
      <c r="B67" s="5" t="s">
        <v>42</v>
      </c>
      <c r="C67" s="5">
        <v>22</v>
      </c>
      <c r="D67" s="456" t="s">
        <v>140</v>
      </c>
      <c r="E67" s="7">
        <v>-12908000</v>
      </c>
      <c r="F67" s="21">
        <v>2961700</v>
      </c>
      <c r="G67" s="172"/>
      <c r="H67" s="172"/>
      <c r="I67" s="7">
        <f t="shared" si="2"/>
        <v>-9946300</v>
      </c>
      <c r="J67" s="21">
        <v>-5344939</v>
      </c>
      <c r="K67" s="172"/>
      <c r="L67" s="172"/>
      <c r="M67" s="7">
        <f t="shared" si="3"/>
        <v>-15291239</v>
      </c>
      <c r="N67" s="227" t="s">
        <v>743</v>
      </c>
    </row>
    <row r="68" spans="1:15" s="1" customFormat="1">
      <c r="A68" s="5">
        <v>23700600</v>
      </c>
      <c r="B68" s="5" t="s">
        <v>43</v>
      </c>
      <c r="C68" s="5">
        <v>22</v>
      </c>
      <c r="D68" s="456" t="s">
        <v>140</v>
      </c>
      <c r="E68" s="7">
        <v>-13225500</v>
      </c>
      <c r="F68" s="21">
        <v>2879200</v>
      </c>
      <c r="G68" s="172"/>
      <c r="H68" s="172"/>
      <c r="I68" s="7">
        <f t="shared" si="2"/>
        <v>-10346300</v>
      </c>
      <c r="J68" s="21">
        <v>-7556299</v>
      </c>
      <c r="K68" s="172"/>
      <c r="L68" s="172"/>
      <c r="M68" s="7">
        <f t="shared" si="3"/>
        <v>-17902599</v>
      </c>
      <c r="N68" s="1">
        <f>ROUND((-Arrendam!T64)/1000,0)</f>
        <v>-9540</v>
      </c>
      <c r="O68" s="1">
        <v>0</v>
      </c>
    </row>
    <row r="69" spans="1:15" s="1" customFormat="1">
      <c r="A69" s="5">
        <v>23701000</v>
      </c>
      <c r="B69" s="5" t="s">
        <v>44</v>
      </c>
      <c r="C69" s="5">
        <v>22</v>
      </c>
      <c r="D69" s="456" t="s">
        <v>140</v>
      </c>
      <c r="E69" s="7">
        <v>-11215400</v>
      </c>
      <c r="F69" s="21">
        <v>2428800</v>
      </c>
      <c r="G69" s="172"/>
      <c r="H69" s="172"/>
      <c r="I69" s="7">
        <f t="shared" ref="I69:I90" si="4">E69+F69+G69-H69</f>
        <v>-8786600</v>
      </c>
      <c r="J69" s="21">
        <v>-5272683</v>
      </c>
      <c r="K69" s="172"/>
      <c r="L69" s="172"/>
      <c r="M69" s="7">
        <f t="shared" ref="M69:M90" si="5">I69+J69+K69-L69</f>
        <v>-14059283</v>
      </c>
      <c r="N69" s="227" t="s">
        <v>1028</v>
      </c>
    </row>
    <row r="70" spans="1:15" s="1" customFormat="1">
      <c r="A70" s="5">
        <v>23702500</v>
      </c>
      <c r="B70" s="5" t="s">
        <v>724</v>
      </c>
      <c r="C70" s="5">
        <v>22</v>
      </c>
      <c r="D70" s="456" t="s">
        <v>140</v>
      </c>
      <c r="E70" s="7">
        <v>0</v>
      </c>
      <c r="F70" s="21">
        <v>-1240532</v>
      </c>
      <c r="G70" s="172"/>
      <c r="H70" s="172"/>
      <c r="I70" s="7">
        <f t="shared" si="4"/>
        <v>-1240532</v>
      </c>
      <c r="J70" s="21">
        <v>1240532</v>
      </c>
      <c r="K70" s="172"/>
      <c r="L70" s="172"/>
      <c r="M70" s="7">
        <f t="shared" si="5"/>
        <v>0</v>
      </c>
      <c r="N70" s="1">
        <v>0</v>
      </c>
      <c r="O70" s="1">
        <v>0</v>
      </c>
    </row>
    <row r="71" spans="1:15" s="1" customFormat="1">
      <c r="A71" s="5">
        <v>23704500</v>
      </c>
      <c r="B71" s="5" t="s">
        <v>725</v>
      </c>
      <c r="C71" s="5">
        <v>22</v>
      </c>
      <c r="D71" s="456" t="s">
        <v>140</v>
      </c>
      <c r="E71" s="7">
        <v>0</v>
      </c>
      <c r="F71" s="21">
        <v>-5070000</v>
      </c>
      <c r="G71" s="172"/>
      <c r="H71" s="172"/>
      <c r="I71" s="7">
        <f t="shared" si="4"/>
        <v>-5070000</v>
      </c>
      <c r="J71" s="21">
        <v>5070000</v>
      </c>
      <c r="K71" s="172"/>
      <c r="L71" s="172"/>
      <c r="M71" s="7">
        <f t="shared" si="5"/>
        <v>0</v>
      </c>
    </row>
    <row r="72" spans="1:15" s="1" customFormat="1">
      <c r="A72" s="5">
        <v>23803000</v>
      </c>
      <c r="B72" s="5" t="s">
        <v>45</v>
      </c>
      <c r="C72" s="5">
        <v>22</v>
      </c>
      <c r="D72" s="456" t="s">
        <v>140</v>
      </c>
      <c r="E72" s="7">
        <v>-37083500</v>
      </c>
      <c r="F72" s="21">
        <v>8643700</v>
      </c>
      <c r="G72" s="172"/>
      <c r="H72" s="172"/>
      <c r="I72" s="7">
        <f t="shared" si="4"/>
        <v>-28439800</v>
      </c>
      <c r="J72" s="21">
        <v>-68692763</v>
      </c>
      <c r="K72" s="172"/>
      <c r="L72" s="172"/>
      <c r="M72" s="7">
        <f t="shared" si="5"/>
        <v>-97132563</v>
      </c>
    </row>
    <row r="73" spans="1:15" s="1" customFormat="1">
      <c r="A73" s="5">
        <v>24040500</v>
      </c>
      <c r="B73" s="5" t="s">
        <v>46</v>
      </c>
      <c r="C73" s="5">
        <v>24</v>
      </c>
      <c r="D73" s="456" t="s">
        <v>130</v>
      </c>
      <c r="E73" s="7">
        <v>0</v>
      </c>
      <c r="F73" s="21">
        <v>0</v>
      </c>
      <c r="G73" s="172"/>
      <c r="H73" s="172"/>
      <c r="I73" s="7">
        <f t="shared" si="4"/>
        <v>0</v>
      </c>
      <c r="J73" s="21">
        <v>0</v>
      </c>
      <c r="K73" s="172"/>
      <c r="L73" s="172"/>
      <c r="M73" s="7">
        <f t="shared" si="5"/>
        <v>0</v>
      </c>
      <c r="N73" s="227"/>
    </row>
    <row r="74" spans="1:15" s="1" customFormat="1">
      <c r="A74" s="5">
        <v>24080100</v>
      </c>
      <c r="B74" s="5" t="s">
        <v>47</v>
      </c>
      <c r="C74" s="5">
        <v>22</v>
      </c>
      <c r="D74" s="456" t="s">
        <v>140</v>
      </c>
      <c r="E74" s="7">
        <v>0</v>
      </c>
      <c r="F74" s="21">
        <v>0</v>
      </c>
      <c r="G74" s="172"/>
      <c r="H74" s="172"/>
      <c r="I74" s="7">
        <f t="shared" si="4"/>
        <v>0</v>
      </c>
      <c r="J74" s="21">
        <v>0.97</v>
      </c>
      <c r="K74" s="172"/>
      <c r="L74" s="172"/>
      <c r="M74" s="7">
        <f t="shared" si="5"/>
        <v>0.97</v>
      </c>
      <c r="N74" s="227" t="s">
        <v>541</v>
      </c>
    </row>
    <row r="75" spans="1:15" s="1" customFormat="1">
      <c r="A75" s="5">
        <v>24120500</v>
      </c>
      <c r="B75" s="5" t="s">
        <v>162</v>
      </c>
      <c r="C75" s="5">
        <v>22</v>
      </c>
      <c r="D75" s="456" t="s">
        <v>140</v>
      </c>
      <c r="E75" s="7">
        <v>0</v>
      </c>
      <c r="F75" s="21">
        <v>0</v>
      </c>
      <c r="G75" s="172"/>
      <c r="H75" s="172"/>
      <c r="I75" s="7">
        <f t="shared" si="4"/>
        <v>0</v>
      </c>
      <c r="J75" s="21">
        <v>0</v>
      </c>
      <c r="K75" s="172"/>
      <c r="L75" s="172"/>
      <c r="M75" s="7">
        <f t="shared" si="5"/>
        <v>0</v>
      </c>
      <c r="N75" s="227" t="s">
        <v>539</v>
      </c>
    </row>
    <row r="76" spans="1:15" s="1" customFormat="1">
      <c r="A76" s="5">
        <v>25050100</v>
      </c>
      <c r="B76" s="5" t="s">
        <v>48</v>
      </c>
      <c r="C76" s="5">
        <v>22</v>
      </c>
      <c r="D76" s="456" t="s">
        <v>140</v>
      </c>
      <c r="E76" s="7">
        <v>-397857</v>
      </c>
      <c r="F76" s="21">
        <v>397857</v>
      </c>
      <c r="G76" s="172"/>
      <c r="H76" s="172"/>
      <c r="I76" s="7">
        <f t="shared" si="4"/>
        <v>0</v>
      </c>
      <c r="J76" s="21">
        <v>23.1</v>
      </c>
      <c r="K76" s="172"/>
      <c r="L76" s="172"/>
      <c r="M76" s="7">
        <f t="shared" si="5"/>
        <v>23.1</v>
      </c>
      <c r="N76" s="1">
        <f>ROUND((SUM(E59,E61:E72,E74:E77,E79:E83))/1000,0)-O76</f>
        <v>-2336145</v>
      </c>
      <c r="O76" s="1">
        <v>0</v>
      </c>
    </row>
    <row r="77" spans="1:15" s="1" customFormat="1">
      <c r="A77" s="5">
        <v>25400100</v>
      </c>
      <c r="B77" s="5" t="s">
        <v>49</v>
      </c>
      <c r="C77" s="5">
        <v>22</v>
      </c>
      <c r="D77" s="456" t="s">
        <v>140</v>
      </c>
      <c r="E77" s="7">
        <v>0</v>
      </c>
      <c r="F77" s="21">
        <v>0</v>
      </c>
      <c r="G77" s="172"/>
      <c r="H77" s="172"/>
      <c r="I77" s="7">
        <f t="shared" si="4"/>
        <v>0</v>
      </c>
      <c r="J77" s="21">
        <v>0</v>
      </c>
      <c r="K77" s="172"/>
      <c r="L77" s="172"/>
      <c r="M77" s="7">
        <f t="shared" si="5"/>
        <v>0</v>
      </c>
      <c r="N77" s="227" t="s">
        <v>743</v>
      </c>
    </row>
    <row r="78" spans="1:15" s="1" customFormat="1">
      <c r="A78" s="5">
        <v>26050500</v>
      </c>
      <c r="B78" s="5" t="s">
        <v>50</v>
      </c>
      <c r="C78" s="5">
        <v>21</v>
      </c>
      <c r="D78" s="456" t="s">
        <v>136</v>
      </c>
      <c r="E78" s="7">
        <v>0</v>
      </c>
      <c r="F78" s="21">
        <v>0</v>
      </c>
      <c r="G78" s="172"/>
      <c r="H78" s="172"/>
      <c r="I78" s="7">
        <f t="shared" si="4"/>
        <v>0</v>
      </c>
      <c r="J78" s="21">
        <v>0</v>
      </c>
      <c r="K78" s="172"/>
      <c r="L78" s="172"/>
      <c r="M78" s="7">
        <f t="shared" si="5"/>
        <v>0</v>
      </c>
      <c r="N78" s="1">
        <f>ROUND((SUM(I59,I61:I72,I74:I77,I79:I83)/1000),0)</f>
        <v>-1338298</v>
      </c>
      <c r="O78" s="1">
        <v>0</v>
      </c>
    </row>
    <row r="79" spans="1:15" s="1" customFormat="1">
      <c r="A79" s="5">
        <v>26059500</v>
      </c>
      <c r="B79" s="5" t="s">
        <v>726</v>
      </c>
      <c r="C79" s="5">
        <v>22</v>
      </c>
      <c r="D79" s="456" t="s">
        <v>140</v>
      </c>
      <c r="E79" s="7">
        <v>-15906082</v>
      </c>
      <c r="F79" s="21">
        <v>4769160</v>
      </c>
      <c r="G79" s="172"/>
      <c r="H79" s="172"/>
      <c r="I79" s="7">
        <f t="shared" si="4"/>
        <v>-11136922</v>
      </c>
      <c r="J79" s="21">
        <v>8404577.1600000001</v>
      </c>
      <c r="K79" s="172"/>
      <c r="L79" s="172"/>
      <c r="M79" s="7">
        <f t="shared" si="5"/>
        <v>-2732344.84</v>
      </c>
      <c r="N79" s="227" t="s">
        <v>1028</v>
      </c>
    </row>
    <row r="80" spans="1:15" s="1" customFormat="1">
      <c r="A80" s="5">
        <v>26100500</v>
      </c>
      <c r="B80" s="5" t="s">
        <v>51</v>
      </c>
      <c r="C80" s="5">
        <v>22</v>
      </c>
      <c r="D80" s="456" t="s">
        <v>140</v>
      </c>
      <c r="E80" s="7">
        <v>-84423728</v>
      </c>
      <c r="F80" s="21">
        <v>-56787029</v>
      </c>
      <c r="G80" s="172"/>
      <c r="H80" s="172"/>
      <c r="I80" s="7">
        <f t="shared" si="4"/>
        <v>-141210757</v>
      </c>
      <c r="J80" s="21">
        <v>-48084901</v>
      </c>
      <c r="K80" s="172"/>
      <c r="L80" s="172"/>
      <c r="M80" s="7">
        <f t="shared" si="5"/>
        <v>-189295658</v>
      </c>
      <c r="N80" s="1">
        <f>ROUND((SUM(M59,M61:M72,M74:M77,M79:M83)/1000),0)</f>
        <v>-2222593</v>
      </c>
      <c r="O80" s="1">
        <v>0</v>
      </c>
    </row>
    <row r="81" spans="1:13" s="1" customFormat="1">
      <c r="A81" s="5">
        <v>26101500</v>
      </c>
      <c r="B81" s="5" t="s">
        <v>52</v>
      </c>
      <c r="C81" s="5">
        <v>22</v>
      </c>
      <c r="D81" s="456" t="s">
        <v>140</v>
      </c>
      <c r="E81" s="7">
        <v>-48629554</v>
      </c>
      <c r="F81" s="21">
        <v>-44195916.689999998</v>
      </c>
      <c r="G81" s="172"/>
      <c r="H81" s="172"/>
      <c r="I81" s="7">
        <f t="shared" si="4"/>
        <v>-92825470.689999998</v>
      </c>
      <c r="J81" s="21">
        <v>-33359920</v>
      </c>
      <c r="K81" s="172"/>
      <c r="L81" s="172"/>
      <c r="M81" s="7">
        <f t="shared" si="5"/>
        <v>-126185390.69</v>
      </c>
    </row>
    <row r="82" spans="1:13" s="1" customFormat="1">
      <c r="A82" s="5">
        <v>26102000</v>
      </c>
      <c r="B82" s="5" t="s">
        <v>53</v>
      </c>
      <c r="C82" s="5">
        <v>22</v>
      </c>
      <c r="D82" s="456" t="s">
        <v>140</v>
      </c>
      <c r="E82" s="7">
        <v>0</v>
      </c>
      <c r="F82" s="21">
        <v>0</v>
      </c>
      <c r="G82" s="172"/>
      <c r="H82" s="172"/>
      <c r="I82" s="7">
        <f t="shared" si="4"/>
        <v>0</v>
      </c>
      <c r="J82" s="21">
        <v>0</v>
      </c>
      <c r="K82" s="172"/>
      <c r="L82" s="172"/>
      <c r="M82" s="7">
        <f t="shared" si="5"/>
        <v>0</v>
      </c>
    </row>
    <row r="83" spans="1:13" s="1" customFormat="1">
      <c r="A83" s="5">
        <v>26109500</v>
      </c>
      <c r="B83" s="5" t="s">
        <v>54</v>
      </c>
      <c r="C83" s="5">
        <v>22</v>
      </c>
      <c r="D83" s="456" t="s">
        <v>140</v>
      </c>
      <c r="E83" s="7">
        <v>-62748</v>
      </c>
      <c r="F83" s="21">
        <v>-427096</v>
      </c>
      <c r="G83" s="172"/>
      <c r="H83" s="172"/>
      <c r="I83" s="7">
        <f t="shared" si="4"/>
        <v>-489844</v>
      </c>
      <c r="J83" s="21">
        <v>-1164276</v>
      </c>
      <c r="K83" s="172"/>
      <c r="L83" s="172"/>
      <c r="M83" s="7">
        <f t="shared" si="5"/>
        <v>-1654120</v>
      </c>
    </row>
    <row r="84" spans="1:13" s="1" customFormat="1">
      <c r="A84" s="9">
        <v>27259500</v>
      </c>
      <c r="B84" s="10" t="s">
        <v>727</v>
      </c>
      <c r="C84" s="10">
        <v>29</v>
      </c>
      <c r="D84" s="10" t="s">
        <v>55</v>
      </c>
      <c r="E84" s="7">
        <v>-595622024</v>
      </c>
      <c r="F84" s="21">
        <v>0</v>
      </c>
      <c r="G84" s="172"/>
      <c r="H84" s="172"/>
      <c r="I84" s="7">
        <f t="shared" si="4"/>
        <v>-595622024</v>
      </c>
      <c r="J84" s="21">
        <v>0</v>
      </c>
      <c r="K84" s="172"/>
      <c r="L84" s="172"/>
      <c r="M84" s="7">
        <f t="shared" si="5"/>
        <v>-595622024</v>
      </c>
    </row>
    <row r="85" spans="1:13" s="1" customFormat="1">
      <c r="A85" s="5">
        <v>28050500</v>
      </c>
      <c r="B85" s="5" t="s">
        <v>56</v>
      </c>
      <c r="C85" s="5">
        <v>28</v>
      </c>
      <c r="D85" s="456" t="s">
        <v>139</v>
      </c>
      <c r="E85" s="7">
        <v>-1172511485</v>
      </c>
      <c r="F85" s="21">
        <v>242357087.59</v>
      </c>
      <c r="G85" s="172"/>
      <c r="H85" s="172"/>
      <c r="I85" s="7">
        <f t="shared" si="4"/>
        <v>-930154397.40999997</v>
      </c>
      <c r="J85" s="21">
        <v>-401977841.67000002</v>
      </c>
      <c r="K85" s="172"/>
      <c r="L85" s="172"/>
      <c r="M85" s="7">
        <f t="shared" si="5"/>
        <v>-1332132239.0799999</v>
      </c>
    </row>
    <row r="86" spans="1:13" s="1" customFormat="1">
      <c r="A86" s="5">
        <v>31050500</v>
      </c>
      <c r="B86" s="5" t="s">
        <v>57</v>
      </c>
      <c r="C86" s="5">
        <v>31</v>
      </c>
      <c r="D86" s="456" t="s">
        <v>141</v>
      </c>
      <c r="E86" s="7">
        <v>-27116624669</v>
      </c>
      <c r="F86" s="21">
        <v>-5365134386.2600002</v>
      </c>
      <c r="G86" s="172"/>
      <c r="H86" s="172"/>
      <c r="I86" s="7">
        <f t="shared" si="4"/>
        <v>-32481759055.260002</v>
      </c>
      <c r="J86" s="21">
        <v>0</v>
      </c>
      <c r="K86" s="172"/>
      <c r="L86" s="172"/>
      <c r="M86" s="7">
        <f t="shared" si="5"/>
        <v>-32481759055.260002</v>
      </c>
    </row>
    <row r="87" spans="1:13" s="1" customFormat="1">
      <c r="A87" s="5">
        <v>31050501</v>
      </c>
      <c r="B87" s="5" t="s">
        <v>58</v>
      </c>
      <c r="C87" s="5">
        <v>32</v>
      </c>
      <c r="D87" s="456" t="s">
        <v>141</v>
      </c>
      <c r="E87" s="7">
        <v>-1692516101</v>
      </c>
      <c r="F87" s="21">
        <v>1692334386</v>
      </c>
      <c r="G87" s="172"/>
      <c r="H87" s="172"/>
      <c r="I87" s="7">
        <f t="shared" si="4"/>
        <v>-181715</v>
      </c>
      <c r="J87" s="21">
        <v>0</v>
      </c>
      <c r="K87" s="172"/>
      <c r="L87" s="172"/>
      <c r="M87" s="7">
        <f t="shared" si="5"/>
        <v>-181715</v>
      </c>
    </row>
    <row r="88" spans="1:13" s="1" customFormat="1">
      <c r="A88" s="5">
        <v>37100100</v>
      </c>
      <c r="B88" s="5" t="s">
        <v>728</v>
      </c>
      <c r="C88" s="5">
        <v>37</v>
      </c>
      <c r="D88" s="456" t="s">
        <v>142</v>
      </c>
      <c r="E88" s="7">
        <v>14230795912.620001</v>
      </c>
      <c r="F88" s="21">
        <v>2413559255.8499999</v>
      </c>
      <c r="G88" s="172"/>
      <c r="H88" s="172"/>
      <c r="I88" s="7">
        <f t="shared" si="4"/>
        <v>16644355168.470001</v>
      </c>
      <c r="J88" s="21">
        <v>-483366096.86000001</v>
      </c>
      <c r="K88" s="172"/>
      <c r="L88" s="172"/>
      <c r="M88" s="7">
        <f t="shared" si="5"/>
        <v>16160989071.610001</v>
      </c>
    </row>
    <row r="89" spans="1:13" s="1" customFormat="1">
      <c r="A89" s="5">
        <v>37100101</v>
      </c>
      <c r="B89" s="5" t="s">
        <v>163</v>
      </c>
      <c r="C89" s="5">
        <v>38</v>
      </c>
      <c r="D89" s="456" t="s">
        <v>144</v>
      </c>
      <c r="E89" s="7">
        <v>-5322681300.9300003</v>
      </c>
      <c r="F89" s="21">
        <v>0</v>
      </c>
      <c r="G89" s="172"/>
      <c r="H89" s="172"/>
      <c r="I89" s="7">
        <f t="shared" si="4"/>
        <v>-5322681300.9300003</v>
      </c>
      <c r="J89" s="21">
        <v>0</v>
      </c>
      <c r="K89" s="172"/>
      <c r="L89" s="172"/>
      <c r="M89" s="7">
        <f t="shared" si="5"/>
        <v>-5322681300.9300003</v>
      </c>
    </row>
    <row r="90" spans="1:13" s="1" customFormat="1">
      <c r="A90" s="9">
        <v>38100400</v>
      </c>
      <c r="B90" s="10" t="s">
        <v>729</v>
      </c>
      <c r="C90" s="10">
        <v>39</v>
      </c>
      <c r="D90" s="10" t="s">
        <v>143</v>
      </c>
      <c r="E90" s="7">
        <v>0</v>
      </c>
      <c r="F90" s="21">
        <v>0</v>
      </c>
      <c r="G90" s="172"/>
      <c r="H90" s="172"/>
      <c r="I90" s="7">
        <f t="shared" si="4"/>
        <v>0</v>
      </c>
      <c r="J90" s="21">
        <v>0</v>
      </c>
      <c r="K90" s="172"/>
      <c r="L90" s="172"/>
      <c r="M90" s="7">
        <f t="shared" si="5"/>
        <v>0</v>
      </c>
    </row>
    <row r="91" spans="1:13" s="1" customFormat="1">
      <c r="A91" s="5">
        <v>41301000</v>
      </c>
      <c r="B91" s="5" t="s">
        <v>164</v>
      </c>
      <c r="C91" s="5">
        <v>41</v>
      </c>
      <c r="D91" s="456" t="s">
        <v>146</v>
      </c>
      <c r="E91" s="8">
        <v>-3256996352</v>
      </c>
      <c r="F91" s="21">
        <v>-8370807078.5900002</v>
      </c>
      <c r="G91" s="172"/>
      <c r="H91" s="172"/>
      <c r="I91" s="8">
        <f>F91-H91+G91</f>
        <v>-8370807078.5900002</v>
      </c>
      <c r="J91" s="21">
        <v>-9252121752.6399994</v>
      </c>
      <c r="K91" s="172"/>
      <c r="L91" s="172"/>
      <c r="M91" s="8">
        <f>J91+K91-L91</f>
        <v>-9252121752.6399994</v>
      </c>
    </row>
    <row r="92" spans="1:13" s="1" customFormat="1">
      <c r="A92" s="5">
        <v>41301001</v>
      </c>
      <c r="B92" s="5" t="s">
        <v>165</v>
      </c>
      <c r="C92" s="5">
        <v>41</v>
      </c>
      <c r="D92" s="456" t="s">
        <v>146</v>
      </c>
      <c r="E92" s="8">
        <v>-146519069</v>
      </c>
      <c r="F92" s="21">
        <v>0</v>
      </c>
      <c r="G92" s="172"/>
      <c r="H92" s="172"/>
      <c r="I92" s="8">
        <f t="shared" ref="I92:I102" si="6">F92-H92+G92</f>
        <v>0</v>
      </c>
      <c r="J92" s="21">
        <v>0</v>
      </c>
      <c r="K92" s="172"/>
      <c r="L92" s="172"/>
      <c r="M92" s="8">
        <f t="shared" ref="M92:M155" si="7">J92+K92-L92</f>
        <v>0</v>
      </c>
    </row>
    <row r="93" spans="1:13" s="1" customFormat="1">
      <c r="A93" s="5">
        <v>41301002</v>
      </c>
      <c r="B93" s="5" t="s">
        <v>166</v>
      </c>
      <c r="C93" s="5">
        <v>41</v>
      </c>
      <c r="D93" s="456" t="s">
        <v>146</v>
      </c>
      <c r="E93" s="8">
        <v>-510527313</v>
      </c>
      <c r="F93" s="21">
        <v>-1216367897.05</v>
      </c>
      <c r="G93" s="172"/>
      <c r="H93" s="172"/>
      <c r="I93" s="8">
        <f t="shared" si="6"/>
        <v>-1216367897.05</v>
      </c>
      <c r="J93" s="21">
        <v>-1384801731.6800001</v>
      </c>
      <c r="K93" s="172"/>
      <c r="L93" s="172"/>
      <c r="M93" s="8">
        <f t="shared" si="7"/>
        <v>-1384801731.6800001</v>
      </c>
    </row>
    <row r="94" spans="1:13" s="1" customFormat="1">
      <c r="A94" s="5">
        <v>41301003</v>
      </c>
      <c r="B94" s="5" t="s">
        <v>59</v>
      </c>
      <c r="C94" s="5">
        <v>41</v>
      </c>
      <c r="D94" s="456" t="s">
        <v>146</v>
      </c>
      <c r="E94" s="8">
        <v>-102299467</v>
      </c>
      <c r="F94" s="21">
        <v>-243273580.88999999</v>
      </c>
      <c r="G94" s="172"/>
      <c r="H94" s="172"/>
      <c r="I94" s="8">
        <f t="shared" si="6"/>
        <v>-243273580.88999999</v>
      </c>
      <c r="J94" s="21">
        <v>-276960347.27999997</v>
      </c>
      <c r="K94" s="172"/>
      <c r="L94" s="172"/>
      <c r="M94" s="8">
        <f t="shared" si="7"/>
        <v>-276960347.27999997</v>
      </c>
    </row>
    <row r="95" spans="1:13" s="1" customFormat="1">
      <c r="A95" s="5">
        <v>41359500</v>
      </c>
      <c r="B95" s="5" t="s">
        <v>167</v>
      </c>
      <c r="C95" s="5">
        <v>41</v>
      </c>
      <c r="D95" s="456" t="s">
        <v>146</v>
      </c>
      <c r="E95" s="8">
        <v>-1408623313</v>
      </c>
      <c r="F95" s="21">
        <v>-1257142988.21</v>
      </c>
      <c r="G95" s="172"/>
      <c r="H95" s="172"/>
      <c r="I95" s="8">
        <f t="shared" si="6"/>
        <v>-1257142988.21</v>
      </c>
      <c r="J95" s="21">
        <v>-397561217.27999997</v>
      </c>
      <c r="K95" s="172"/>
      <c r="L95" s="172"/>
      <c r="M95" s="8">
        <f t="shared" si="7"/>
        <v>-397561217.27999997</v>
      </c>
    </row>
    <row r="96" spans="1:13" s="1" customFormat="1">
      <c r="A96" s="5">
        <v>41450500</v>
      </c>
      <c r="B96" s="6" t="s">
        <v>60</v>
      </c>
      <c r="C96" s="5">
        <v>41</v>
      </c>
      <c r="D96" s="456" t="s">
        <v>146</v>
      </c>
      <c r="E96" s="8">
        <v>0</v>
      </c>
      <c r="F96" s="21">
        <v>0</v>
      </c>
      <c r="G96" s="172"/>
      <c r="H96" s="172"/>
      <c r="I96" s="8">
        <f t="shared" si="6"/>
        <v>0</v>
      </c>
      <c r="J96" s="21">
        <v>0</v>
      </c>
      <c r="K96" s="172"/>
      <c r="L96" s="172"/>
      <c r="M96" s="8">
        <f t="shared" si="7"/>
        <v>0</v>
      </c>
    </row>
    <row r="97" spans="1:16" s="1" customFormat="1">
      <c r="A97" s="5">
        <v>42100500</v>
      </c>
      <c r="B97" s="6" t="s">
        <v>61</v>
      </c>
      <c r="C97" s="6">
        <v>53</v>
      </c>
      <c r="D97" s="456" t="s">
        <v>149</v>
      </c>
      <c r="E97" s="8">
        <v>0</v>
      </c>
      <c r="F97" s="21">
        <v>-2004757.75</v>
      </c>
      <c r="G97" s="172"/>
      <c r="H97" s="172"/>
      <c r="I97" s="8">
        <f t="shared" si="6"/>
        <v>-2004757.75</v>
      </c>
      <c r="J97" s="21">
        <v>-14202486.289999999</v>
      </c>
      <c r="K97" s="172"/>
      <c r="L97" s="172"/>
      <c r="M97" s="8">
        <f t="shared" si="7"/>
        <v>-14202486.289999999</v>
      </c>
    </row>
    <row r="98" spans="1:16" s="1" customFormat="1">
      <c r="A98" s="5">
        <v>42102000</v>
      </c>
      <c r="B98" s="5" t="s">
        <v>62</v>
      </c>
      <c r="C98" s="5">
        <v>54</v>
      </c>
      <c r="D98" s="456" t="s">
        <v>150</v>
      </c>
      <c r="E98" s="8">
        <v>-164250714</v>
      </c>
      <c r="F98" s="21">
        <v>-31927021.199999999</v>
      </c>
      <c r="G98" s="172"/>
      <c r="H98" s="172"/>
      <c r="I98" s="8">
        <f t="shared" si="6"/>
        <v>-31927021.199999999</v>
      </c>
      <c r="J98" s="21">
        <v>0</v>
      </c>
      <c r="K98" s="172"/>
      <c r="L98" s="172"/>
      <c r="M98" s="8">
        <f t="shared" si="7"/>
        <v>0</v>
      </c>
    </row>
    <row r="99" spans="1:16" s="1" customFormat="1">
      <c r="A99" s="11">
        <v>42102001</v>
      </c>
      <c r="B99" s="11" t="s">
        <v>63</v>
      </c>
      <c r="C99" s="11">
        <v>54</v>
      </c>
      <c r="D99" s="456" t="s">
        <v>150</v>
      </c>
      <c r="E99" s="8">
        <v>0</v>
      </c>
      <c r="F99" s="21">
        <v>0</v>
      </c>
      <c r="G99" s="172"/>
      <c r="H99" s="172"/>
      <c r="I99" s="8">
        <f t="shared" si="6"/>
        <v>0</v>
      </c>
      <c r="J99" s="21">
        <v>-14722034.880000001</v>
      </c>
      <c r="K99" s="172"/>
      <c r="L99" s="172"/>
      <c r="M99" s="8">
        <f t="shared" si="7"/>
        <v>-14722034.880000001</v>
      </c>
    </row>
    <row r="100" spans="1:16" s="1" customFormat="1">
      <c r="A100" s="5">
        <v>42454000</v>
      </c>
      <c r="B100" s="5" t="s">
        <v>168</v>
      </c>
      <c r="C100" s="5">
        <v>52</v>
      </c>
      <c r="D100" s="456" t="s">
        <v>187</v>
      </c>
      <c r="E100" s="8">
        <v>-193603508</v>
      </c>
      <c r="F100" s="21">
        <v>0</v>
      </c>
      <c r="G100" s="172"/>
      <c r="H100" s="172"/>
      <c r="I100" s="8">
        <f t="shared" si="6"/>
        <v>0</v>
      </c>
      <c r="J100" s="21">
        <v>-2732798</v>
      </c>
      <c r="K100" s="172"/>
      <c r="L100" s="172"/>
      <c r="M100" s="8">
        <f t="shared" si="7"/>
        <v>-2732798</v>
      </c>
    </row>
    <row r="101" spans="1:16" s="1" customFormat="1">
      <c r="A101" s="5">
        <v>42551000</v>
      </c>
      <c r="B101" s="5" t="s">
        <v>169</v>
      </c>
      <c r="C101" s="5">
        <v>52</v>
      </c>
      <c r="D101" s="456" t="s">
        <v>187</v>
      </c>
      <c r="E101" s="8">
        <v>-285600</v>
      </c>
      <c r="F101" s="21">
        <v>-2748892</v>
      </c>
      <c r="G101" s="172"/>
      <c r="H101" s="172"/>
      <c r="I101" s="8">
        <f t="shared" si="6"/>
        <v>-2748892</v>
      </c>
      <c r="J101" s="21">
        <v>-2867469</v>
      </c>
      <c r="K101" s="172"/>
      <c r="L101" s="172"/>
      <c r="M101" s="8">
        <f t="shared" si="7"/>
        <v>-2867469</v>
      </c>
    </row>
    <row r="102" spans="1:16" s="1" customFormat="1">
      <c r="A102" s="5">
        <v>42554000</v>
      </c>
      <c r="B102" s="5" t="s">
        <v>170</v>
      </c>
      <c r="C102" s="5">
        <v>52</v>
      </c>
      <c r="D102" s="456" t="s">
        <v>187</v>
      </c>
      <c r="E102" s="8">
        <v>-1625939</v>
      </c>
      <c r="F102" s="21">
        <v>-17891307</v>
      </c>
      <c r="G102" s="172"/>
      <c r="H102" s="172"/>
      <c r="I102" s="8">
        <f t="shared" si="6"/>
        <v>-17891307</v>
      </c>
      <c r="J102" s="21">
        <v>-97838766</v>
      </c>
      <c r="K102" s="172"/>
      <c r="L102" s="172"/>
      <c r="M102" s="8">
        <f t="shared" si="7"/>
        <v>-97838766</v>
      </c>
    </row>
    <row r="103" spans="1:16" s="1" customFormat="1">
      <c r="A103" s="5">
        <v>51050300</v>
      </c>
      <c r="B103" s="5" t="s">
        <v>64</v>
      </c>
      <c r="C103" s="5">
        <v>51</v>
      </c>
      <c r="D103" s="456" t="s">
        <v>148</v>
      </c>
      <c r="E103" s="8">
        <v>678957592</v>
      </c>
      <c r="F103" s="21">
        <v>989058379</v>
      </c>
      <c r="G103" s="172"/>
      <c r="H103" s="172"/>
      <c r="I103" s="8">
        <f>F103+G103-H103</f>
        <v>989058379</v>
      </c>
      <c r="J103" s="21">
        <v>987066023</v>
      </c>
      <c r="K103" s="172"/>
      <c r="L103" s="172"/>
      <c r="M103" s="8">
        <f t="shared" si="7"/>
        <v>987066023</v>
      </c>
      <c r="P103" s="446" t="s">
        <v>677</v>
      </c>
    </row>
    <row r="104" spans="1:16" s="1" customFormat="1">
      <c r="A104" s="5">
        <v>51052700</v>
      </c>
      <c r="B104" s="5" t="s">
        <v>171</v>
      </c>
      <c r="C104" s="5">
        <v>51</v>
      </c>
      <c r="D104" s="456" t="s">
        <v>148</v>
      </c>
      <c r="E104" s="8">
        <v>3231470</v>
      </c>
      <c r="F104" s="21">
        <v>3434933</v>
      </c>
      <c r="G104" s="172"/>
      <c r="H104" s="172"/>
      <c r="I104" s="8">
        <f t="shared" ref="I104:I169" si="8">F104+G104-H104</f>
        <v>3434933</v>
      </c>
      <c r="J104" s="21">
        <v>2386213</v>
      </c>
      <c r="K104" s="172"/>
      <c r="L104" s="172"/>
      <c r="M104" s="8">
        <f t="shared" si="7"/>
        <v>2386213</v>
      </c>
      <c r="P104" s="447" t="s">
        <v>677</v>
      </c>
    </row>
    <row r="105" spans="1:16" s="1" customFormat="1">
      <c r="A105" s="5">
        <v>51053000</v>
      </c>
      <c r="B105" s="5" t="s">
        <v>65</v>
      </c>
      <c r="C105" s="5">
        <v>51</v>
      </c>
      <c r="D105" s="456" t="s">
        <v>148</v>
      </c>
      <c r="E105" s="8">
        <v>20383913</v>
      </c>
      <c r="F105" s="21">
        <v>39791054</v>
      </c>
      <c r="G105" s="172"/>
      <c r="H105" s="172"/>
      <c r="I105" s="8">
        <f t="shared" si="8"/>
        <v>39791054</v>
      </c>
      <c r="J105" s="21">
        <v>43784158</v>
      </c>
      <c r="K105" s="172"/>
      <c r="L105" s="172"/>
      <c r="M105" s="8">
        <f t="shared" si="7"/>
        <v>43784158</v>
      </c>
      <c r="P105" s="447" t="s">
        <v>679</v>
      </c>
    </row>
    <row r="106" spans="1:16" s="1" customFormat="1">
      <c r="A106" s="5">
        <v>51053300</v>
      </c>
      <c r="B106" s="5" t="s">
        <v>66</v>
      </c>
      <c r="C106" s="5">
        <v>51</v>
      </c>
      <c r="D106" s="456" t="s">
        <v>148</v>
      </c>
      <c r="E106" s="8">
        <v>2446064</v>
      </c>
      <c r="F106" s="21">
        <v>8325974.5499999998</v>
      </c>
      <c r="G106" s="172"/>
      <c r="H106" s="172"/>
      <c r="I106" s="8">
        <f t="shared" si="8"/>
        <v>8325974.5499999998</v>
      </c>
      <c r="J106" s="21">
        <v>5052023</v>
      </c>
      <c r="K106" s="172"/>
      <c r="L106" s="172"/>
      <c r="M106" s="8">
        <f t="shared" si="7"/>
        <v>5052023</v>
      </c>
      <c r="P106" s="447" t="s">
        <v>679</v>
      </c>
    </row>
    <row r="107" spans="1:16" s="1" customFormat="1">
      <c r="A107" s="5">
        <v>51053600</v>
      </c>
      <c r="B107" s="5" t="s">
        <v>67</v>
      </c>
      <c r="C107" s="5">
        <v>51</v>
      </c>
      <c r="D107" s="456" t="s">
        <v>148</v>
      </c>
      <c r="E107" s="8">
        <v>20383913</v>
      </c>
      <c r="F107" s="21">
        <v>37839499</v>
      </c>
      <c r="G107" s="172"/>
      <c r="H107" s="172"/>
      <c r="I107" s="8">
        <f t="shared" si="8"/>
        <v>37839499</v>
      </c>
      <c r="J107" s="21">
        <v>44149011</v>
      </c>
      <c r="K107" s="172"/>
      <c r="L107" s="172"/>
      <c r="M107" s="8">
        <f t="shared" si="7"/>
        <v>44149011</v>
      </c>
      <c r="P107" s="447" t="s">
        <v>679</v>
      </c>
    </row>
    <row r="108" spans="1:16" s="1" customFormat="1">
      <c r="A108" s="5">
        <v>51053900</v>
      </c>
      <c r="B108" s="5" t="s">
        <v>68</v>
      </c>
      <c r="C108" s="5">
        <v>51</v>
      </c>
      <c r="D108" s="456" t="s">
        <v>148</v>
      </c>
      <c r="E108" s="8">
        <v>28668851</v>
      </c>
      <c r="F108" s="21">
        <v>73802015</v>
      </c>
      <c r="G108" s="172"/>
      <c r="H108" s="172"/>
      <c r="I108" s="8">
        <f t="shared" si="8"/>
        <v>73802015</v>
      </c>
      <c r="J108" s="21">
        <v>48536921</v>
      </c>
      <c r="K108" s="172"/>
      <c r="L108" s="172"/>
      <c r="M108" s="8">
        <f t="shared" si="7"/>
        <v>48536921</v>
      </c>
      <c r="P108" s="447" t="s">
        <v>680</v>
      </c>
    </row>
    <row r="109" spans="1:16" s="1" customFormat="1">
      <c r="A109" s="5">
        <v>51054800</v>
      </c>
      <c r="B109" s="5" t="s">
        <v>730</v>
      </c>
      <c r="C109" s="5">
        <v>51</v>
      </c>
      <c r="D109" s="456" t="s">
        <v>148</v>
      </c>
      <c r="E109" s="8">
        <v>0</v>
      </c>
      <c r="F109" s="21">
        <v>8094888</v>
      </c>
      <c r="G109" s="172"/>
      <c r="H109" s="172"/>
      <c r="I109" s="8">
        <f t="shared" si="8"/>
        <v>8094888</v>
      </c>
      <c r="J109" s="21">
        <v>3362004</v>
      </c>
      <c r="K109" s="172"/>
      <c r="L109" s="172"/>
      <c r="M109" s="8">
        <f t="shared" si="7"/>
        <v>3362004</v>
      </c>
      <c r="P109" s="447" t="s">
        <v>683</v>
      </c>
    </row>
    <row r="110" spans="1:16" s="1" customFormat="1">
      <c r="A110" s="5">
        <v>51055100</v>
      </c>
      <c r="B110" s="5" t="s">
        <v>69</v>
      </c>
      <c r="C110" s="5">
        <v>51</v>
      </c>
      <c r="D110" s="456" t="s">
        <v>148</v>
      </c>
      <c r="E110" s="8">
        <v>1446458</v>
      </c>
      <c r="F110" s="21">
        <v>2446886.7400000002</v>
      </c>
      <c r="G110" s="172"/>
      <c r="H110" s="172"/>
      <c r="I110" s="8">
        <f t="shared" si="8"/>
        <v>2446886.7400000002</v>
      </c>
      <c r="J110" s="21">
        <v>2235439</v>
      </c>
      <c r="K110" s="172"/>
      <c r="L110" s="172"/>
      <c r="M110" s="8">
        <f t="shared" si="7"/>
        <v>2235439</v>
      </c>
      <c r="P110" s="447" t="s">
        <v>682</v>
      </c>
    </row>
    <row r="111" spans="1:16" s="1" customFormat="1">
      <c r="A111" s="5">
        <v>51055700</v>
      </c>
      <c r="B111" s="5" t="s">
        <v>70</v>
      </c>
      <c r="C111" s="5">
        <v>51</v>
      </c>
      <c r="D111" s="456" t="s">
        <v>148</v>
      </c>
      <c r="E111" s="8">
        <v>66840351</v>
      </c>
      <c r="F111" s="21">
        <v>101791207</v>
      </c>
      <c r="G111" s="172"/>
      <c r="H111" s="172"/>
      <c r="I111" s="8">
        <f t="shared" si="8"/>
        <v>101791207</v>
      </c>
      <c r="J111" s="21">
        <v>138743798</v>
      </c>
      <c r="K111" s="172"/>
      <c r="L111" s="172"/>
      <c r="M111" s="8">
        <f t="shared" si="7"/>
        <v>138743798</v>
      </c>
      <c r="P111" s="447" t="s">
        <v>678</v>
      </c>
    </row>
    <row r="112" spans="1:16" s="1" customFormat="1">
      <c r="A112" s="5">
        <v>51056000</v>
      </c>
      <c r="B112" s="5" t="s">
        <v>71</v>
      </c>
      <c r="C112" s="5">
        <v>51</v>
      </c>
      <c r="D112" s="456" t="s">
        <v>148</v>
      </c>
      <c r="E112" s="8">
        <v>2897683</v>
      </c>
      <c r="F112" s="21">
        <v>18450196</v>
      </c>
      <c r="G112" s="172"/>
      <c r="H112" s="172"/>
      <c r="I112" s="8">
        <f t="shared" si="8"/>
        <v>18450196</v>
      </c>
      <c r="J112" s="21">
        <v>0</v>
      </c>
      <c r="K112" s="172"/>
      <c r="L112" s="172"/>
      <c r="M112" s="8">
        <f t="shared" si="7"/>
        <v>0</v>
      </c>
      <c r="P112" s="447" t="s">
        <v>681</v>
      </c>
    </row>
    <row r="113" spans="1:16" s="1" customFormat="1">
      <c r="A113" s="5">
        <v>51056300</v>
      </c>
      <c r="B113" s="5" t="s">
        <v>72</v>
      </c>
      <c r="C113" s="5">
        <v>51</v>
      </c>
      <c r="D113" s="456" t="s">
        <v>148</v>
      </c>
      <c r="E113" s="8">
        <v>7396700</v>
      </c>
      <c r="F113" s="21">
        <v>1720000</v>
      </c>
      <c r="G113" s="172"/>
      <c r="H113" s="172"/>
      <c r="I113" s="8">
        <f t="shared" si="8"/>
        <v>1720000</v>
      </c>
      <c r="J113" s="21">
        <v>3628709</v>
      </c>
      <c r="K113" s="172"/>
      <c r="L113" s="172"/>
      <c r="M113" s="8">
        <f t="shared" si="7"/>
        <v>3628709</v>
      </c>
      <c r="P113" s="447" t="s">
        <v>682</v>
      </c>
    </row>
    <row r="114" spans="1:16" s="1" customFormat="1">
      <c r="A114" s="5">
        <v>51056600</v>
      </c>
      <c r="B114" s="5" t="s">
        <v>172</v>
      </c>
      <c r="C114" s="5">
        <v>51</v>
      </c>
      <c r="D114" s="456" t="s">
        <v>148</v>
      </c>
      <c r="E114" s="8">
        <v>3850000</v>
      </c>
      <c r="F114" s="21">
        <v>2422000</v>
      </c>
      <c r="G114" s="172"/>
      <c r="H114" s="172"/>
      <c r="I114" s="8">
        <f t="shared" si="8"/>
        <v>2422000</v>
      </c>
      <c r="J114" s="21">
        <v>0</v>
      </c>
      <c r="K114" s="172"/>
      <c r="L114" s="172"/>
      <c r="M114" s="8">
        <f t="shared" si="7"/>
        <v>0</v>
      </c>
      <c r="P114" s="447" t="s">
        <v>682</v>
      </c>
    </row>
    <row r="115" spans="1:16" s="1" customFormat="1">
      <c r="A115" s="5">
        <v>51056800</v>
      </c>
      <c r="B115" s="5" t="s">
        <v>73</v>
      </c>
      <c r="C115" s="5">
        <v>51</v>
      </c>
      <c r="D115" s="456" t="s">
        <v>148</v>
      </c>
      <c r="E115" s="8">
        <v>29235407</v>
      </c>
      <c r="F115" s="21">
        <v>46738245.090000004</v>
      </c>
      <c r="G115" s="172"/>
      <c r="H115" s="172"/>
      <c r="I115" s="8">
        <f t="shared" si="8"/>
        <v>46738245.090000004</v>
      </c>
      <c r="J115" s="21">
        <v>28246219</v>
      </c>
      <c r="K115" s="172"/>
      <c r="L115" s="172"/>
      <c r="M115" s="8">
        <f t="shared" si="7"/>
        <v>28246219</v>
      </c>
      <c r="P115" s="447" t="s">
        <v>682</v>
      </c>
    </row>
    <row r="116" spans="1:16" s="1" customFormat="1">
      <c r="A116" s="5">
        <v>51056900</v>
      </c>
      <c r="B116" s="5" t="s">
        <v>74</v>
      </c>
      <c r="C116" s="5">
        <v>51</v>
      </c>
      <c r="D116" s="456" t="s">
        <v>148</v>
      </c>
      <c r="E116" s="8">
        <v>28145291</v>
      </c>
      <c r="F116" s="21">
        <v>40267560</v>
      </c>
      <c r="G116" s="172"/>
      <c r="H116" s="172"/>
      <c r="I116" s="8">
        <f t="shared" si="8"/>
        <v>40267560</v>
      </c>
      <c r="J116" s="21">
        <v>29304458</v>
      </c>
      <c r="K116" s="172"/>
      <c r="L116" s="172"/>
      <c r="M116" s="8">
        <f t="shared" si="7"/>
        <v>29304458</v>
      </c>
      <c r="P116" s="447" t="s">
        <v>682</v>
      </c>
    </row>
    <row r="117" spans="1:16" s="1" customFormat="1">
      <c r="A117" s="5">
        <v>51057200</v>
      </c>
      <c r="B117" s="5" t="s">
        <v>75</v>
      </c>
      <c r="C117" s="5">
        <v>51</v>
      </c>
      <c r="D117" s="456" t="s">
        <v>148</v>
      </c>
      <c r="E117" s="8">
        <v>21567690</v>
      </c>
      <c r="F117" s="21">
        <v>33716450</v>
      </c>
      <c r="G117" s="172"/>
      <c r="H117" s="172"/>
      <c r="I117" s="8">
        <f t="shared" si="8"/>
        <v>33716450</v>
      </c>
      <c r="J117" s="21">
        <v>34246446</v>
      </c>
      <c r="K117" s="172"/>
      <c r="L117" s="172"/>
      <c r="M117" s="8">
        <f t="shared" si="7"/>
        <v>34246446</v>
      </c>
      <c r="P117" s="447" t="s">
        <v>682</v>
      </c>
    </row>
    <row r="118" spans="1:16" s="1" customFormat="1">
      <c r="A118" s="5">
        <v>51057500</v>
      </c>
      <c r="B118" s="5" t="s">
        <v>76</v>
      </c>
      <c r="C118" s="5">
        <v>51</v>
      </c>
      <c r="D118" s="456" t="s">
        <v>148</v>
      </c>
      <c r="E118" s="8">
        <v>9537820</v>
      </c>
      <c r="F118" s="21">
        <v>14292661</v>
      </c>
      <c r="G118" s="172"/>
      <c r="H118" s="172"/>
      <c r="I118" s="8">
        <f t="shared" si="8"/>
        <v>14292661</v>
      </c>
      <c r="J118" s="21">
        <v>10291188</v>
      </c>
      <c r="K118" s="172"/>
      <c r="L118" s="172"/>
      <c r="M118" s="8">
        <f t="shared" si="7"/>
        <v>10291188</v>
      </c>
      <c r="P118" s="447" t="s">
        <v>682</v>
      </c>
    </row>
    <row r="119" spans="1:16" s="1" customFormat="1">
      <c r="A119" s="5">
        <v>51057800</v>
      </c>
      <c r="B119" s="5" t="s">
        <v>77</v>
      </c>
      <c r="C119" s="5">
        <v>51</v>
      </c>
      <c r="D119" s="456" t="s">
        <v>148</v>
      </c>
      <c r="E119" s="8">
        <v>6385458</v>
      </c>
      <c r="F119" s="21">
        <v>9529107</v>
      </c>
      <c r="G119" s="172"/>
      <c r="H119" s="172"/>
      <c r="I119" s="8">
        <f t="shared" si="8"/>
        <v>9529107</v>
      </c>
      <c r="J119" s="21">
        <v>6860792</v>
      </c>
      <c r="K119" s="172"/>
      <c r="L119" s="172"/>
      <c r="M119" s="8">
        <f t="shared" si="7"/>
        <v>6860792</v>
      </c>
      <c r="P119" s="447" t="s">
        <v>682</v>
      </c>
    </row>
    <row r="120" spans="1:16" s="1" customFormat="1">
      <c r="A120" s="5">
        <v>51058400</v>
      </c>
      <c r="B120" s="5" t="s">
        <v>78</v>
      </c>
      <c r="C120" s="5">
        <v>51</v>
      </c>
      <c r="D120" s="456" t="s">
        <v>148</v>
      </c>
      <c r="E120" s="8">
        <v>651356</v>
      </c>
      <c r="F120" s="21">
        <v>546894</v>
      </c>
      <c r="G120" s="172"/>
      <c r="H120" s="172"/>
      <c r="I120" s="8">
        <f t="shared" si="8"/>
        <v>546894</v>
      </c>
      <c r="J120" s="21">
        <v>924749</v>
      </c>
      <c r="K120" s="172"/>
      <c r="L120" s="172"/>
      <c r="M120" s="8">
        <f t="shared" si="7"/>
        <v>924749</v>
      </c>
      <c r="P120" s="447" t="s">
        <v>682</v>
      </c>
    </row>
    <row r="121" spans="1:16" s="1" customFormat="1">
      <c r="A121" s="5">
        <v>51101000</v>
      </c>
      <c r="B121" s="5" t="s">
        <v>79</v>
      </c>
      <c r="C121" s="5">
        <v>51</v>
      </c>
      <c r="D121" s="456" t="s">
        <v>148</v>
      </c>
      <c r="E121" s="8">
        <v>97475418</v>
      </c>
      <c r="F121" s="21">
        <v>47856183.149999999</v>
      </c>
      <c r="G121" s="172"/>
      <c r="H121" s="172"/>
      <c r="I121" s="8">
        <f t="shared" si="8"/>
        <v>47856183.149999999</v>
      </c>
      <c r="J121" s="21">
        <v>104118044</v>
      </c>
      <c r="K121" s="172"/>
      <c r="L121" s="172"/>
      <c r="M121" s="8">
        <f t="shared" si="7"/>
        <v>104118044</v>
      </c>
      <c r="P121" s="447" t="s">
        <v>685</v>
      </c>
    </row>
    <row r="122" spans="1:16" s="1" customFormat="1">
      <c r="A122" s="5">
        <v>51101500</v>
      </c>
      <c r="B122" s="6" t="s">
        <v>80</v>
      </c>
      <c r="C122" s="5">
        <v>51</v>
      </c>
      <c r="D122" s="456" t="s">
        <v>148</v>
      </c>
      <c r="E122" s="8">
        <v>0</v>
      </c>
      <c r="F122" s="21">
        <v>0</v>
      </c>
      <c r="G122" s="172"/>
      <c r="H122" s="172"/>
      <c r="I122" s="8">
        <f t="shared" si="8"/>
        <v>0</v>
      </c>
      <c r="J122" s="21">
        <v>0</v>
      </c>
      <c r="K122" s="172"/>
      <c r="L122" s="172"/>
      <c r="M122" s="8">
        <f t="shared" si="7"/>
        <v>0</v>
      </c>
      <c r="P122" s="447" t="s">
        <v>685</v>
      </c>
    </row>
    <row r="123" spans="1:16" s="1" customFormat="1">
      <c r="A123" s="5">
        <v>51102500</v>
      </c>
      <c r="B123" s="6" t="s">
        <v>81</v>
      </c>
      <c r="C123" s="5">
        <v>51</v>
      </c>
      <c r="D123" s="456" t="s">
        <v>148</v>
      </c>
      <c r="E123" s="8">
        <v>0</v>
      </c>
      <c r="F123" s="21">
        <v>4648390</v>
      </c>
      <c r="G123" s="172"/>
      <c r="H123" s="172"/>
      <c r="I123" s="8">
        <f t="shared" si="8"/>
        <v>4648390</v>
      </c>
      <c r="J123" s="21">
        <v>43531380</v>
      </c>
      <c r="K123" s="172"/>
      <c r="L123" s="172"/>
      <c r="M123" s="8">
        <f t="shared" si="7"/>
        <v>43531380</v>
      </c>
      <c r="P123" s="447" t="s">
        <v>685</v>
      </c>
    </row>
    <row r="124" spans="1:16" s="1" customFormat="1">
      <c r="A124" s="5">
        <v>51103500</v>
      </c>
      <c r="B124" s="5" t="s">
        <v>82</v>
      </c>
      <c r="C124" s="5">
        <v>51</v>
      </c>
      <c r="D124" s="456" t="s">
        <v>148</v>
      </c>
      <c r="E124" s="8">
        <v>62979487</v>
      </c>
      <c r="F124" s="21">
        <v>56572509</v>
      </c>
      <c r="G124" s="172"/>
      <c r="H124" s="172"/>
      <c r="I124" s="8">
        <f t="shared" si="8"/>
        <v>56572509</v>
      </c>
      <c r="J124" s="21">
        <v>0</v>
      </c>
      <c r="K124" s="172"/>
      <c r="L124" s="172"/>
      <c r="M124" s="8">
        <f t="shared" si="7"/>
        <v>0</v>
      </c>
      <c r="P124" s="447" t="s">
        <v>685</v>
      </c>
    </row>
    <row r="125" spans="1:16" s="1" customFormat="1">
      <c r="A125" s="5">
        <v>51109500</v>
      </c>
      <c r="B125" s="5" t="s">
        <v>83</v>
      </c>
      <c r="C125" s="5">
        <v>51</v>
      </c>
      <c r="D125" s="456" t="s">
        <v>148</v>
      </c>
      <c r="E125" s="8">
        <v>17918395</v>
      </c>
      <c r="F125" s="21">
        <v>32162575.16</v>
      </c>
      <c r="G125" s="172"/>
      <c r="H125" s="172"/>
      <c r="I125" s="8">
        <f t="shared" si="8"/>
        <v>32162575.16</v>
      </c>
      <c r="J125" s="21">
        <v>12091976</v>
      </c>
      <c r="K125" s="172"/>
      <c r="L125" s="172"/>
      <c r="M125" s="8">
        <f t="shared" si="7"/>
        <v>12091976</v>
      </c>
      <c r="P125" s="447" t="s">
        <v>685</v>
      </c>
    </row>
    <row r="126" spans="1:16" s="1" customFormat="1">
      <c r="A126" s="5">
        <v>51154000</v>
      </c>
      <c r="B126" s="5" t="s">
        <v>84</v>
      </c>
      <c r="C126" s="5">
        <v>51</v>
      </c>
      <c r="D126" s="456" t="s">
        <v>148</v>
      </c>
      <c r="E126" s="8">
        <v>988000</v>
      </c>
      <c r="F126" s="21">
        <v>579000</v>
      </c>
      <c r="G126" s="172"/>
      <c r="H126" s="172"/>
      <c r="I126" s="8">
        <f t="shared" si="8"/>
        <v>579000</v>
      </c>
      <c r="J126" s="21">
        <v>461000</v>
      </c>
      <c r="K126" s="172"/>
      <c r="L126" s="172"/>
      <c r="M126" s="8">
        <f t="shared" si="7"/>
        <v>461000</v>
      </c>
      <c r="P126" s="447" t="s">
        <v>689</v>
      </c>
    </row>
    <row r="127" spans="1:16" s="1" customFormat="1">
      <c r="A127" s="5">
        <v>51157000</v>
      </c>
      <c r="B127" s="5" t="s">
        <v>731</v>
      </c>
      <c r="C127" s="5">
        <v>51</v>
      </c>
      <c r="D127" s="456" t="s">
        <v>148</v>
      </c>
      <c r="E127" s="8">
        <v>0</v>
      </c>
      <c r="F127" s="21">
        <v>4231488.26</v>
      </c>
      <c r="G127" s="172"/>
      <c r="H127" s="172"/>
      <c r="I127" s="8">
        <f t="shared" si="8"/>
        <v>4231488.26</v>
      </c>
      <c r="J127" s="21">
        <v>532000</v>
      </c>
      <c r="K127" s="172"/>
      <c r="L127" s="172"/>
      <c r="M127" s="8">
        <f t="shared" si="7"/>
        <v>532000</v>
      </c>
      <c r="P127" s="447" t="s">
        <v>689</v>
      </c>
    </row>
    <row r="128" spans="1:16" s="1" customFormat="1">
      <c r="A128" s="5">
        <v>51159500</v>
      </c>
      <c r="B128" s="5" t="s">
        <v>85</v>
      </c>
      <c r="C128" s="5">
        <v>51</v>
      </c>
      <c r="D128" s="456" t="s">
        <v>148</v>
      </c>
      <c r="E128" s="8">
        <v>73931133</v>
      </c>
      <c r="F128" s="21">
        <v>149537972.08000001</v>
      </c>
      <c r="G128" s="172"/>
      <c r="H128" s="172"/>
      <c r="I128" s="8">
        <f t="shared" si="8"/>
        <v>149537972.08000001</v>
      </c>
      <c r="J128" s="21">
        <v>151191329.52000001</v>
      </c>
      <c r="K128" s="172"/>
      <c r="L128" s="172"/>
      <c r="M128" s="8">
        <f t="shared" si="7"/>
        <v>151191329.52000001</v>
      </c>
      <c r="P128" s="447" t="s">
        <v>689</v>
      </c>
    </row>
    <row r="129" spans="1:16" s="1" customFormat="1">
      <c r="A129" s="5">
        <v>51201000</v>
      </c>
      <c r="B129" s="5" t="s">
        <v>86</v>
      </c>
      <c r="C129" s="5">
        <v>51</v>
      </c>
      <c r="D129" s="456" t="s">
        <v>148</v>
      </c>
      <c r="E129" s="8">
        <v>4444000</v>
      </c>
      <c r="F129" s="21">
        <v>4874000</v>
      </c>
      <c r="G129" s="172"/>
      <c r="H129" s="172"/>
      <c r="I129" s="8">
        <f t="shared" si="8"/>
        <v>4874000</v>
      </c>
      <c r="J129" s="21">
        <v>74797081.989999995</v>
      </c>
      <c r="K129" s="172"/>
      <c r="L129" s="172"/>
      <c r="M129" s="8">
        <f t="shared" si="7"/>
        <v>74797081.989999995</v>
      </c>
      <c r="P129" s="447" t="s">
        <v>690</v>
      </c>
    </row>
    <row r="130" spans="1:16" s="1" customFormat="1">
      <c r="A130" s="5">
        <v>51201500</v>
      </c>
      <c r="B130" s="5" t="s">
        <v>173</v>
      </c>
      <c r="C130" s="5">
        <v>51</v>
      </c>
      <c r="D130" s="456" t="s">
        <v>148</v>
      </c>
      <c r="E130" s="8">
        <v>6750000</v>
      </c>
      <c r="F130" s="21">
        <v>0</v>
      </c>
      <c r="G130" s="172"/>
      <c r="H130" s="172"/>
      <c r="I130" s="8">
        <f t="shared" si="8"/>
        <v>0</v>
      </c>
      <c r="J130" s="21">
        <v>0</v>
      </c>
      <c r="K130" s="172"/>
      <c r="L130" s="172"/>
      <c r="M130" s="8">
        <f t="shared" si="7"/>
        <v>0</v>
      </c>
      <c r="P130" s="447" t="s">
        <v>690</v>
      </c>
    </row>
    <row r="131" spans="1:16" s="1" customFormat="1">
      <c r="A131" s="5">
        <v>51204000</v>
      </c>
      <c r="B131" s="5" t="s">
        <v>87</v>
      </c>
      <c r="C131" s="5">
        <v>51</v>
      </c>
      <c r="D131" s="456" t="s">
        <v>148</v>
      </c>
      <c r="E131" s="8">
        <v>3500000</v>
      </c>
      <c r="F131" s="21">
        <v>2339142.62</v>
      </c>
      <c r="G131" s="172"/>
      <c r="H131" s="172"/>
      <c r="I131" s="8">
        <f t="shared" si="8"/>
        <v>2339142.62</v>
      </c>
      <c r="J131" s="21">
        <v>3766655</v>
      </c>
      <c r="K131" s="172"/>
      <c r="L131" s="172"/>
      <c r="M131" s="8">
        <f t="shared" si="7"/>
        <v>3766655</v>
      </c>
      <c r="P131" s="447" t="s">
        <v>690</v>
      </c>
    </row>
    <row r="132" spans="1:16" s="1" customFormat="1">
      <c r="A132" s="5">
        <v>51209500</v>
      </c>
      <c r="B132" s="5" t="s">
        <v>174</v>
      </c>
      <c r="C132" s="5">
        <v>51</v>
      </c>
      <c r="D132" s="456" t="s">
        <v>148</v>
      </c>
      <c r="E132" s="8">
        <v>0</v>
      </c>
      <c r="F132" s="21">
        <v>0</v>
      </c>
      <c r="G132" s="172"/>
      <c r="H132" s="172"/>
      <c r="I132" s="8">
        <f t="shared" si="8"/>
        <v>0</v>
      </c>
      <c r="J132" s="21">
        <v>1106700</v>
      </c>
      <c r="K132" s="172"/>
      <c r="L132" s="172"/>
      <c r="M132" s="8">
        <f t="shared" si="7"/>
        <v>1106700</v>
      </c>
      <c r="P132" s="447" t="s">
        <v>690</v>
      </c>
    </row>
    <row r="133" spans="1:16" s="1" customFormat="1">
      <c r="A133" s="5">
        <v>51250500</v>
      </c>
      <c r="B133" s="5" t="s">
        <v>88</v>
      </c>
      <c r="C133" s="5">
        <v>51</v>
      </c>
      <c r="D133" s="456" t="s">
        <v>148</v>
      </c>
      <c r="E133" s="8">
        <v>26089280</v>
      </c>
      <c r="F133" s="21">
        <v>61976591.259999998</v>
      </c>
      <c r="G133" s="172"/>
      <c r="H133" s="172"/>
      <c r="I133" s="8">
        <f t="shared" si="8"/>
        <v>61976591.259999998</v>
      </c>
      <c r="J133" s="21">
        <v>22606180</v>
      </c>
      <c r="K133" s="172"/>
      <c r="L133" s="172"/>
      <c r="M133" s="8">
        <f t="shared" si="7"/>
        <v>22606180</v>
      </c>
      <c r="P133" s="447" t="s">
        <v>691</v>
      </c>
    </row>
    <row r="134" spans="1:16" s="1" customFormat="1">
      <c r="A134" s="5">
        <v>51301000</v>
      </c>
      <c r="B134" s="5" t="s">
        <v>175</v>
      </c>
      <c r="C134" s="5">
        <v>51</v>
      </c>
      <c r="D134" s="456" t="s">
        <v>148</v>
      </c>
      <c r="E134" s="8">
        <v>101833158</v>
      </c>
      <c r="F134" s="21">
        <v>677678</v>
      </c>
      <c r="G134" s="172"/>
      <c r="H134" s="172"/>
      <c r="I134" s="8">
        <f t="shared" si="8"/>
        <v>677678</v>
      </c>
      <c r="J134" s="21">
        <v>3581532</v>
      </c>
      <c r="K134" s="172"/>
      <c r="L134" s="172"/>
      <c r="M134" s="8">
        <f t="shared" si="7"/>
        <v>3581532</v>
      </c>
      <c r="P134" s="447" t="s">
        <v>686</v>
      </c>
    </row>
    <row r="135" spans="1:16" s="1" customFormat="1">
      <c r="A135" s="5">
        <v>51302500</v>
      </c>
      <c r="B135" s="6" t="s">
        <v>732</v>
      </c>
      <c r="C135" s="5">
        <v>51</v>
      </c>
      <c r="D135" s="456" t="s">
        <v>148</v>
      </c>
      <c r="E135" s="8">
        <v>0</v>
      </c>
      <c r="F135" s="21">
        <v>0</v>
      </c>
      <c r="G135" s="172"/>
      <c r="H135" s="172"/>
      <c r="I135" s="8">
        <f t="shared" si="8"/>
        <v>0</v>
      </c>
      <c r="J135" s="21">
        <v>3683589</v>
      </c>
      <c r="K135" s="172"/>
      <c r="L135" s="172"/>
      <c r="M135" s="8">
        <f t="shared" si="7"/>
        <v>3683589</v>
      </c>
      <c r="P135" s="447" t="s">
        <v>686</v>
      </c>
    </row>
    <row r="136" spans="1:16" s="1" customFormat="1">
      <c r="A136" s="5">
        <v>51304000</v>
      </c>
      <c r="B136" s="5" t="s">
        <v>89</v>
      </c>
      <c r="C136" s="5">
        <v>51</v>
      </c>
      <c r="D136" s="456" t="s">
        <v>148</v>
      </c>
      <c r="E136" s="8">
        <v>2363716</v>
      </c>
      <c r="F136" s="21">
        <v>2857833</v>
      </c>
      <c r="G136" s="172"/>
      <c r="H136" s="172"/>
      <c r="I136" s="8">
        <f t="shared" si="8"/>
        <v>2857833</v>
      </c>
      <c r="J136" s="21">
        <v>2682899</v>
      </c>
      <c r="K136" s="172"/>
      <c r="L136" s="172"/>
      <c r="M136" s="8">
        <f t="shared" si="7"/>
        <v>2682899</v>
      </c>
      <c r="P136" s="447" t="s">
        <v>686</v>
      </c>
    </row>
    <row r="137" spans="1:16" s="1" customFormat="1">
      <c r="A137" s="5">
        <v>51306000</v>
      </c>
      <c r="B137" s="5" t="s">
        <v>176</v>
      </c>
      <c r="C137" s="5">
        <v>51</v>
      </c>
      <c r="D137" s="456" t="s">
        <v>148</v>
      </c>
      <c r="E137" s="8">
        <v>12142499</v>
      </c>
      <c r="F137" s="21">
        <v>10951936.27</v>
      </c>
      <c r="G137" s="172"/>
      <c r="H137" s="172"/>
      <c r="I137" s="8">
        <f t="shared" si="8"/>
        <v>10951936.27</v>
      </c>
      <c r="J137" s="21">
        <v>2550000</v>
      </c>
      <c r="K137" s="172"/>
      <c r="L137" s="172"/>
      <c r="M137" s="8">
        <f t="shared" si="7"/>
        <v>2550000</v>
      </c>
      <c r="P137" s="447" t="s">
        <v>686</v>
      </c>
    </row>
    <row r="138" spans="1:16" s="1" customFormat="1">
      <c r="A138" s="5">
        <v>51309500</v>
      </c>
      <c r="B138" s="5" t="s">
        <v>177</v>
      </c>
      <c r="C138" s="5">
        <v>51</v>
      </c>
      <c r="D138" s="456" t="s">
        <v>148</v>
      </c>
      <c r="E138" s="8">
        <v>50103162</v>
      </c>
      <c r="F138" s="21">
        <v>33570431</v>
      </c>
      <c r="G138" s="172"/>
      <c r="H138" s="172"/>
      <c r="I138" s="8">
        <f t="shared" si="8"/>
        <v>33570431</v>
      </c>
      <c r="J138" s="21">
        <v>7366457</v>
      </c>
      <c r="K138" s="172"/>
      <c r="L138" s="172"/>
      <c r="M138" s="8">
        <f t="shared" si="7"/>
        <v>7366457</v>
      </c>
      <c r="P138" s="447" t="s">
        <v>686</v>
      </c>
    </row>
    <row r="139" spans="1:16" s="1" customFormat="1">
      <c r="A139" s="5">
        <v>51350510</v>
      </c>
      <c r="B139" s="5" t="s">
        <v>90</v>
      </c>
      <c r="C139" s="5">
        <v>51</v>
      </c>
      <c r="D139" s="456" t="s">
        <v>148</v>
      </c>
      <c r="E139" s="8">
        <v>20309719</v>
      </c>
      <c r="F139" s="21">
        <v>0</v>
      </c>
      <c r="G139" s="172"/>
      <c r="H139" s="172"/>
      <c r="I139" s="8">
        <f t="shared" si="8"/>
        <v>0</v>
      </c>
      <c r="J139" s="21">
        <v>0</v>
      </c>
      <c r="K139" s="172"/>
      <c r="L139" s="172"/>
      <c r="M139" s="8">
        <f t="shared" si="7"/>
        <v>0</v>
      </c>
      <c r="P139" s="447" t="s">
        <v>688</v>
      </c>
    </row>
    <row r="140" spans="1:16" s="1" customFormat="1">
      <c r="A140" s="5">
        <v>51351000</v>
      </c>
      <c r="B140" s="5" t="s">
        <v>91</v>
      </c>
      <c r="C140" s="5">
        <v>51</v>
      </c>
      <c r="D140" s="456" t="s">
        <v>148</v>
      </c>
      <c r="E140" s="8">
        <v>1500222</v>
      </c>
      <c r="F140" s="21">
        <v>0</v>
      </c>
      <c r="G140" s="172"/>
      <c r="H140" s="172"/>
      <c r="I140" s="8">
        <f t="shared" si="8"/>
        <v>0</v>
      </c>
      <c r="J140" s="21">
        <v>0</v>
      </c>
      <c r="K140" s="172"/>
      <c r="L140" s="172"/>
      <c r="M140" s="8">
        <f t="shared" si="7"/>
        <v>0</v>
      </c>
      <c r="P140" s="447" t="s">
        <v>688</v>
      </c>
    </row>
    <row r="141" spans="1:16" s="1" customFormat="1">
      <c r="A141" s="5">
        <v>51351500</v>
      </c>
      <c r="B141" s="5" t="s">
        <v>92</v>
      </c>
      <c r="C141" s="5">
        <v>51</v>
      </c>
      <c r="D141" s="456" t="s">
        <v>148</v>
      </c>
      <c r="E141" s="8">
        <v>15051949</v>
      </c>
      <c r="F141" s="21">
        <v>10705585.33</v>
      </c>
      <c r="G141" s="172"/>
      <c r="H141" s="172"/>
      <c r="I141" s="8">
        <f t="shared" si="8"/>
        <v>10705585.33</v>
      </c>
      <c r="J141" s="21">
        <v>42503024.460000001</v>
      </c>
      <c r="K141" s="172"/>
      <c r="L141" s="172"/>
      <c r="M141" s="8">
        <f t="shared" si="7"/>
        <v>42503024.460000001</v>
      </c>
      <c r="P141" s="447" t="s">
        <v>688</v>
      </c>
    </row>
    <row r="142" spans="1:16" s="1" customFormat="1">
      <c r="A142" s="5">
        <v>51352500</v>
      </c>
      <c r="B142" s="5" t="s">
        <v>93</v>
      </c>
      <c r="C142" s="5">
        <v>51</v>
      </c>
      <c r="D142" s="456" t="s">
        <v>148</v>
      </c>
      <c r="E142" s="8">
        <v>632063</v>
      </c>
      <c r="F142" s="21">
        <v>490586</v>
      </c>
      <c r="G142" s="172"/>
      <c r="H142" s="172"/>
      <c r="I142" s="8">
        <f t="shared" si="8"/>
        <v>490586</v>
      </c>
      <c r="J142" s="21">
        <v>1248810</v>
      </c>
      <c r="K142" s="172"/>
      <c r="L142" s="172"/>
      <c r="M142" s="8">
        <f t="shared" si="7"/>
        <v>1248810</v>
      </c>
      <c r="P142" s="447" t="s">
        <v>688</v>
      </c>
    </row>
    <row r="143" spans="1:16" s="1" customFormat="1">
      <c r="A143" s="5">
        <v>51353000</v>
      </c>
      <c r="B143" s="5" t="s">
        <v>94</v>
      </c>
      <c r="C143" s="5">
        <v>51</v>
      </c>
      <c r="D143" s="456" t="s">
        <v>148</v>
      </c>
      <c r="E143" s="8">
        <v>6586463</v>
      </c>
      <c r="F143" s="21">
        <v>3128341</v>
      </c>
      <c r="G143" s="172"/>
      <c r="H143" s="172"/>
      <c r="I143" s="8">
        <f t="shared" si="8"/>
        <v>3128341</v>
      </c>
      <c r="J143" s="21">
        <v>3692349</v>
      </c>
      <c r="K143" s="172"/>
      <c r="L143" s="172"/>
      <c r="M143" s="8">
        <f t="shared" si="7"/>
        <v>3692349</v>
      </c>
      <c r="P143" s="447" t="s">
        <v>688</v>
      </c>
    </row>
    <row r="144" spans="1:16" s="1" customFormat="1">
      <c r="A144" s="5">
        <v>51353500</v>
      </c>
      <c r="B144" s="5" t="s">
        <v>95</v>
      </c>
      <c r="C144" s="5">
        <v>51</v>
      </c>
      <c r="D144" s="456" t="s">
        <v>148</v>
      </c>
      <c r="E144" s="8">
        <v>41333756</v>
      </c>
      <c r="F144" s="21">
        <v>45255333.340000004</v>
      </c>
      <c r="G144" s="172"/>
      <c r="H144" s="172"/>
      <c r="I144" s="8">
        <f t="shared" si="8"/>
        <v>45255333.340000004</v>
      </c>
      <c r="J144" s="21">
        <v>50001235</v>
      </c>
      <c r="K144" s="172"/>
      <c r="L144" s="172"/>
      <c r="M144" s="8">
        <f t="shared" si="7"/>
        <v>50001235</v>
      </c>
      <c r="P144" s="447" t="s">
        <v>688</v>
      </c>
    </row>
    <row r="145" spans="1:16" s="1" customFormat="1">
      <c r="A145" s="5">
        <v>51354000</v>
      </c>
      <c r="B145" s="5" t="s">
        <v>178</v>
      </c>
      <c r="C145" s="5">
        <v>51</v>
      </c>
      <c r="D145" s="456" t="s">
        <v>148</v>
      </c>
      <c r="E145" s="8">
        <v>0</v>
      </c>
      <c r="F145" s="21">
        <v>0</v>
      </c>
      <c r="G145" s="172"/>
      <c r="H145" s="172"/>
      <c r="I145" s="8">
        <f t="shared" si="8"/>
        <v>0</v>
      </c>
      <c r="J145" s="21">
        <v>92800</v>
      </c>
      <c r="K145" s="172"/>
      <c r="L145" s="172"/>
      <c r="M145" s="8">
        <f t="shared" si="7"/>
        <v>92800</v>
      </c>
      <c r="P145" s="447" t="s">
        <v>688</v>
      </c>
    </row>
    <row r="146" spans="1:16" s="1" customFormat="1">
      <c r="A146" s="5">
        <v>51355000</v>
      </c>
      <c r="B146" s="5" t="s">
        <v>96</v>
      </c>
      <c r="C146" s="5">
        <v>51</v>
      </c>
      <c r="D146" s="456" t="s">
        <v>148</v>
      </c>
      <c r="E146" s="8">
        <v>5412897</v>
      </c>
      <c r="F146" s="21">
        <v>1150387</v>
      </c>
      <c r="G146" s="172"/>
      <c r="H146" s="172"/>
      <c r="I146" s="8">
        <f t="shared" si="8"/>
        <v>1150387</v>
      </c>
      <c r="J146" s="21">
        <v>3108000</v>
      </c>
      <c r="K146" s="172"/>
      <c r="L146" s="172"/>
      <c r="M146" s="8">
        <f t="shared" si="7"/>
        <v>3108000</v>
      </c>
      <c r="P146" s="447" t="s">
        <v>688</v>
      </c>
    </row>
    <row r="147" spans="1:16" s="1" customFormat="1">
      <c r="A147" s="5">
        <v>51355500</v>
      </c>
      <c r="B147" s="6" t="s">
        <v>97</v>
      </c>
      <c r="C147" s="5">
        <v>51</v>
      </c>
      <c r="D147" s="456" t="s">
        <v>148</v>
      </c>
      <c r="E147" s="8">
        <v>0</v>
      </c>
      <c r="F147" s="21">
        <v>0</v>
      </c>
      <c r="G147" s="172"/>
      <c r="H147" s="172"/>
      <c r="I147" s="8">
        <f t="shared" si="8"/>
        <v>0</v>
      </c>
      <c r="J147" s="21">
        <v>0</v>
      </c>
      <c r="K147" s="172"/>
      <c r="L147" s="172"/>
      <c r="M147" s="8">
        <f t="shared" si="7"/>
        <v>0</v>
      </c>
      <c r="P147" s="447" t="s">
        <v>688</v>
      </c>
    </row>
    <row r="148" spans="1:16" s="1" customFormat="1">
      <c r="A148" s="5">
        <v>51359500</v>
      </c>
      <c r="B148" s="5" t="s">
        <v>98</v>
      </c>
      <c r="C148" s="5">
        <v>51</v>
      </c>
      <c r="D148" s="456" t="s">
        <v>148</v>
      </c>
      <c r="E148" s="8">
        <v>5280608</v>
      </c>
      <c r="F148" s="21">
        <v>3200000</v>
      </c>
      <c r="G148" s="172"/>
      <c r="H148" s="172"/>
      <c r="I148" s="8">
        <f t="shared" si="8"/>
        <v>3200000</v>
      </c>
      <c r="J148" s="21">
        <v>0</v>
      </c>
      <c r="K148" s="172"/>
      <c r="L148" s="172"/>
      <c r="M148" s="8">
        <f t="shared" si="7"/>
        <v>0</v>
      </c>
      <c r="P148" s="447" t="s">
        <v>688</v>
      </c>
    </row>
    <row r="149" spans="1:16" s="1" customFormat="1">
      <c r="A149" s="5">
        <v>51400500</v>
      </c>
      <c r="B149" s="5" t="s">
        <v>99</v>
      </c>
      <c r="C149" s="5">
        <v>51</v>
      </c>
      <c r="D149" s="456" t="s">
        <v>148</v>
      </c>
      <c r="E149" s="8">
        <v>27769761</v>
      </c>
      <c r="F149" s="21">
        <v>40169236.420000002</v>
      </c>
      <c r="G149" s="172"/>
      <c r="H149" s="172"/>
      <c r="I149" s="8">
        <f t="shared" si="8"/>
        <v>40169236.420000002</v>
      </c>
      <c r="J149" s="21">
        <v>1925799</v>
      </c>
      <c r="K149" s="172"/>
      <c r="L149" s="172"/>
      <c r="M149" s="8">
        <f t="shared" si="7"/>
        <v>1925799</v>
      </c>
      <c r="P149" s="447" t="s">
        <v>692</v>
      </c>
    </row>
    <row r="150" spans="1:16" s="1" customFormat="1">
      <c r="A150" s="5">
        <v>51401000</v>
      </c>
      <c r="B150" s="5" t="s">
        <v>100</v>
      </c>
      <c r="C150" s="5">
        <v>51</v>
      </c>
      <c r="D150" s="456" t="s">
        <v>148</v>
      </c>
      <c r="E150" s="8">
        <v>1923200</v>
      </c>
      <c r="F150" s="21">
        <v>5800</v>
      </c>
      <c r="G150" s="172"/>
      <c r="H150" s="172"/>
      <c r="I150" s="8">
        <f t="shared" si="8"/>
        <v>5800</v>
      </c>
      <c r="J150" s="21">
        <v>2115100</v>
      </c>
      <c r="K150" s="172"/>
      <c r="L150" s="172"/>
      <c r="M150" s="8">
        <f t="shared" si="7"/>
        <v>2115100</v>
      </c>
      <c r="P150" s="447" t="s">
        <v>692</v>
      </c>
    </row>
    <row r="151" spans="1:16" s="1" customFormat="1">
      <c r="A151" s="5">
        <v>51451500</v>
      </c>
      <c r="B151" s="5" t="s">
        <v>101</v>
      </c>
      <c r="C151" s="5">
        <v>51</v>
      </c>
      <c r="D151" s="456" t="s">
        <v>148</v>
      </c>
      <c r="E151" s="8">
        <v>40710456</v>
      </c>
      <c r="F151" s="21">
        <v>40533447.210000001</v>
      </c>
      <c r="G151" s="172"/>
      <c r="H151" s="172"/>
      <c r="I151" s="8">
        <f t="shared" si="8"/>
        <v>40533447.210000001</v>
      </c>
      <c r="J151" s="21">
        <v>43619850</v>
      </c>
      <c r="K151" s="172"/>
      <c r="L151" s="172"/>
      <c r="M151" s="8">
        <f t="shared" si="7"/>
        <v>43619850</v>
      </c>
      <c r="P151" s="447" t="s">
        <v>693</v>
      </c>
    </row>
    <row r="152" spans="1:16" s="1" customFormat="1">
      <c r="A152" s="5">
        <v>51452000</v>
      </c>
      <c r="B152" s="5" t="s">
        <v>102</v>
      </c>
      <c r="C152" s="5">
        <v>51</v>
      </c>
      <c r="D152" s="456" t="s">
        <v>148</v>
      </c>
      <c r="E152" s="8">
        <v>5675212</v>
      </c>
      <c r="F152" s="21">
        <v>0</v>
      </c>
      <c r="G152" s="172"/>
      <c r="H152" s="172"/>
      <c r="I152" s="8">
        <f t="shared" si="8"/>
        <v>0</v>
      </c>
      <c r="J152" s="21">
        <v>0</v>
      </c>
      <c r="K152" s="172"/>
      <c r="L152" s="172"/>
      <c r="M152" s="8">
        <f t="shared" si="7"/>
        <v>0</v>
      </c>
      <c r="P152" s="447" t="s">
        <v>693</v>
      </c>
    </row>
    <row r="153" spans="1:16" s="1" customFormat="1">
      <c r="A153" s="5">
        <v>51454000</v>
      </c>
      <c r="B153" s="5" t="s">
        <v>103</v>
      </c>
      <c r="C153" s="5">
        <v>51</v>
      </c>
      <c r="D153" s="456" t="s">
        <v>148</v>
      </c>
      <c r="E153" s="8">
        <v>4449579</v>
      </c>
      <c r="F153" s="21">
        <v>0</v>
      </c>
      <c r="G153" s="172"/>
      <c r="H153" s="172"/>
      <c r="I153" s="8">
        <f t="shared" si="8"/>
        <v>0</v>
      </c>
      <c r="J153" s="21">
        <v>0</v>
      </c>
      <c r="K153" s="172"/>
      <c r="L153" s="172"/>
      <c r="M153" s="8">
        <f t="shared" si="7"/>
        <v>0</v>
      </c>
      <c r="P153" s="447" t="s">
        <v>693</v>
      </c>
    </row>
    <row r="154" spans="1:16" s="1" customFormat="1">
      <c r="A154" s="5">
        <v>51550500</v>
      </c>
      <c r="B154" s="5" t="s">
        <v>104</v>
      </c>
      <c r="C154" s="5">
        <v>51</v>
      </c>
      <c r="D154" s="456" t="s">
        <v>148</v>
      </c>
      <c r="E154" s="8">
        <v>13634961</v>
      </c>
      <c r="F154" s="21">
        <v>13106526</v>
      </c>
      <c r="G154" s="172"/>
      <c r="H154" s="172"/>
      <c r="I154" s="8">
        <f t="shared" si="8"/>
        <v>13106526</v>
      </c>
      <c r="J154" s="21">
        <v>7272166</v>
      </c>
      <c r="K154" s="172"/>
      <c r="L154" s="172"/>
      <c r="M154" s="8">
        <f t="shared" si="7"/>
        <v>7272166</v>
      </c>
      <c r="P154" s="447" t="s">
        <v>684</v>
      </c>
    </row>
    <row r="155" spans="1:16" s="1" customFormat="1">
      <c r="A155" s="5">
        <v>51551500</v>
      </c>
      <c r="B155" s="5" t="s">
        <v>105</v>
      </c>
      <c r="C155" s="5">
        <v>51</v>
      </c>
      <c r="D155" s="456" t="s">
        <v>148</v>
      </c>
      <c r="E155" s="8">
        <v>59543003</v>
      </c>
      <c r="F155" s="21">
        <v>65166569</v>
      </c>
      <c r="G155" s="172"/>
      <c r="H155" s="172"/>
      <c r="I155" s="8">
        <f t="shared" si="8"/>
        <v>65166569</v>
      </c>
      <c r="J155" s="21">
        <v>20401662</v>
      </c>
      <c r="K155" s="172"/>
      <c r="L155" s="172"/>
      <c r="M155" s="8">
        <f t="shared" si="7"/>
        <v>20401662</v>
      </c>
      <c r="P155" s="447" t="s">
        <v>684</v>
      </c>
    </row>
    <row r="156" spans="1:16" s="1" customFormat="1">
      <c r="A156" s="5">
        <v>51552000</v>
      </c>
      <c r="B156" s="5" t="s">
        <v>179</v>
      </c>
      <c r="C156" s="5">
        <v>51</v>
      </c>
      <c r="D156" s="456" t="s">
        <v>148</v>
      </c>
      <c r="E156" s="8">
        <v>149468637</v>
      </c>
      <c r="F156" s="21">
        <v>579570</v>
      </c>
      <c r="G156" s="172"/>
      <c r="H156" s="172"/>
      <c r="I156" s="8">
        <f t="shared" si="8"/>
        <v>579570</v>
      </c>
      <c r="J156" s="21">
        <v>24483259</v>
      </c>
      <c r="K156" s="172"/>
      <c r="L156" s="172"/>
      <c r="M156" s="8">
        <f t="shared" ref="M156:M194" si="9">J156+K156-L156</f>
        <v>24483259</v>
      </c>
      <c r="P156" s="447" t="s">
        <v>684</v>
      </c>
    </row>
    <row r="157" spans="1:16" s="1" customFormat="1">
      <c r="A157" s="5">
        <v>51600500</v>
      </c>
      <c r="B157" s="5" t="s">
        <v>106</v>
      </c>
      <c r="C157" s="5">
        <v>51</v>
      </c>
      <c r="D157" s="456" t="s">
        <v>148</v>
      </c>
      <c r="E157" s="8">
        <v>39560826.240000002</v>
      </c>
      <c r="F157" s="21">
        <v>18098730.620000001</v>
      </c>
      <c r="G157" s="172"/>
      <c r="H157" s="172"/>
      <c r="I157" s="8">
        <f t="shared" si="8"/>
        <v>18098730.620000001</v>
      </c>
      <c r="J157" s="21">
        <v>0</v>
      </c>
      <c r="K157" s="172"/>
      <c r="L157" s="172"/>
      <c r="M157" s="8">
        <f t="shared" si="9"/>
        <v>0</v>
      </c>
      <c r="P157" s="447" t="s">
        <v>687</v>
      </c>
    </row>
    <row r="158" spans="1:16" s="1" customFormat="1">
      <c r="A158" s="5">
        <v>51601000</v>
      </c>
      <c r="B158" s="5" t="s">
        <v>107</v>
      </c>
      <c r="C158" s="5">
        <v>51</v>
      </c>
      <c r="D158" s="456" t="s">
        <v>148</v>
      </c>
      <c r="E158" s="8">
        <v>30884355</v>
      </c>
      <c r="F158" s="21">
        <v>0</v>
      </c>
      <c r="G158" s="172"/>
      <c r="H158" s="172"/>
      <c r="I158" s="8">
        <f t="shared" si="8"/>
        <v>0</v>
      </c>
      <c r="J158" s="21">
        <v>0</v>
      </c>
      <c r="K158" s="172"/>
      <c r="L158" s="172"/>
      <c r="M158" s="8">
        <f t="shared" si="9"/>
        <v>0</v>
      </c>
      <c r="P158" s="447" t="s">
        <v>687</v>
      </c>
    </row>
    <row r="159" spans="1:16" s="1" customFormat="1">
      <c r="A159" s="5">
        <v>51601500</v>
      </c>
      <c r="B159" s="5" t="s">
        <v>108</v>
      </c>
      <c r="C159" s="5">
        <v>51</v>
      </c>
      <c r="D159" s="456" t="s">
        <v>148</v>
      </c>
      <c r="E159" s="8">
        <v>12418941</v>
      </c>
      <c r="F159" s="21">
        <v>25125337.68</v>
      </c>
      <c r="G159" s="172"/>
      <c r="H159" s="172"/>
      <c r="I159" s="8">
        <f t="shared" si="8"/>
        <v>25125337.68</v>
      </c>
      <c r="J159" s="21">
        <v>17680370.579999998</v>
      </c>
      <c r="K159" s="172"/>
      <c r="L159" s="172"/>
      <c r="M159" s="8">
        <f t="shared" si="9"/>
        <v>17680370.579999998</v>
      </c>
      <c r="P159" s="447" t="s">
        <v>687</v>
      </c>
    </row>
    <row r="160" spans="1:16" s="1" customFormat="1">
      <c r="A160" s="5">
        <v>51603500</v>
      </c>
      <c r="B160" s="5" t="s">
        <v>109</v>
      </c>
      <c r="C160" s="5">
        <v>51</v>
      </c>
      <c r="D160" s="456" t="s">
        <v>148</v>
      </c>
      <c r="E160" s="8">
        <v>35649253</v>
      </c>
      <c r="F160" s="21">
        <v>0</v>
      </c>
      <c r="G160" s="172"/>
      <c r="H160" s="172"/>
      <c r="I160" s="8">
        <f t="shared" si="8"/>
        <v>0</v>
      </c>
      <c r="J160" s="21">
        <v>0</v>
      </c>
      <c r="K160" s="172"/>
      <c r="L160" s="172"/>
      <c r="M160" s="8">
        <f t="shared" si="9"/>
        <v>0</v>
      </c>
      <c r="P160" s="447" t="s">
        <v>687</v>
      </c>
    </row>
    <row r="161" spans="1:16" s="1" customFormat="1">
      <c r="A161" s="5">
        <v>51605000</v>
      </c>
      <c r="B161" s="5" t="s">
        <v>451</v>
      </c>
      <c r="C161" s="5">
        <v>51</v>
      </c>
      <c r="D161" s="456" t="s">
        <v>148</v>
      </c>
      <c r="E161" s="8">
        <v>7245636.6200000001</v>
      </c>
      <c r="F161" s="21">
        <v>0</v>
      </c>
      <c r="G161" s="172"/>
      <c r="H161" s="172"/>
      <c r="I161" s="8">
        <f t="shared" ref="I161" si="10">F161+G161-H161</f>
        <v>0</v>
      </c>
      <c r="J161" s="21">
        <v>0</v>
      </c>
      <c r="K161" s="172"/>
      <c r="L161" s="172"/>
      <c r="M161" s="8">
        <f t="shared" si="9"/>
        <v>0</v>
      </c>
      <c r="P161" s="447" t="s">
        <v>687</v>
      </c>
    </row>
    <row r="162" spans="1:16" s="1" customFormat="1">
      <c r="A162" s="5">
        <v>51651001</v>
      </c>
      <c r="B162" s="5" t="s">
        <v>110</v>
      </c>
      <c r="C162" s="5">
        <v>51</v>
      </c>
      <c r="D162" s="456" t="s">
        <v>148</v>
      </c>
      <c r="E162" s="8">
        <v>6031197</v>
      </c>
      <c r="F162" s="21">
        <v>6550479.2699999996</v>
      </c>
      <c r="G162" s="172"/>
      <c r="H162" s="172"/>
      <c r="I162" s="8">
        <f t="shared" si="8"/>
        <v>6550479.2699999996</v>
      </c>
      <c r="J162" s="21">
        <v>32742294.969999999</v>
      </c>
      <c r="K162" s="172"/>
      <c r="L162" s="172"/>
      <c r="M162" s="8">
        <f t="shared" si="9"/>
        <v>32742294.969999999</v>
      </c>
      <c r="P162" s="447" t="s">
        <v>694</v>
      </c>
    </row>
    <row r="163" spans="1:16" s="1" customFormat="1">
      <c r="A163" s="5">
        <v>51651002</v>
      </c>
      <c r="B163" s="5" t="s">
        <v>733</v>
      </c>
      <c r="C163" s="5">
        <v>51</v>
      </c>
      <c r="D163" s="456" t="s">
        <v>148</v>
      </c>
      <c r="E163" s="8">
        <v>0</v>
      </c>
      <c r="F163" s="21">
        <v>0</v>
      </c>
      <c r="G163" s="172"/>
      <c r="H163" s="172"/>
      <c r="I163" s="8">
        <f t="shared" si="8"/>
        <v>0</v>
      </c>
      <c r="J163" s="21">
        <v>1207605.8799999999</v>
      </c>
      <c r="K163" s="172"/>
      <c r="L163" s="172"/>
      <c r="M163" s="8">
        <f t="shared" si="9"/>
        <v>1207605.8799999999</v>
      </c>
      <c r="P163" s="447" t="s">
        <v>694</v>
      </c>
    </row>
    <row r="164" spans="1:16" s="1" customFormat="1">
      <c r="A164" s="5">
        <v>51951000</v>
      </c>
      <c r="B164" s="5" t="s">
        <v>111</v>
      </c>
      <c r="C164" s="5">
        <v>51</v>
      </c>
      <c r="D164" s="456" t="s">
        <v>148</v>
      </c>
      <c r="E164" s="8">
        <v>4650000</v>
      </c>
      <c r="F164" s="21">
        <v>30716510.43</v>
      </c>
      <c r="G164" s="172"/>
      <c r="H164" s="172"/>
      <c r="I164" s="8">
        <f t="shared" si="8"/>
        <v>30716510.43</v>
      </c>
      <c r="J164" s="21">
        <v>25374600</v>
      </c>
      <c r="K164" s="172"/>
      <c r="L164" s="172"/>
      <c r="M164" s="8">
        <f t="shared" si="9"/>
        <v>25374600</v>
      </c>
      <c r="P164" s="447" t="s">
        <v>695</v>
      </c>
    </row>
    <row r="165" spans="1:16" s="1" customFormat="1">
      <c r="A165" s="5">
        <v>51952000</v>
      </c>
      <c r="B165" s="5" t="s">
        <v>112</v>
      </c>
      <c r="C165" s="5">
        <v>51</v>
      </c>
      <c r="D165" s="456" t="s">
        <v>148</v>
      </c>
      <c r="E165" s="8">
        <v>4777000</v>
      </c>
      <c r="F165" s="21">
        <v>2848767</v>
      </c>
      <c r="G165" s="172"/>
      <c r="H165" s="172"/>
      <c r="I165" s="8">
        <f t="shared" si="8"/>
        <v>2848767</v>
      </c>
      <c r="J165" s="21">
        <v>3284000</v>
      </c>
      <c r="K165" s="172"/>
      <c r="L165" s="172"/>
      <c r="M165" s="8">
        <f t="shared" si="9"/>
        <v>3284000</v>
      </c>
      <c r="P165" s="447" t="s">
        <v>695</v>
      </c>
    </row>
    <row r="166" spans="1:16" s="1" customFormat="1">
      <c r="A166" s="5">
        <v>51952500</v>
      </c>
      <c r="B166" s="5" t="s">
        <v>113</v>
      </c>
      <c r="C166" s="5">
        <v>51</v>
      </c>
      <c r="D166" s="456" t="s">
        <v>148</v>
      </c>
      <c r="E166" s="8">
        <v>9307291</v>
      </c>
      <c r="F166" s="21">
        <v>18177267.129999999</v>
      </c>
      <c r="G166" s="172"/>
      <c r="H166" s="172"/>
      <c r="I166" s="8">
        <f t="shared" si="8"/>
        <v>18177267.129999999</v>
      </c>
      <c r="J166" s="21">
        <v>3873547</v>
      </c>
      <c r="K166" s="172"/>
      <c r="L166" s="172"/>
      <c r="M166" s="8">
        <f t="shared" si="9"/>
        <v>3873547</v>
      </c>
      <c r="P166" s="447" t="s">
        <v>695</v>
      </c>
    </row>
    <row r="167" spans="1:16" s="1" customFormat="1">
      <c r="A167" s="5">
        <v>51953000</v>
      </c>
      <c r="B167" s="5" t="s">
        <v>114</v>
      </c>
      <c r="C167" s="5">
        <v>51</v>
      </c>
      <c r="D167" s="456" t="s">
        <v>148</v>
      </c>
      <c r="E167" s="8">
        <v>7523725</v>
      </c>
      <c r="F167" s="21">
        <v>9323397.1899999995</v>
      </c>
      <c r="G167" s="172"/>
      <c r="H167" s="172"/>
      <c r="I167" s="8">
        <f t="shared" si="8"/>
        <v>9323397.1899999995</v>
      </c>
      <c r="J167" s="21">
        <v>8159759</v>
      </c>
      <c r="K167" s="172"/>
      <c r="L167" s="172"/>
      <c r="M167" s="8">
        <f t="shared" si="9"/>
        <v>8159759</v>
      </c>
      <c r="P167" s="447" t="s">
        <v>695</v>
      </c>
    </row>
    <row r="168" spans="1:16" s="1" customFormat="1">
      <c r="A168" s="5">
        <v>51953500</v>
      </c>
      <c r="B168" s="5" t="s">
        <v>115</v>
      </c>
      <c r="C168" s="5">
        <v>51</v>
      </c>
      <c r="D168" s="456" t="s">
        <v>148</v>
      </c>
      <c r="E168" s="8">
        <v>14483187</v>
      </c>
      <c r="F168" s="21">
        <v>12918253</v>
      </c>
      <c r="G168" s="172"/>
      <c r="H168" s="172"/>
      <c r="I168" s="8">
        <f t="shared" si="8"/>
        <v>12918253</v>
      </c>
      <c r="J168" s="21">
        <v>6867286</v>
      </c>
      <c r="K168" s="172"/>
      <c r="L168" s="172"/>
      <c r="M168" s="8">
        <f t="shared" si="9"/>
        <v>6867286</v>
      </c>
      <c r="P168" s="447" t="s">
        <v>699</v>
      </c>
    </row>
    <row r="169" spans="1:16" s="1" customFormat="1">
      <c r="A169" s="5">
        <v>51954500</v>
      </c>
      <c r="B169" s="5" t="s">
        <v>180</v>
      </c>
      <c r="C169" s="5">
        <v>51</v>
      </c>
      <c r="D169" s="456" t="s">
        <v>148</v>
      </c>
      <c r="E169" s="8">
        <v>48519952</v>
      </c>
      <c r="F169" s="21">
        <v>41962093.07</v>
      </c>
      <c r="G169" s="172"/>
      <c r="H169" s="172"/>
      <c r="I169" s="8">
        <f t="shared" si="8"/>
        <v>41962093.07</v>
      </c>
      <c r="J169" s="21">
        <v>12552839.99</v>
      </c>
      <c r="K169" s="172"/>
      <c r="L169" s="172"/>
      <c r="M169" s="8">
        <f t="shared" si="9"/>
        <v>12552839.99</v>
      </c>
      <c r="P169" s="447" t="s">
        <v>697</v>
      </c>
    </row>
    <row r="170" spans="1:16" s="1" customFormat="1">
      <c r="A170" s="5">
        <v>51956000</v>
      </c>
      <c r="B170" s="5" t="s">
        <v>116</v>
      </c>
      <c r="C170" s="5">
        <v>51</v>
      </c>
      <c r="D170" s="456" t="s">
        <v>148</v>
      </c>
      <c r="E170" s="8">
        <v>19302488</v>
      </c>
      <c r="F170" s="21">
        <v>15422366.75</v>
      </c>
      <c r="G170" s="172"/>
      <c r="H170" s="172"/>
      <c r="I170" s="8">
        <f t="shared" ref="I170:I194" si="11">F170+G170-H170</f>
        <v>15422366.75</v>
      </c>
      <c r="J170" s="21">
        <v>4999431</v>
      </c>
      <c r="K170" s="172"/>
      <c r="L170" s="172"/>
      <c r="M170" s="8">
        <f t="shared" si="9"/>
        <v>4999431</v>
      </c>
      <c r="P170" s="447" t="s">
        <v>698</v>
      </c>
    </row>
    <row r="171" spans="1:16" s="1" customFormat="1">
      <c r="A171" s="5">
        <v>51959503</v>
      </c>
      <c r="B171" s="5" t="s">
        <v>734</v>
      </c>
      <c r="C171" s="5">
        <v>51</v>
      </c>
      <c r="D171" s="456" t="s">
        <v>148</v>
      </c>
      <c r="E171" s="8">
        <v>0</v>
      </c>
      <c r="F171" s="21">
        <v>0</v>
      </c>
      <c r="G171" s="172"/>
      <c r="H171" s="172"/>
      <c r="I171" s="8">
        <f t="shared" si="11"/>
        <v>0</v>
      </c>
      <c r="J171" s="21">
        <v>2975000</v>
      </c>
      <c r="K171" s="172"/>
      <c r="L171" s="172"/>
      <c r="M171" s="8">
        <f t="shared" si="9"/>
        <v>2975000</v>
      </c>
      <c r="P171" s="447" t="s">
        <v>695</v>
      </c>
    </row>
    <row r="172" spans="1:16" s="1" customFormat="1">
      <c r="A172" s="5">
        <v>52157099</v>
      </c>
      <c r="B172" s="5" t="s">
        <v>181</v>
      </c>
      <c r="C172" s="5">
        <v>51</v>
      </c>
      <c r="D172" s="456" t="s">
        <v>148</v>
      </c>
      <c r="E172" s="8">
        <v>11794</v>
      </c>
      <c r="F172" s="21">
        <v>0</v>
      </c>
      <c r="G172" s="172"/>
      <c r="H172" s="172"/>
      <c r="I172" s="8">
        <f t="shared" si="11"/>
        <v>0</v>
      </c>
      <c r="J172" s="21">
        <v>0</v>
      </c>
      <c r="K172" s="172"/>
      <c r="L172" s="172"/>
      <c r="M172" s="8">
        <f t="shared" si="9"/>
        <v>0</v>
      </c>
      <c r="P172" s="448" t="s">
        <v>689</v>
      </c>
    </row>
    <row r="173" spans="1:16" s="1" customFormat="1">
      <c r="A173" s="5">
        <v>53050500</v>
      </c>
      <c r="B173" s="5" t="s">
        <v>117</v>
      </c>
      <c r="C173" s="6">
        <v>53</v>
      </c>
      <c r="D173" s="456" t="s">
        <v>149</v>
      </c>
      <c r="E173" s="8">
        <v>1216694</v>
      </c>
      <c r="F173" s="21">
        <v>1809343.3</v>
      </c>
      <c r="G173" s="172"/>
      <c r="H173" s="172"/>
      <c r="I173" s="8">
        <f t="shared" si="11"/>
        <v>1809343.3</v>
      </c>
      <c r="J173" s="21">
        <v>20089597.23</v>
      </c>
      <c r="K173" s="172"/>
      <c r="L173" s="172"/>
      <c r="M173" s="8">
        <f t="shared" si="9"/>
        <v>20089597.23</v>
      </c>
    </row>
    <row r="174" spans="1:16" s="1" customFormat="1">
      <c r="A174" s="5">
        <v>53051500</v>
      </c>
      <c r="B174" s="5" t="s">
        <v>118</v>
      </c>
      <c r="C174" s="6">
        <v>53</v>
      </c>
      <c r="D174" s="456" t="s">
        <v>149</v>
      </c>
      <c r="E174" s="8">
        <v>7585235</v>
      </c>
      <c r="F174" s="21">
        <v>10303414.449999999</v>
      </c>
      <c r="G174" s="172"/>
      <c r="H174" s="172"/>
      <c r="I174" s="8">
        <f t="shared" si="11"/>
        <v>10303414.449999999</v>
      </c>
      <c r="J174" s="21">
        <v>6087116</v>
      </c>
      <c r="K174" s="172"/>
      <c r="L174" s="172"/>
      <c r="M174" s="8">
        <f t="shared" si="9"/>
        <v>6087116</v>
      </c>
    </row>
    <row r="175" spans="1:16" s="1" customFormat="1">
      <c r="A175" s="5">
        <v>53052000</v>
      </c>
      <c r="B175" s="5" t="s">
        <v>119</v>
      </c>
      <c r="C175" s="6">
        <v>53</v>
      </c>
      <c r="D175" s="456" t="s">
        <v>149</v>
      </c>
      <c r="E175" s="8">
        <v>703383347</v>
      </c>
      <c r="F175" s="21">
        <v>686534122.95000005</v>
      </c>
      <c r="G175" s="172"/>
      <c r="H175" s="172"/>
      <c r="I175" s="8">
        <f t="shared" si="11"/>
        <v>686534122.95000005</v>
      </c>
      <c r="J175" s="21">
        <v>750329528.54999995</v>
      </c>
      <c r="K175" s="172"/>
      <c r="L175" s="172"/>
      <c r="M175" s="8">
        <f t="shared" si="9"/>
        <v>750329528.54999995</v>
      </c>
    </row>
    <row r="176" spans="1:16" s="1" customFormat="1">
      <c r="A176" s="5">
        <v>53052001</v>
      </c>
      <c r="B176" s="5" t="s">
        <v>735</v>
      </c>
      <c r="C176" s="6">
        <v>53</v>
      </c>
      <c r="D176" s="456" t="s">
        <v>149</v>
      </c>
      <c r="E176" s="8">
        <v>47997131.450000003</v>
      </c>
      <c r="F176" s="21">
        <v>30771318.420000002</v>
      </c>
      <c r="G176" s="172"/>
      <c r="H176" s="172"/>
      <c r="I176" s="8">
        <f t="shared" ref="I176" si="12">F176+G176-H176</f>
        <v>30771318.420000002</v>
      </c>
      <c r="J176" s="21">
        <v>496428</v>
      </c>
      <c r="K176" s="172"/>
      <c r="L176" s="172"/>
      <c r="M176" s="8">
        <f t="shared" si="9"/>
        <v>496428</v>
      </c>
    </row>
    <row r="177" spans="1:13" s="1" customFormat="1">
      <c r="A177" s="5">
        <v>53052500</v>
      </c>
      <c r="B177" s="5" t="s">
        <v>120</v>
      </c>
      <c r="C177" s="5">
        <v>54</v>
      </c>
      <c r="D177" s="456" t="s">
        <v>150</v>
      </c>
      <c r="E177" s="8">
        <v>284876269</v>
      </c>
      <c r="F177" s="21">
        <v>0</v>
      </c>
      <c r="G177" s="172"/>
      <c r="H177" s="172"/>
      <c r="I177" s="8">
        <f t="shared" si="11"/>
        <v>0</v>
      </c>
      <c r="J177" s="21">
        <v>137684835.72</v>
      </c>
      <c r="K177" s="172"/>
      <c r="L177" s="172"/>
      <c r="M177" s="8">
        <f t="shared" si="9"/>
        <v>137684835.72</v>
      </c>
    </row>
    <row r="178" spans="1:13" s="1" customFormat="1">
      <c r="A178" s="5">
        <v>53151500</v>
      </c>
      <c r="B178" s="5" t="s">
        <v>121</v>
      </c>
      <c r="C178" s="5">
        <v>52</v>
      </c>
      <c r="D178" s="456" t="s">
        <v>187</v>
      </c>
      <c r="E178" s="8">
        <v>104055524</v>
      </c>
      <c r="F178" s="21">
        <v>131937908.15000001</v>
      </c>
      <c r="G178" s="172"/>
      <c r="H178" s="172"/>
      <c r="I178" s="8">
        <f t="shared" si="11"/>
        <v>131937908.15000001</v>
      </c>
      <c r="J178" s="21">
        <v>52987966.719999999</v>
      </c>
      <c r="K178" s="172"/>
      <c r="L178" s="172"/>
      <c r="M178" s="8">
        <f t="shared" si="9"/>
        <v>52987966.719999999</v>
      </c>
    </row>
    <row r="179" spans="1:13" s="1" customFormat="1">
      <c r="A179" s="5">
        <v>53152000</v>
      </c>
      <c r="B179" s="5" t="s">
        <v>122</v>
      </c>
      <c r="C179" s="5">
        <v>52</v>
      </c>
      <c r="D179" s="456" t="s">
        <v>187</v>
      </c>
      <c r="E179" s="8">
        <v>316165</v>
      </c>
      <c r="F179" s="21">
        <v>5007</v>
      </c>
      <c r="G179" s="172"/>
      <c r="H179" s="172"/>
      <c r="I179" s="8">
        <f t="shared" si="11"/>
        <v>5007</v>
      </c>
      <c r="J179" s="21">
        <v>3040358.59</v>
      </c>
      <c r="K179" s="172"/>
      <c r="L179" s="172"/>
      <c r="M179" s="8">
        <f t="shared" si="9"/>
        <v>3040358.59</v>
      </c>
    </row>
    <row r="180" spans="1:13" s="1" customFormat="1">
      <c r="A180" s="5">
        <v>53952000</v>
      </c>
      <c r="B180" s="5" t="s">
        <v>123</v>
      </c>
      <c r="C180" s="5">
        <v>52</v>
      </c>
      <c r="D180" s="456" t="s">
        <v>187</v>
      </c>
      <c r="E180" s="8">
        <v>1706394</v>
      </c>
      <c r="F180" s="21">
        <v>0</v>
      </c>
      <c r="G180" s="172"/>
      <c r="H180" s="172"/>
      <c r="I180" s="8">
        <f t="shared" si="11"/>
        <v>0</v>
      </c>
      <c r="J180" s="21">
        <v>358000</v>
      </c>
      <c r="K180" s="172"/>
      <c r="L180" s="172"/>
      <c r="M180" s="8">
        <f t="shared" si="9"/>
        <v>358000</v>
      </c>
    </row>
    <row r="181" spans="1:13" s="1" customFormat="1">
      <c r="A181" s="5">
        <v>53952500</v>
      </c>
      <c r="B181" s="5" t="s">
        <v>736</v>
      </c>
      <c r="C181" s="5">
        <v>52</v>
      </c>
      <c r="D181" s="456" t="s">
        <v>187</v>
      </c>
      <c r="E181" s="8">
        <v>0</v>
      </c>
      <c r="F181" s="21">
        <v>168200</v>
      </c>
      <c r="G181" s="172"/>
      <c r="H181" s="172"/>
      <c r="I181" s="8">
        <f t="shared" si="11"/>
        <v>168200</v>
      </c>
      <c r="J181" s="21">
        <v>201840</v>
      </c>
      <c r="K181" s="172"/>
      <c r="L181" s="172"/>
      <c r="M181" s="8">
        <f t="shared" si="9"/>
        <v>201840</v>
      </c>
    </row>
    <row r="182" spans="1:13" s="1" customFormat="1">
      <c r="A182" s="5">
        <v>53959501</v>
      </c>
      <c r="B182" s="5" t="s">
        <v>124</v>
      </c>
      <c r="C182" s="5">
        <v>52</v>
      </c>
      <c r="D182" s="456" t="s">
        <v>187</v>
      </c>
      <c r="E182" s="8">
        <v>108480</v>
      </c>
      <c r="F182" s="21">
        <v>116670.19</v>
      </c>
      <c r="G182" s="172"/>
      <c r="H182" s="172"/>
      <c r="I182" s="8">
        <f t="shared" si="11"/>
        <v>116670.19</v>
      </c>
      <c r="J182" s="21">
        <v>223646.18</v>
      </c>
      <c r="K182" s="172"/>
      <c r="L182" s="172"/>
      <c r="M182" s="8">
        <f t="shared" si="9"/>
        <v>223646.18</v>
      </c>
    </row>
    <row r="183" spans="1:13" s="1" customFormat="1">
      <c r="A183" s="5">
        <v>53959503</v>
      </c>
      <c r="B183" s="5" t="s">
        <v>737</v>
      </c>
      <c r="C183" s="5">
        <v>52</v>
      </c>
      <c r="D183" s="456" t="s">
        <v>187</v>
      </c>
      <c r="E183" s="8">
        <v>0</v>
      </c>
      <c r="F183" s="21">
        <v>0</v>
      </c>
      <c r="G183" s="172"/>
      <c r="H183" s="172"/>
      <c r="I183" s="8">
        <f t="shared" ref="I183" si="13">F183+G183-H183</f>
        <v>0</v>
      </c>
      <c r="J183" s="21">
        <v>1675584</v>
      </c>
      <c r="K183" s="172"/>
      <c r="L183" s="172"/>
      <c r="M183" s="8">
        <f t="shared" si="9"/>
        <v>1675584</v>
      </c>
    </row>
    <row r="184" spans="1:13" s="1" customFormat="1">
      <c r="A184" s="5">
        <v>54050500</v>
      </c>
      <c r="B184" s="5" t="s">
        <v>138</v>
      </c>
      <c r="C184" s="5">
        <v>55</v>
      </c>
      <c r="D184" s="456" t="s">
        <v>151</v>
      </c>
      <c r="E184" s="8">
        <v>154142000</v>
      </c>
      <c r="F184" s="21">
        <v>72817000</v>
      </c>
      <c r="G184" s="172"/>
      <c r="H184" s="172"/>
      <c r="I184" s="8">
        <f t="shared" si="11"/>
        <v>72817000</v>
      </c>
      <c r="J184" s="21">
        <v>25329000</v>
      </c>
      <c r="K184" s="172"/>
      <c r="L184" s="172"/>
      <c r="M184" s="8">
        <f t="shared" si="9"/>
        <v>25329000</v>
      </c>
    </row>
    <row r="185" spans="1:13" s="12" customFormat="1">
      <c r="A185" s="5">
        <v>61301001</v>
      </c>
      <c r="B185" s="5" t="s">
        <v>182</v>
      </c>
      <c r="C185" s="5">
        <v>42</v>
      </c>
      <c r="D185" s="456" t="s">
        <v>147</v>
      </c>
      <c r="E185" s="8">
        <v>2497023504</v>
      </c>
      <c r="F185" s="21">
        <v>8422473409.9700003</v>
      </c>
      <c r="G185" s="172"/>
      <c r="H185" s="172"/>
      <c r="I185" s="8">
        <f t="shared" si="11"/>
        <v>8422473409.9700003</v>
      </c>
      <c r="J185" s="21">
        <v>7343203636.6800003</v>
      </c>
      <c r="K185" s="172"/>
      <c r="L185" s="172"/>
      <c r="M185" s="8">
        <f t="shared" si="9"/>
        <v>7343203636.6800003</v>
      </c>
    </row>
    <row r="186" spans="1:13" s="1" customFormat="1">
      <c r="A186" s="5">
        <v>61301002</v>
      </c>
      <c r="B186" s="5" t="s">
        <v>183</v>
      </c>
      <c r="C186" s="5">
        <v>42</v>
      </c>
      <c r="D186" s="456" t="s">
        <v>147</v>
      </c>
      <c r="E186" s="8">
        <v>754188972</v>
      </c>
      <c r="F186" s="21">
        <v>162940478.59999999</v>
      </c>
      <c r="G186" s="172"/>
      <c r="H186" s="172"/>
      <c r="I186" s="8">
        <f t="shared" si="11"/>
        <v>162940478.59999999</v>
      </c>
      <c r="J186" s="21">
        <v>2196966</v>
      </c>
      <c r="K186" s="172"/>
      <c r="L186" s="172"/>
      <c r="M186" s="8">
        <f t="shared" si="9"/>
        <v>2196966</v>
      </c>
    </row>
    <row r="187" spans="1:13" s="1" customFormat="1">
      <c r="A187" s="5">
        <v>61301003</v>
      </c>
      <c r="B187" s="6" t="s">
        <v>125</v>
      </c>
      <c r="C187" s="6">
        <v>42</v>
      </c>
      <c r="D187" s="456" t="s">
        <v>147</v>
      </c>
      <c r="E187" s="8">
        <v>0</v>
      </c>
      <c r="F187" s="21">
        <v>0</v>
      </c>
      <c r="G187" s="172"/>
      <c r="H187" s="172"/>
      <c r="I187" s="8">
        <f t="shared" si="11"/>
        <v>0</v>
      </c>
      <c r="J187" s="21">
        <v>0</v>
      </c>
      <c r="K187" s="172"/>
      <c r="L187" s="172"/>
      <c r="M187" s="8">
        <f t="shared" si="9"/>
        <v>0</v>
      </c>
    </row>
    <row r="188" spans="1:13" s="1" customFormat="1">
      <c r="A188" s="5">
        <v>61359500</v>
      </c>
      <c r="B188" s="5" t="s">
        <v>184</v>
      </c>
      <c r="C188" s="5">
        <v>42</v>
      </c>
      <c r="D188" s="456" t="s">
        <v>147</v>
      </c>
      <c r="E188" s="8">
        <v>1762889019</v>
      </c>
      <c r="F188" s="21">
        <v>1786107641.7</v>
      </c>
      <c r="G188" s="172"/>
      <c r="H188" s="172"/>
      <c r="I188" s="8">
        <f t="shared" si="11"/>
        <v>1786107641.7</v>
      </c>
      <c r="J188" s="21">
        <v>473472239.01999998</v>
      </c>
      <c r="K188" s="172"/>
      <c r="L188" s="172"/>
      <c r="M188" s="8">
        <f t="shared" si="9"/>
        <v>473472239.01999998</v>
      </c>
    </row>
    <row r="189" spans="1:13" s="1" customFormat="1">
      <c r="A189" s="5">
        <v>61450500</v>
      </c>
      <c r="B189" s="5" t="s">
        <v>126</v>
      </c>
      <c r="C189" s="5">
        <v>42</v>
      </c>
      <c r="D189" s="456" t="s">
        <v>147</v>
      </c>
      <c r="E189" s="8">
        <v>25750000</v>
      </c>
      <c r="F189" s="21">
        <v>0</v>
      </c>
      <c r="G189" s="172"/>
      <c r="H189" s="172"/>
      <c r="I189" s="8">
        <f t="shared" si="11"/>
        <v>0</v>
      </c>
      <c r="J189" s="21">
        <v>0</v>
      </c>
      <c r="K189" s="172"/>
      <c r="L189" s="172"/>
      <c r="M189" s="8">
        <f t="shared" si="9"/>
        <v>0</v>
      </c>
    </row>
    <row r="190" spans="1:13" s="1" customFormat="1">
      <c r="A190" s="5">
        <v>71010100</v>
      </c>
      <c r="B190" s="5" t="s">
        <v>738</v>
      </c>
      <c r="C190" s="5">
        <v>42</v>
      </c>
      <c r="D190" s="456" t="s">
        <v>147</v>
      </c>
      <c r="E190" s="8">
        <v>0</v>
      </c>
      <c r="F190" s="21">
        <v>0</v>
      </c>
      <c r="G190" s="172"/>
      <c r="H190" s="172"/>
      <c r="I190" s="8">
        <f t="shared" si="11"/>
        <v>0</v>
      </c>
      <c r="J190" s="21">
        <v>0</v>
      </c>
      <c r="K190" s="172"/>
      <c r="L190" s="172"/>
      <c r="M190" s="8">
        <f t="shared" si="9"/>
        <v>0</v>
      </c>
    </row>
    <row r="191" spans="1:13" s="1" customFormat="1">
      <c r="A191" s="5">
        <v>71010101</v>
      </c>
      <c r="B191" s="5" t="s">
        <v>739</v>
      </c>
      <c r="C191" s="5">
        <v>42</v>
      </c>
      <c r="D191" s="456" t="s">
        <v>147</v>
      </c>
      <c r="E191" s="8">
        <v>0</v>
      </c>
      <c r="F191" s="21">
        <v>0</v>
      </c>
      <c r="G191" s="172"/>
      <c r="H191" s="172"/>
      <c r="I191" s="8">
        <f t="shared" si="11"/>
        <v>0</v>
      </c>
      <c r="J191" s="21">
        <v>0</v>
      </c>
      <c r="K191" s="172"/>
      <c r="L191" s="172"/>
      <c r="M191" s="8">
        <f t="shared" si="9"/>
        <v>0</v>
      </c>
    </row>
    <row r="192" spans="1:13" s="1" customFormat="1">
      <c r="A192" s="5">
        <v>71010102</v>
      </c>
      <c r="B192" s="5" t="s">
        <v>740</v>
      </c>
      <c r="C192" s="5">
        <v>42</v>
      </c>
      <c r="D192" s="456" t="s">
        <v>147</v>
      </c>
      <c r="E192" s="8">
        <v>0</v>
      </c>
      <c r="F192" s="21">
        <v>0</v>
      </c>
      <c r="G192" s="172"/>
      <c r="H192" s="172"/>
      <c r="I192" s="8">
        <f t="shared" si="11"/>
        <v>0</v>
      </c>
      <c r="J192" s="21">
        <v>0</v>
      </c>
      <c r="K192" s="172"/>
      <c r="L192" s="172"/>
      <c r="M192" s="8">
        <f t="shared" si="9"/>
        <v>0</v>
      </c>
    </row>
    <row r="193" spans="1:16" s="1" customFormat="1">
      <c r="A193" s="5">
        <v>74010106</v>
      </c>
      <c r="B193" s="5" t="s">
        <v>185</v>
      </c>
      <c r="C193" s="5">
        <v>42</v>
      </c>
      <c r="D193" s="456" t="s">
        <v>147</v>
      </c>
      <c r="E193" s="8">
        <v>5700736</v>
      </c>
      <c r="F193" s="21">
        <v>0</v>
      </c>
      <c r="G193" s="172"/>
      <c r="H193" s="172"/>
      <c r="I193" s="8">
        <f t="shared" si="11"/>
        <v>0</v>
      </c>
      <c r="J193" s="21">
        <v>0</v>
      </c>
      <c r="K193" s="172"/>
      <c r="L193" s="172"/>
      <c r="M193" s="8">
        <f t="shared" si="9"/>
        <v>0</v>
      </c>
    </row>
    <row r="194" spans="1:16" s="1" customFormat="1">
      <c r="A194" s="5">
        <v>80000000</v>
      </c>
      <c r="B194" s="6" t="s">
        <v>145</v>
      </c>
      <c r="C194" s="6"/>
      <c r="D194" s="456" t="s">
        <v>135</v>
      </c>
      <c r="E194" s="8">
        <v>-2598400592.3099999</v>
      </c>
      <c r="F194" s="21">
        <v>-2413559254.6599998</v>
      </c>
      <c r="G194" s="172"/>
      <c r="H194" s="172"/>
      <c r="I194" s="8">
        <f t="shared" si="11"/>
        <v>-2413559254.6599998</v>
      </c>
      <c r="J194" s="21">
        <v>483366096.97000003</v>
      </c>
      <c r="K194" s="172"/>
      <c r="L194" s="172"/>
      <c r="M194" s="8">
        <f t="shared" si="9"/>
        <v>483366096.97000003</v>
      </c>
    </row>
    <row r="195" spans="1:16">
      <c r="E195" s="19">
        <f t="shared" ref="E195:I195" si="14">SUM(E4:E194)</f>
        <v>5.245208740234375E-6</v>
      </c>
      <c r="F195" s="19">
        <f t="shared" si="14"/>
        <v>0</v>
      </c>
      <c r="G195" s="19">
        <f t="shared" si="14"/>
        <v>0</v>
      </c>
      <c r="H195" s="19">
        <f t="shared" si="14"/>
        <v>0</v>
      </c>
      <c r="I195" s="19">
        <f t="shared" si="14"/>
        <v>9.5367431640625E-6</v>
      </c>
      <c r="J195" s="19">
        <f>SUM(J4:J194)</f>
        <v>-2.6226043701171875E-6</v>
      </c>
      <c r="K195" s="19">
        <f>SUM(K4:K194)</f>
        <v>0</v>
      </c>
      <c r="L195" s="19">
        <f>SUM(L4:L194)</f>
        <v>0</v>
      </c>
      <c r="M195" s="19">
        <f>SUM(M4:M194)</f>
        <v>-1.0251998901367188E-5</v>
      </c>
    </row>
    <row r="196" spans="1:16">
      <c r="H196" s="19">
        <f>G195-H195</f>
        <v>0</v>
      </c>
      <c r="L196" s="19">
        <f>K195-L195</f>
        <v>0</v>
      </c>
    </row>
    <row r="197" spans="1:16">
      <c r="A197" s="143" t="s">
        <v>403</v>
      </c>
      <c r="B197" s="143" t="s">
        <v>403</v>
      </c>
      <c r="C197" s="143" t="s">
        <v>403</v>
      </c>
      <c r="D197" s="462" t="s">
        <v>403</v>
      </c>
      <c r="E197" s="143" t="s">
        <v>403</v>
      </c>
      <c r="F197" s="143" t="s">
        <v>403</v>
      </c>
      <c r="G197" s="143" t="s">
        <v>403</v>
      </c>
      <c r="H197" s="143" t="s">
        <v>403</v>
      </c>
      <c r="I197" s="143" t="s">
        <v>403</v>
      </c>
      <c r="J197" s="143" t="s">
        <v>403</v>
      </c>
      <c r="K197" s="143" t="s">
        <v>403</v>
      </c>
      <c r="L197" s="143" t="s">
        <v>403</v>
      </c>
      <c r="M197" s="143" t="s">
        <v>403</v>
      </c>
      <c r="N197" s="143" t="s">
        <v>403</v>
      </c>
      <c r="O197" s="143" t="s">
        <v>403</v>
      </c>
      <c r="P197" s="143" t="s">
        <v>403</v>
      </c>
    </row>
  </sheetData>
  <autoFilter ref="A4:P197" xr:uid="{F03F891A-52DC-7140-9A6D-5A4F6396C3F8}"/>
  <mergeCells count="2">
    <mergeCell ref="G3:H3"/>
    <mergeCell ref="K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495D-4F22-F24F-8E75-214C8F0CFC2B}">
  <dimension ref="A3:H60"/>
  <sheetViews>
    <sheetView workbookViewId="0"/>
  </sheetViews>
  <sheetFormatPr baseColWidth="10" defaultColWidth="10.875" defaultRowHeight="15.75"/>
  <cols>
    <col min="1" max="1" width="53" style="1" bestFit="1" customWidth="1"/>
    <col min="2" max="4" width="23.875" style="1" bestFit="1" customWidth="1"/>
    <col min="5" max="5" width="10.875" style="1"/>
    <col min="6" max="8" width="11.5" style="1" bestFit="1" customWidth="1"/>
    <col min="9" max="16384" width="10.875" style="1"/>
  </cols>
  <sheetData>
    <row r="3" spans="1:8">
      <c r="A3" s="13" t="s">
        <v>152</v>
      </c>
      <c r="B3" s="1" t="s">
        <v>1027</v>
      </c>
      <c r="C3" s="1" t="s">
        <v>741</v>
      </c>
      <c r="D3" s="1" t="s">
        <v>196</v>
      </c>
      <c r="F3" s="17">
        <v>2021</v>
      </c>
      <c r="G3" s="17">
        <v>2020</v>
      </c>
      <c r="H3" s="17">
        <v>2019</v>
      </c>
    </row>
    <row r="4" spans="1:8">
      <c r="A4" s="14">
        <v>10</v>
      </c>
      <c r="B4" s="1">
        <v>822622185.43999994</v>
      </c>
      <c r="C4" s="1">
        <v>1107717346.99</v>
      </c>
      <c r="D4" s="1">
        <v>437577221</v>
      </c>
      <c r="F4" s="1">
        <f>ROUND(B4/1000,0)</f>
        <v>822622</v>
      </c>
      <c r="G4" s="1">
        <f>ROUND(C4/1000,0)</f>
        <v>1107717</v>
      </c>
      <c r="H4" s="1">
        <f>ROUND(D4/1000,0)</f>
        <v>437577</v>
      </c>
    </row>
    <row r="5" spans="1:8">
      <c r="A5" s="15" t="s">
        <v>127</v>
      </c>
      <c r="B5" s="1">
        <v>770444212.23999989</v>
      </c>
      <c r="C5" s="1">
        <v>75718977.24000001</v>
      </c>
      <c r="D5" s="1">
        <v>437577221</v>
      </c>
    </row>
    <row r="6" spans="1:8">
      <c r="A6" s="15" t="s">
        <v>190</v>
      </c>
      <c r="B6" s="1">
        <v>52177973.200000048</v>
      </c>
      <c r="C6" s="1">
        <v>1031998369.75</v>
      </c>
      <c r="D6" s="1">
        <v>0</v>
      </c>
    </row>
    <row r="7" spans="1:8">
      <c r="A7" s="14">
        <v>11</v>
      </c>
      <c r="B7" s="1">
        <v>1789358481.3000002</v>
      </c>
      <c r="C7" s="1">
        <v>1965882887.0100002</v>
      </c>
      <c r="D7" s="1">
        <v>949204100.69000006</v>
      </c>
      <c r="F7" s="1">
        <f>ROUND(B7/1000,0)</f>
        <v>1789358</v>
      </c>
      <c r="G7" s="1">
        <f>ROUND(C7/1000,0)</f>
        <v>1965883</v>
      </c>
      <c r="H7" s="1">
        <f>ROUND(D7/1000,0)</f>
        <v>949204</v>
      </c>
    </row>
    <row r="8" spans="1:8">
      <c r="A8" s="15" t="s">
        <v>128</v>
      </c>
      <c r="B8" s="1">
        <v>1789358481.3000002</v>
      </c>
      <c r="C8" s="1">
        <v>1965882887.0100002</v>
      </c>
      <c r="D8" s="1">
        <v>949204100.69000006</v>
      </c>
    </row>
    <row r="9" spans="1:8">
      <c r="A9" s="14">
        <v>12</v>
      </c>
      <c r="B9" s="1">
        <v>425693292.99000001</v>
      </c>
      <c r="C9" s="1">
        <v>382364000</v>
      </c>
      <c r="D9" s="1">
        <v>457715142</v>
      </c>
      <c r="F9" s="1">
        <f>ROUND(B9/1000,0)</f>
        <v>425693</v>
      </c>
      <c r="G9" s="1">
        <f>ROUND(C9/1000,0)</f>
        <v>382364</v>
      </c>
      <c r="H9" s="1">
        <f>ROUND(D9/1000,0)</f>
        <v>457715</v>
      </c>
    </row>
    <row r="10" spans="1:8">
      <c r="A10" s="15" t="s">
        <v>129</v>
      </c>
      <c r="B10" s="1">
        <v>425693292.99000001</v>
      </c>
      <c r="C10" s="1">
        <v>382364000</v>
      </c>
      <c r="D10" s="1">
        <v>457715142</v>
      </c>
    </row>
    <row r="11" spans="1:8">
      <c r="A11" s="14">
        <v>13</v>
      </c>
      <c r="B11" s="1">
        <v>295522820.80000001</v>
      </c>
      <c r="C11" s="1">
        <v>362836175.73000002</v>
      </c>
      <c r="D11" s="1">
        <v>121343848</v>
      </c>
      <c r="F11" s="1">
        <f>ROUND(B11/1000,0)</f>
        <v>295523</v>
      </c>
      <c r="G11" s="1">
        <f>ROUND(C11/1000,0)</f>
        <v>362836</v>
      </c>
      <c r="H11" s="1">
        <f>ROUND(D11/1000,0)</f>
        <v>121344</v>
      </c>
    </row>
    <row r="12" spans="1:8">
      <c r="A12" s="15" t="s">
        <v>186</v>
      </c>
      <c r="B12" s="1">
        <v>295522820.80000001</v>
      </c>
      <c r="C12" s="1">
        <v>362836175.73000002</v>
      </c>
      <c r="D12" s="1">
        <v>121343848</v>
      </c>
    </row>
    <row r="13" spans="1:8">
      <c r="A13" s="14">
        <v>14</v>
      </c>
      <c r="B13" s="1">
        <v>3118237662.5500002</v>
      </c>
      <c r="C13" s="1">
        <v>817028809.12999988</v>
      </c>
      <c r="D13" s="1">
        <v>1362317110</v>
      </c>
      <c r="F13" s="1">
        <f>ROUND(B13/1000,0)</f>
        <v>3118238</v>
      </c>
      <c r="G13" s="1">
        <f>ROUND(C13/1000,0)</f>
        <v>817029</v>
      </c>
      <c r="H13" s="1">
        <f>ROUND(D13/1000,0)</f>
        <v>1362317</v>
      </c>
    </row>
    <row r="14" spans="1:8">
      <c r="A14" s="15" t="s">
        <v>132</v>
      </c>
      <c r="B14" s="1">
        <v>3118237662.5500002</v>
      </c>
      <c r="C14" s="1">
        <v>817028809.12999988</v>
      </c>
      <c r="D14" s="1">
        <v>1362317110</v>
      </c>
    </row>
    <row r="15" spans="1:8">
      <c r="A15" s="14">
        <v>15</v>
      </c>
      <c r="B15" s="1">
        <v>29901815203.059998</v>
      </c>
      <c r="C15" s="1">
        <v>30348375737.610001</v>
      </c>
      <c r="D15" s="1">
        <v>30544799658.759998</v>
      </c>
      <c r="F15" s="1">
        <f>ROUND(B15/1000,0)</f>
        <v>29901815</v>
      </c>
      <c r="G15" s="1">
        <f>ROUND(C15/1000,0)</f>
        <v>30348376</v>
      </c>
      <c r="H15" s="1">
        <f>ROUND(D15/1000,0)</f>
        <v>30544800</v>
      </c>
    </row>
    <row r="16" spans="1:8">
      <c r="A16" s="15" t="s">
        <v>133</v>
      </c>
      <c r="B16" s="1">
        <v>29901815203.059998</v>
      </c>
      <c r="C16" s="1">
        <v>30348375737.610001</v>
      </c>
      <c r="D16" s="1">
        <v>30544799658.759998</v>
      </c>
    </row>
    <row r="17" spans="1:8">
      <c r="A17" s="14">
        <v>16</v>
      </c>
      <c r="B17" s="1">
        <v>2.3283064365386963E-10</v>
      </c>
      <c r="C17" s="1">
        <v>1207606.1100000003</v>
      </c>
      <c r="D17" s="1">
        <v>8453242.7300000004</v>
      </c>
      <c r="F17" s="1">
        <f>ROUND(B17/1000,0)</f>
        <v>0</v>
      </c>
      <c r="G17" s="1">
        <f>ROUND(C17/1000,0)</f>
        <v>1208</v>
      </c>
      <c r="H17" s="1">
        <f>ROUND(D17/1000,0)</f>
        <v>8453</v>
      </c>
    </row>
    <row r="18" spans="1:8">
      <c r="A18" s="15" t="s">
        <v>421</v>
      </c>
      <c r="B18" s="1">
        <v>2.3283064365386963E-10</v>
      </c>
      <c r="C18" s="1">
        <v>1207606.1100000003</v>
      </c>
      <c r="D18" s="1">
        <v>8453242.7300000004</v>
      </c>
    </row>
    <row r="19" spans="1:8">
      <c r="A19" s="14">
        <v>17</v>
      </c>
      <c r="B19" s="1">
        <v>495800729.34000003</v>
      </c>
      <c r="C19" s="1">
        <v>508306772.71000004</v>
      </c>
      <c r="D19" s="1">
        <v>13784516</v>
      </c>
      <c r="F19" s="1">
        <f>ROUND(B19/1000,0)</f>
        <v>495801</v>
      </c>
      <c r="G19" s="1">
        <f>ROUND(C19/1000,0)</f>
        <v>508307</v>
      </c>
      <c r="H19" s="1">
        <f>ROUND(D19/1000,0)</f>
        <v>13785</v>
      </c>
    </row>
    <row r="20" spans="1:8">
      <c r="A20" s="15" t="s">
        <v>134</v>
      </c>
      <c r="B20" s="1">
        <v>495800729.34000003</v>
      </c>
      <c r="C20" s="1">
        <v>508306772.71000004</v>
      </c>
      <c r="D20" s="1">
        <v>13784516</v>
      </c>
    </row>
    <row r="21" spans="1:8">
      <c r="A21" s="14">
        <v>21</v>
      </c>
      <c r="B21" s="1">
        <v>-10919287628.84</v>
      </c>
      <c r="C21" s="1">
        <v>-10952191014.880001</v>
      </c>
      <c r="D21" s="1">
        <v>-9670123594.8700008</v>
      </c>
      <c r="F21" s="1">
        <f>ROUND(B21/1000,0)</f>
        <v>-10919288</v>
      </c>
      <c r="G21" s="1">
        <f>ROUND(C21/1000,0)</f>
        <v>-10952191</v>
      </c>
      <c r="H21" s="1">
        <f>ROUND(D21/1000,0)</f>
        <v>-9670124</v>
      </c>
    </row>
    <row r="22" spans="1:8">
      <c r="A22" s="15" t="s">
        <v>136</v>
      </c>
      <c r="B22" s="1">
        <v>-10919287628.549999</v>
      </c>
      <c r="C22" s="1">
        <v>-10942651364.59</v>
      </c>
      <c r="D22" s="1">
        <v>-9632348701</v>
      </c>
    </row>
    <row r="23" spans="1:8">
      <c r="A23" s="15" t="s">
        <v>449</v>
      </c>
      <c r="B23" s="1">
        <v>-0.28999999910593033</v>
      </c>
      <c r="C23" s="1">
        <v>-9539650.2899999991</v>
      </c>
      <c r="D23" s="1">
        <v>-37774893.869999997</v>
      </c>
    </row>
    <row r="24" spans="1:8">
      <c r="A24" s="14">
        <v>22</v>
      </c>
      <c r="B24" s="1">
        <v>-2222593232.5</v>
      </c>
      <c r="C24" s="1">
        <v>-1338298264.25</v>
      </c>
      <c r="D24" s="1">
        <v>-2336144698</v>
      </c>
      <c r="F24" s="1">
        <f>ROUND(B24/1000,0)</f>
        <v>-2222593</v>
      </c>
      <c r="G24" s="1">
        <f>ROUND(C24/1000,0)</f>
        <v>-1338298</v>
      </c>
      <c r="H24" s="1">
        <f>ROUND(D24/1000,0)</f>
        <v>-2336145</v>
      </c>
    </row>
    <row r="25" spans="1:8">
      <c r="A25" s="15" t="s">
        <v>140</v>
      </c>
      <c r="B25" s="1">
        <v>-2222593232.5</v>
      </c>
      <c r="C25" s="1">
        <v>-1338298264.25</v>
      </c>
      <c r="D25" s="1">
        <v>-2336144698</v>
      </c>
    </row>
    <row r="26" spans="1:8">
      <c r="A26" s="14">
        <v>23</v>
      </c>
      <c r="B26" s="1">
        <v>-135782251.47999999</v>
      </c>
      <c r="C26" s="1">
        <v>-517186732.02999997</v>
      </c>
      <c r="D26" s="1">
        <v>-219766879</v>
      </c>
      <c r="F26" s="1">
        <f>ROUND(B26/1000,0)</f>
        <v>-135782</v>
      </c>
      <c r="G26" s="1">
        <f>ROUND(C26/1000,0)</f>
        <v>-517187</v>
      </c>
      <c r="H26" s="1">
        <f>ROUND(D26/1000,0)</f>
        <v>-219767</v>
      </c>
    </row>
    <row r="27" spans="1:8">
      <c r="A27" s="15" t="s">
        <v>137</v>
      </c>
      <c r="B27" s="1">
        <v>-135782251.47999999</v>
      </c>
      <c r="C27" s="1">
        <v>-517186732.02999997</v>
      </c>
      <c r="D27" s="1">
        <v>-219766879</v>
      </c>
    </row>
    <row r="28" spans="1:8">
      <c r="A28" s="14">
        <v>24</v>
      </c>
      <c r="B28" s="1">
        <v>0</v>
      </c>
      <c r="C28" s="1">
        <v>0</v>
      </c>
      <c r="D28" s="1">
        <v>0</v>
      </c>
      <c r="F28" s="1">
        <f>ROUND(B28/1000,0)</f>
        <v>0</v>
      </c>
      <c r="G28" s="1">
        <f>ROUND(C28/1000,0)</f>
        <v>0</v>
      </c>
      <c r="H28" s="1">
        <f>ROUND(D28/1000,0)</f>
        <v>0</v>
      </c>
    </row>
    <row r="29" spans="1:8">
      <c r="A29" s="15" t="s">
        <v>130</v>
      </c>
      <c r="B29" s="1">
        <v>0</v>
      </c>
      <c r="C29" s="1">
        <v>0</v>
      </c>
      <c r="D29" s="1">
        <v>0</v>
      </c>
    </row>
    <row r="30" spans="1:8">
      <c r="A30" s="14">
        <v>28</v>
      </c>
      <c r="B30" s="1">
        <v>-1332132239.0799999</v>
      </c>
      <c r="C30" s="1">
        <v>-930154397.40999997</v>
      </c>
      <c r="D30" s="1">
        <v>-1172511485</v>
      </c>
      <c r="F30" s="1">
        <f>ROUND(B30/1000,0)</f>
        <v>-1332132</v>
      </c>
      <c r="G30" s="1">
        <f>ROUND(C30/1000,0)</f>
        <v>-930154</v>
      </c>
      <c r="H30" s="1">
        <f>ROUND(D30/1000,0)</f>
        <v>-1172511</v>
      </c>
    </row>
    <row r="31" spans="1:8">
      <c r="A31" s="15" t="s">
        <v>139</v>
      </c>
      <c r="B31" s="1">
        <v>-1332132239.0799999</v>
      </c>
      <c r="C31" s="1">
        <v>-930154397.40999997</v>
      </c>
      <c r="D31" s="1">
        <v>-1172511485</v>
      </c>
    </row>
    <row r="32" spans="1:8">
      <c r="A32" s="14">
        <v>29</v>
      </c>
      <c r="B32" s="1">
        <v>-595622024</v>
      </c>
      <c r="C32" s="1">
        <v>-595622024</v>
      </c>
      <c r="D32" s="1">
        <v>-595622024</v>
      </c>
      <c r="F32" s="1">
        <f>ROUND(B32/1000,0)</f>
        <v>-595622</v>
      </c>
      <c r="G32" s="1">
        <f>ROUND(C32/1000,0)</f>
        <v>-595622</v>
      </c>
      <c r="H32" s="1">
        <f>ROUND(D32/1000,0)</f>
        <v>-595622</v>
      </c>
    </row>
    <row r="33" spans="1:8">
      <c r="A33" s="15" t="s">
        <v>55</v>
      </c>
      <c r="B33" s="1">
        <v>-595622024</v>
      </c>
      <c r="C33" s="1">
        <v>-595622024</v>
      </c>
      <c r="D33" s="1">
        <v>-595622024</v>
      </c>
    </row>
    <row r="34" spans="1:8">
      <c r="A34" s="14">
        <v>31</v>
      </c>
      <c r="B34" s="1">
        <v>-32481759055.260002</v>
      </c>
      <c r="C34" s="1">
        <v>-32481759055.260002</v>
      </c>
      <c r="D34" s="1">
        <v>-27116624669</v>
      </c>
      <c r="F34" s="1">
        <f>ROUND(B34/1000,0)</f>
        <v>-32481759</v>
      </c>
      <c r="G34" s="1">
        <f>ROUND(C34/1000,0)</f>
        <v>-32481759</v>
      </c>
      <c r="H34" s="1">
        <f>ROUND(D34/1000,0)</f>
        <v>-27116625</v>
      </c>
    </row>
    <row r="35" spans="1:8">
      <c r="A35" s="15" t="s">
        <v>141</v>
      </c>
      <c r="B35" s="1">
        <v>-32481759055.260002</v>
      </c>
      <c r="C35" s="1">
        <v>-32481759055.260002</v>
      </c>
      <c r="D35" s="1">
        <v>-27116624669</v>
      </c>
    </row>
    <row r="36" spans="1:8">
      <c r="A36" s="14">
        <v>32</v>
      </c>
      <c r="B36" s="1">
        <v>-181715</v>
      </c>
      <c r="C36" s="1">
        <v>-181715</v>
      </c>
      <c r="D36" s="1">
        <v>-1692516101</v>
      </c>
      <c r="F36" s="1">
        <f>ROUND(B36/1000,0)</f>
        <v>-182</v>
      </c>
      <c r="G36" s="1">
        <f>ROUND(C36/1000,0)</f>
        <v>-182</v>
      </c>
      <c r="H36" s="1">
        <f>ROUND(D36/1000,0)</f>
        <v>-1692516</v>
      </c>
    </row>
    <row r="37" spans="1:8">
      <c r="A37" s="15" t="s">
        <v>141</v>
      </c>
      <c r="B37" s="1">
        <v>-181715</v>
      </c>
      <c r="C37" s="1">
        <v>-181715</v>
      </c>
      <c r="D37" s="1">
        <v>-1692516101</v>
      </c>
    </row>
    <row r="38" spans="1:8">
      <c r="A38" s="14">
        <v>37</v>
      </c>
      <c r="B38" s="1">
        <v>16160989071.610001</v>
      </c>
      <c r="C38" s="1">
        <v>16644355168.470001</v>
      </c>
      <c r="D38" s="1">
        <v>14230795912.620001</v>
      </c>
      <c r="F38" s="1">
        <f>ROUND(B38/1000,0)</f>
        <v>16160989</v>
      </c>
      <c r="G38" s="1">
        <f>ROUND(C38/1000,0)</f>
        <v>16644355</v>
      </c>
      <c r="H38" s="1">
        <f>ROUND(D38/1000,0)</f>
        <v>14230796</v>
      </c>
    </row>
    <row r="39" spans="1:8">
      <c r="A39" s="15" t="s">
        <v>142</v>
      </c>
      <c r="B39" s="1">
        <v>16160989071.610001</v>
      </c>
      <c r="C39" s="1">
        <v>16644355168.470001</v>
      </c>
      <c r="D39" s="1">
        <v>14230795912.620001</v>
      </c>
    </row>
    <row r="40" spans="1:8">
      <c r="A40" s="14">
        <v>38</v>
      </c>
      <c r="B40" s="1">
        <v>-5322681300.9300003</v>
      </c>
      <c r="C40" s="1">
        <v>-5322681300.9300003</v>
      </c>
      <c r="D40" s="1">
        <v>-5322681300.9300003</v>
      </c>
      <c r="F40" s="1">
        <f>ROUND(B40/1000,0)</f>
        <v>-5322681</v>
      </c>
      <c r="G40" s="1">
        <f>ROUND(C40/1000,0)</f>
        <v>-5322681</v>
      </c>
      <c r="H40" s="1">
        <f>ROUND(D40/1000,0)</f>
        <v>-5322681</v>
      </c>
    </row>
    <row r="41" spans="1:8">
      <c r="A41" s="15" t="s">
        <v>144</v>
      </c>
      <c r="B41" s="1">
        <v>-5322681300.9300003</v>
      </c>
      <c r="C41" s="1">
        <v>-5322681300.9300003</v>
      </c>
      <c r="D41" s="1">
        <v>-5322681300.9300003</v>
      </c>
    </row>
    <row r="42" spans="1:8">
      <c r="A42" s="14">
        <v>39</v>
      </c>
      <c r="B42" s="1">
        <v>0</v>
      </c>
      <c r="C42" s="1">
        <v>0</v>
      </c>
      <c r="D42" s="1">
        <v>0</v>
      </c>
      <c r="F42" s="1">
        <f>ROUND(B42/1000,0)</f>
        <v>0</v>
      </c>
      <c r="G42" s="1">
        <f>ROUND(C42/1000,0)</f>
        <v>0</v>
      </c>
      <c r="H42" s="1">
        <f>ROUND(D42/1000,0)</f>
        <v>0</v>
      </c>
    </row>
    <row r="43" spans="1:8">
      <c r="A43" s="15" t="s">
        <v>143</v>
      </c>
      <c r="B43" s="1">
        <v>0</v>
      </c>
      <c r="C43" s="1">
        <v>0</v>
      </c>
      <c r="D43" s="1">
        <v>0</v>
      </c>
    </row>
    <row r="44" spans="1:8">
      <c r="A44" s="14">
        <v>41</v>
      </c>
      <c r="B44" s="1">
        <v>-11311445048.880001</v>
      </c>
      <c r="C44" s="1">
        <v>-11087591544.739998</v>
      </c>
      <c r="D44" s="1">
        <v>-5424965514</v>
      </c>
      <c r="F44" s="1">
        <f>ROUND(B44/1000,0)</f>
        <v>-11311445</v>
      </c>
      <c r="G44" s="1">
        <f>ROUND(C44/1000,0)</f>
        <v>-11087592</v>
      </c>
      <c r="H44" s="1">
        <f>ROUND(D44/1000,0)</f>
        <v>-5424966</v>
      </c>
    </row>
    <row r="45" spans="1:8">
      <c r="A45" s="15" t="s">
        <v>146</v>
      </c>
      <c r="B45" s="1">
        <v>-11311445048.880001</v>
      </c>
      <c r="C45" s="1">
        <v>-11087591544.739998</v>
      </c>
      <c r="D45" s="1">
        <v>-5424965514</v>
      </c>
    </row>
    <row r="46" spans="1:8">
      <c r="A46" s="14">
        <v>42</v>
      </c>
      <c r="B46" s="1">
        <v>7818872841.7000008</v>
      </c>
      <c r="C46" s="1">
        <v>10371521530.27</v>
      </c>
      <c r="D46" s="1">
        <v>5045552231</v>
      </c>
      <c r="F46" s="1">
        <f>ROUND(B46/1000,0)</f>
        <v>7818873</v>
      </c>
      <c r="G46" s="1">
        <f>ROUND(C46/1000,0)</f>
        <v>10371522</v>
      </c>
      <c r="H46" s="1">
        <f>ROUND(D46/1000,0)</f>
        <v>5045552</v>
      </c>
    </row>
    <row r="47" spans="1:8">
      <c r="A47" s="15" t="s">
        <v>147</v>
      </c>
      <c r="B47" s="1">
        <v>7818872841.7000008</v>
      </c>
      <c r="C47" s="1">
        <v>10371521530.27</v>
      </c>
      <c r="D47" s="1">
        <v>5045552231</v>
      </c>
    </row>
    <row r="48" spans="1:8">
      <c r="A48" s="14">
        <v>51</v>
      </c>
      <c r="B48" s="1">
        <v>2143065763.3900001</v>
      </c>
      <c r="C48" s="1">
        <v>2249738262.6199999</v>
      </c>
      <c r="D48" s="1">
        <v>2032192396.8599999</v>
      </c>
      <c r="F48" s="1">
        <f>ROUND(B48/1000,0)</f>
        <v>2143066</v>
      </c>
      <c r="G48" s="1">
        <f>ROUND(C48/1000,0)</f>
        <v>2249738</v>
      </c>
      <c r="H48" s="1">
        <f>ROUND(D48/1000,0)</f>
        <v>2032192</v>
      </c>
    </row>
    <row r="49" spans="1:8">
      <c r="A49" s="15" t="s">
        <v>148</v>
      </c>
      <c r="B49" s="1">
        <v>2143065763.3900001</v>
      </c>
      <c r="C49" s="1">
        <v>2249738262.6199999</v>
      </c>
      <c r="D49" s="1">
        <v>2032192396.8599999</v>
      </c>
    </row>
    <row r="50" spans="1:8">
      <c r="A50" s="14">
        <v>52</v>
      </c>
      <c r="B50" s="1">
        <v>-44951637.509999998</v>
      </c>
      <c r="C50" s="1">
        <v>111587586.34</v>
      </c>
      <c r="D50" s="1">
        <v>-89328484</v>
      </c>
      <c r="F50" s="1">
        <f>ROUND(B50/1000,0)</f>
        <v>-44952</v>
      </c>
      <c r="G50" s="1">
        <f>ROUND(C50/1000,0)</f>
        <v>111588</v>
      </c>
      <c r="H50" s="1">
        <f>ROUND(D50/1000,0)</f>
        <v>-89328</v>
      </c>
    </row>
    <row r="51" spans="1:8">
      <c r="A51" s="15" t="s">
        <v>187</v>
      </c>
      <c r="B51" s="1">
        <v>-44951637.509999998</v>
      </c>
      <c r="C51" s="1">
        <v>111587586.34</v>
      </c>
      <c r="D51" s="1">
        <v>-89328484</v>
      </c>
    </row>
    <row r="52" spans="1:8">
      <c r="A52" s="14">
        <v>53</v>
      </c>
      <c r="B52" s="1">
        <v>762800183.49000001</v>
      </c>
      <c r="C52" s="1">
        <v>727413441.37</v>
      </c>
      <c r="D52" s="1">
        <v>760182407.45000005</v>
      </c>
      <c r="F52" s="1">
        <f>ROUND(B52/1000,0)</f>
        <v>762800</v>
      </c>
      <c r="G52" s="1">
        <f>ROUND(C52/1000,0)</f>
        <v>727413</v>
      </c>
      <c r="H52" s="1">
        <f>ROUND(D52/1000,0)</f>
        <v>760182</v>
      </c>
    </row>
    <row r="53" spans="1:8">
      <c r="A53" s="15" t="s">
        <v>149</v>
      </c>
      <c r="B53" s="1">
        <v>762800183.49000001</v>
      </c>
      <c r="C53" s="1">
        <v>727413441.37</v>
      </c>
      <c r="D53" s="1">
        <v>760182407.45000005</v>
      </c>
    </row>
    <row r="54" spans="1:8">
      <c r="A54" s="14">
        <v>54</v>
      </c>
      <c r="B54" s="1">
        <v>122962800.84</v>
      </c>
      <c r="C54" s="1">
        <v>-31927021.199999999</v>
      </c>
      <c r="D54" s="1">
        <v>120625555</v>
      </c>
      <c r="F54" s="1">
        <f>ROUND(B54/1000,0)</f>
        <v>122963</v>
      </c>
      <c r="G54" s="1">
        <f>ROUND(C54/1000,0)</f>
        <v>-31927</v>
      </c>
      <c r="H54" s="1">
        <f>ROUND(D54/1000,0)</f>
        <v>120626</v>
      </c>
    </row>
    <row r="55" spans="1:8">
      <c r="A55" s="15" t="s">
        <v>150</v>
      </c>
      <c r="B55" s="1">
        <v>122962800.84</v>
      </c>
      <c r="C55" s="1">
        <v>-31927021.199999999</v>
      </c>
      <c r="D55" s="1">
        <v>120625555</v>
      </c>
    </row>
    <row r="56" spans="1:8">
      <c r="A56" s="14">
        <v>55</v>
      </c>
      <c r="B56" s="1">
        <v>25329000</v>
      </c>
      <c r="C56" s="1">
        <v>72817000</v>
      </c>
      <c r="D56" s="1">
        <v>154142000</v>
      </c>
      <c r="F56" s="1">
        <f>ROUND(B56/1000,0)</f>
        <v>25329</v>
      </c>
      <c r="G56" s="1">
        <f>ROUND(C56/1000,0)</f>
        <v>72817</v>
      </c>
      <c r="H56" s="1">
        <f>ROUND(D56/1000,0)</f>
        <v>154142</v>
      </c>
    </row>
    <row r="57" spans="1:8">
      <c r="A57" s="15" t="s">
        <v>151</v>
      </c>
      <c r="B57" s="1">
        <v>25329000</v>
      </c>
      <c r="C57" s="1">
        <v>72817000</v>
      </c>
      <c r="D57" s="1">
        <v>154142000</v>
      </c>
    </row>
    <row r="58" spans="1:8">
      <c r="A58" s="14" t="s">
        <v>420</v>
      </c>
      <c r="B58" s="1">
        <v>483366096.97000003</v>
      </c>
      <c r="C58" s="1">
        <v>-2413559254.6599998</v>
      </c>
      <c r="D58" s="1">
        <v>-2598400592.3099999</v>
      </c>
      <c r="F58" s="1">
        <f>ROUND(B58/1000,0)</f>
        <v>483366</v>
      </c>
      <c r="G58" s="1">
        <f>ROUND(C58/1000,0)</f>
        <v>-2413559</v>
      </c>
      <c r="H58" s="1">
        <f>ROUND(D58/1000,0)</f>
        <v>-2598401</v>
      </c>
    </row>
    <row r="59" spans="1:8">
      <c r="A59" s="15" t="s">
        <v>135</v>
      </c>
      <c r="B59" s="1">
        <v>483366096.97000003</v>
      </c>
      <c r="C59" s="1">
        <v>-2413559254.6599998</v>
      </c>
      <c r="D59" s="1">
        <v>-2598400592.3099999</v>
      </c>
    </row>
    <row r="60" spans="1:8">
      <c r="A60" s="14" t="s">
        <v>153</v>
      </c>
      <c r="B60" s="1">
        <v>-7.7486038208007813E-6</v>
      </c>
      <c r="C60" s="1">
        <v>2.86102294921875E-6</v>
      </c>
      <c r="D60" s="1">
        <v>-1.9073486328125E-6</v>
      </c>
      <c r="F60" s="16">
        <f>SUM(F4:F59)</f>
        <v>0</v>
      </c>
      <c r="G60" s="16">
        <f t="shared" ref="G60:H60" si="0">SUM(G4:G59)</f>
        <v>1</v>
      </c>
      <c r="H60" s="16">
        <f t="shared" si="0"/>
        <v>-1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692F0-521D-6049-848F-070724FBBC55}">
  <dimension ref="A1:Z213"/>
  <sheetViews>
    <sheetView tabSelected="1" topLeftCell="J1" zoomScale="140" zoomScaleNormal="140" zoomScalePageLayoutView="150" workbookViewId="0">
      <selection activeCell="J1" sqref="J1"/>
    </sheetView>
  </sheetViews>
  <sheetFormatPr baseColWidth="10" defaultColWidth="10.875" defaultRowHeight="11.25"/>
  <cols>
    <col min="1" max="1" width="3.375" style="294" customWidth="1"/>
    <col min="2" max="2" width="28" style="294" customWidth="1"/>
    <col min="3" max="6" width="10.875" style="294" customWidth="1"/>
    <col min="7" max="7" width="10.875" style="295" customWidth="1"/>
    <col min="8" max="8" width="10.875" style="294" customWidth="1"/>
    <col min="9" max="9" width="3.375" style="294" customWidth="1"/>
    <col min="10" max="10" width="28" style="294" customWidth="1"/>
    <col min="11" max="14" width="10.875" style="294" customWidth="1"/>
    <col min="15" max="15" width="10.875" style="295" customWidth="1"/>
    <col min="16" max="16" width="10.875" style="294" hidden="1" customWidth="1"/>
    <col min="17" max="17" width="10.875" style="294" customWidth="1"/>
    <col min="18" max="18" width="3.375" style="294" customWidth="1"/>
    <col min="19" max="19" width="28" style="294" customWidth="1"/>
    <col min="20" max="20" width="10.875" style="294" customWidth="1"/>
    <col min="21" max="23" width="10.875" style="294"/>
    <col min="24" max="24" width="10.875" style="295"/>
    <col min="25" max="25" width="0" style="294" hidden="1" customWidth="1"/>
    <col min="26" max="16384" width="10.875" style="294"/>
  </cols>
  <sheetData>
    <row r="1" spans="2:26" ht="12.75">
      <c r="B1" s="293" t="s">
        <v>910</v>
      </c>
      <c r="J1" s="293" t="s">
        <v>910</v>
      </c>
      <c r="S1" s="293" t="s">
        <v>910</v>
      </c>
    </row>
    <row r="2" spans="2:26" ht="6" customHeight="1"/>
    <row r="3" spans="2:26">
      <c r="B3" s="296" t="s">
        <v>542</v>
      </c>
      <c r="J3" s="296" t="s">
        <v>542</v>
      </c>
      <c r="S3" s="296" t="s">
        <v>542</v>
      </c>
    </row>
    <row r="4" spans="2:26">
      <c r="B4" s="296" t="s">
        <v>612</v>
      </c>
      <c r="J4" s="296" t="s">
        <v>742</v>
      </c>
      <c r="S4" s="296" t="s">
        <v>1051</v>
      </c>
    </row>
    <row r="5" spans="2:26">
      <c r="B5" s="296" t="s">
        <v>543</v>
      </c>
      <c r="J5" s="296" t="s">
        <v>543</v>
      </c>
      <c r="S5" s="296" t="s">
        <v>543</v>
      </c>
    </row>
    <row r="6" spans="2:26" ht="6" customHeight="1"/>
    <row r="7" spans="2:26">
      <c r="B7" s="296" t="s">
        <v>544</v>
      </c>
      <c r="J7" s="296" t="s">
        <v>544</v>
      </c>
      <c r="S7" s="296" t="s">
        <v>544</v>
      </c>
    </row>
    <row r="8" spans="2:26" ht="6" customHeight="1"/>
    <row r="9" spans="2:26">
      <c r="B9" s="296" t="s">
        <v>545</v>
      </c>
      <c r="H9" s="295"/>
      <c r="J9" s="296" t="s">
        <v>545</v>
      </c>
      <c r="S9" s="296" t="s">
        <v>545</v>
      </c>
    </row>
    <row r="10" spans="2:26" ht="6" customHeight="1"/>
    <row r="11" spans="2:26">
      <c r="B11" s="294" t="s">
        <v>609</v>
      </c>
      <c r="G11" s="295">
        <f>ESF_ERI_PYMES!H4</f>
        <v>437577</v>
      </c>
      <c r="H11" s="295"/>
      <c r="J11" s="294" t="s">
        <v>609</v>
      </c>
      <c r="O11" s="295">
        <f>ESF_ERI_PYMES!G4</f>
        <v>1107717</v>
      </c>
      <c r="S11" s="294" t="s">
        <v>609</v>
      </c>
      <c r="X11" s="295">
        <f>ESF_ERI_PYMES!F4</f>
        <v>822622</v>
      </c>
    </row>
    <row r="12" spans="2:26">
      <c r="B12" s="294" t="s">
        <v>610</v>
      </c>
      <c r="G12" s="295">
        <f>ESF_ERI_PYMES!H7</f>
        <v>949204</v>
      </c>
      <c r="H12" s="295"/>
      <c r="J12" s="294" t="s">
        <v>610</v>
      </c>
      <c r="O12" s="295">
        <f>ESF_ERI_PYMES!G7</f>
        <v>1965883</v>
      </c>
      <c r="S12" s="294" t="s">
        <v>610</v>
      </c>
      <c r="X12" s="295">
        <f>ESF_ERI_PYMES!F7</f>
        <v>1789358</v>
      </c>
    </row>
    <row r="13" spans="2:26">
      <c r="B13" s="294" t="s">
        <v>129</v>
      </c>
      <c r="G13" s="295">
        <f>ESF_ERI_PYMES!H9</f>
        <v>457715</v>
      </c>
      <c r="H13" s="295"/>
      <c r="J13" s="294" t="s">
        <v>129</v>
      </c>
      <c r="O13" s="295">
        <f>ESF_ERI_PYMES!G9</f>
        <v>382364</v>
      </c>
      <c r="S13" s="294" t="s">
        <v>129</v>
      </c>
      <c r="X13" s="295">
        <f>ESF_ERI_PYMES!F9</f>
        <v>425693</v>
      </c>
    </row>
    <row r="14" spans="2:26">
      <c r="B14" s="294" t="s">
        <v>186</v>
      </c>
      <c r="G14" s="295">
        <f>ESF_ERI_PYMES!H11</f>
        <v>121344</v>
      </c>
      <c r="H14" s="295"/>
      <c r="J14" s="294" t="s">
        <v>186</v>
      </c>
      <c r="O14" s="295">
        <f>ESF_ERI_PYMES!G11</f>
        <v>362836</v>
      </c>
      <c r="S14" s="294" t="s">
        <v>186</v>
      </c>
      <c r="X14" s="295">
        <f>ESF_ERI_PYMES!F11</f>
        <v>295523</v>
      </c>
      <c r="Z14" s="375"/>
    </row>
    <row r="15" spans="2:26">
      <c r="B15" s="294" t="s">
        <v>132</v>
      </c>
      <c r="G15" s="295">
        <f>ESF_ERI_PYMES!H13</f>
        <v>1362317</v>
      </c>
      <c r="H15" s="295"/>
      <c r="J15" s="294" t="s">
        <v>132</v>
      </c>
      <c r="O15" s="295">
        <f>ESF_ERI_PYMES!G13</f>
        <v>817029</v>
      </c>
      <c r="S15" s="294" t="s">
        <v>132</v>
      </c>
      <c r="X15" s="295">
        <f>ESF_ERI_PYMES!F13</f>
        <v>3118238</v>
      </c>
      <c r="Z15" s="375"/>
    </row>
    <row r="16" spans="2:26" ht="6" customHeight="1">
      <c r="H16" s="295"/>
      <c r="Z16" s="375"/>
    </row>
    <row r="17" spans="2:24">
      <c r="B17" s="296" t="s">
        <v>546</v>
      </c>
      <c r="G17" s="297">
        <f>SUM(G11:G16)</f>
        <v>3328157</v>
      </c>
      <c r="H17" s="295"/>
      <c r="J17" s="296" t="s">
        <v>546</v>
      </c>
      <c r="O17" s="297">
        <f>SUM(O11:O16)</f>
        <v>4635829</v>
      </c>
      <c r="S17" s="296" t="s">
        <v>546</v>
      </c>
      <c r="X17" s="297">
        <f>SUM(X11:X16)</f>
        <v>6451434</v>
      </c>
    </row>
    <row r="18" spans="2:24" ht="6" customHeight="1">
      <c r="H18" s="295"/>
    </row>
    <row r="19" spans="2:24">
      <c r="B19" s="296" t="s">
        <v>547</v>
      </c>
      <c r="H19" s="295"/>
      <c r="J19" s="296" t="s">
        <v>547</v>
      </c>
      <c r="S19" s="296" t="s">
        <v>547</v>
      </c>
    </row>
    <row r="20" spans="2:24" ht="6" customHeight="1">
      <c r="H20" s="295"/>
    </row>
    <row r="21" spans="2:24">
      <c r="B21" s="294" t="s">
        <v>133</v>
      </c>
      <c r="G21" s="295">
        <f>ESF_ERI_PYMES!H15</f>
        <v>30544800</v>
      </c>
      <c r="H21" s="295"/>
      <c r="J21" s="294" t="s">
        <v>133</v>
      </c>
      <c r="O21" s="295">
        <f>ESF_ERI_PYMES!G15</f>
        <v>30348376</v>
      </c>
      <c r="S21" s="294" t="s">
        <v>133</v>
      </c>
      <c r="X21" s="295">
        <f>ESF_ERI_PYMES!F15</f>
        <v>29901815</v>
      </c>
    </row>
    <row r="22" spans="2:24">
      <c r="B22" s="294" t="s">
        <v>421</v>
      </c>
      <c r="G22" s="295">
        <f>ESF_ERI_PYMES!H17</f>
        <v>8453</v>
      </c>
      <c r="H22" s="295"/>
      <c r="J22" s="294" t="s">
        <v>421</v>
      </c>
      <c r="O22" s="295">
        <f>ESF_ERI_PYMES!G17</f>
        <v>1208</v>
      </c>
      <c r="S22" s="294" t="s">
        <v>421</v>
      </c>
      <c r="X22" s="295">
        <f>ESF_ERI_PYMES!F17</f>
        <v>0</v>
      </c>
    </row>
    <row r="23" spans="2:24">
      <c r="B23" s="294" t="s">
        <v>134</v>
      </c>
      <c r="G23" s="295">
        <f>ESF_ERI_PYMES!H19</f>
        <v>13785</v>
      </c>
      <c r="H23" s="295"/>
      <c r="J23" s="294" t="s">
        <v>134</v>
      </c>
      <c r="O23" s="295">
        <f>ESF_ERI_PYMES!G19</f>
        <v>508307</v>
      </c>
      <c r="S23" s="294" t="s">
        <v>134</v>
      </c>
      <c r="X23" s="295">
        <f>ESF_ERI_PYMES!F19</f>
        <v>495801</v>
      </c>
    </row>
    <row r="24" spans="2:24" ht="6" customHeight="1">
      <c r="H24" s="295"/>
    </row>
    <row r="25" spans="2:24">
      <c r="B25" s="296" t="s">
        <v>548</v>
      </c>
      <c r="G25" s="297">
        <f>SUM(G21:G24)</f>
        <v>30567038</v>
      </c>
      <c r="H25" s="295"/>
      <c r="J25" s="296" t="s">
        <v>548</v>
      </c>
      <c r="O25" s="297">
        <f>SUM(O21:O24)</f>
        <v>30857891</v>
      </c>
      <c r="S25" s="296" t="s">
        <v>548</v>
      </c>
      <c r="X25" s="297">
        <f>SUM(X21:X24)</f>
        <v>30397616</v>
      </c>
    </row>
    <row r="26" spans="2:24" ht="6" customHeight="1">
      <c r="H26" s="295"/>
    </row>
    <row r="27" spans="2:24" ht="12" thickBot="1">
      <c r="B27" s="296" t="s">
        <v>549</v>
      </c>
      <c r="G27" s="298">
        <f>SUM(G17,G25)</f>
        <v>33895195</v>
      </c>
      <c r="H27" s="295"/>
      <c r="J27" s="296" t="s">
        <v>549</v>
      </c>
      <c r="O27" s="298">
        <f>SUM(O17,O25)</f>
        <v>35493720</v>
      </c>
      <c r="S27" s="296" t="s">
        <v>549</v>
      </c>
      <c r="X27" s="298">
        <f>SUM(X17,X25)</f>
        <v>36849050</v>
      </c>
    </row>
    <row r="28" spans="2:24" ht="6" customHeight="1" thickTop="1">
      <c r="H28" s="295"/>
    </row>
    <row r="29" spans="2:24">
      <c r="B29" s="296" t="s">
        <v>550</v>
      </c>
      <c r="H29" s="295"/>
      <c r="J29" s="296" t="s">
        <v>550</v>
      </c>
      <c r="S29" s="296" t="s">
        <v>550</v>
      </c>
    </row>
    <row r="30" spans="2:24" ht="6" customHeight="1">
      <c r="H30" s="295"/>
    </row>
    <row r="31" spans="2:24">
      <c r="B31" s="296" t="s">
        <v>551</v>
      </c>
      <c r="H31" s="295"/>
      <c r="J31" s="296" t="s">
        <v>551</v>
      </c>
      <c r="S31" s="296" t="s">
        <v>551</v>
      </c>
    </row>
    <row r="32" spans="2:24" ht="6" customHeight="1">
      <c r="H32" s="295"/>
    </row>
    <row r="33" spans="2:25">
      <c r="B33" s="294" t="s">
        <v>552</v>
      </c>
      <c r="G33" s="295">
        <f>-'HW PYMES'!N56</f>
        <v>53453</v>
      </c>
      <c r="H33" s="295"/>
      <c r="J33" s="294" t="s">
        <v>552</v>
      </c>
      <c r="O33" s="295">
        <f>-'HW PYMES'!N58</f>
        <v>63755</v>
      </c>
      <c r="P33" s="295">
        <f>O33-G33</f>
        <v>10302</v>
      </c>
      <c r="Q33" s="295"/>
      <c r="S33" s="294" t="s">
        <v>552</v>
      </c>
      <c r="X33" s="295">
        <f>-'HW PYMES'!N60</f>
        <v>40392</v>
      </c>
      <c r="Y33" s="295">
        <f>X33-O33</f>
        <v>-23363</v>
      </c>
    </row>
    <row r="34" spans="2:25">
      <c r="B34" s="294" t="s">
        <v>449</v>
      </c>
      <c r="G34" s="295">
        <f>-'HW PYMES'!N66</f>
        <v>28235</v>
      </c>
      <c r="H34" s="295"/>
      <c r="J34" s="294" t="s">
        <v>449</v>
      </c>
      <c r="O34" s="295">
        <f>-'HW PYMES'!N68</f>
        <v>9540</v>
      </c>
      <c r="P34" s="295">
        <f>O34-G34</f>
        <v>-18695</v>
      </c>
      <c r="Q34" s="295"/>
      <c r="S34" s="294" t="s">
        <v>449</v>
      </c>
      <c r="X34" s="295">
        <f>-'HW PYMES'!N70</f>
        <v>0</v>
      </c>
      <c r="Y34" s="295">
        <f>X34-O34</f>
        <v>-9540</v>
      </c>
    </row>
    <row r="35" spans="2:25">
      <c r="B35" s="294" t="s">
        <v>140</v>
      </c>
      <c r="G35" s="295">
        <f>-'HW PYMES'!N76</f>
        <v>2336145</v>
      </c>
      <c r="H35" s="295"/>
      <c r="J35" s="294" t="s">
        <v>140</v>
      </c>
      <c r="O35" s="295">
        <f>-'HW PYMES'!N78+1</f>
        <v>1338299</v>
      </c>
      <c r="S35" s="294" t="s">
        <v>140</v>
      </c>
      <c r="X35" s="295">
        <f>-'HW PYMES'!N80</f>
        <v>2222593</v>
      </c>
    </row>
    <row r="36" spans="2:25">
      <c r="B36" s="294" t="s">
        <v>553</v>
      </c>
      <c r="G36" s="295">
        <f>-ESF_ERI_PYMES!H26</f>
        <v>219767</v>
      </c>
      <c r="H36" s="295"/>
      <c r="J36" s="294" t="s">
        <v>553</v>
      </c>
      <c r="O36" s="295">
        <f>-ESF_ERI_PYMES!G26</f>
        <v>517187</v>
      </c>
      <c r="S36" s="294" t="s">
        <v>553</v>
      </c>
      <c r="X36" s="295">
        <f>-ESF_ERI_PYMES!F26</f>
        <v>135782</v>
      </c>
    </row>
    <row r="37" spans="2:25">
      <c r="B37" s="294" t="s">
        <v>130</v>
      </c>
      <c r="G37" s="295">
        <f>-ESF_ERI_PYMES!H28</f>
        <v>0</v>
      </c>
      <c r="H37" s="295"/>
      <c r="J37" s="294" t="s">
        <v>130</v>
      </c>
      <c r="O37" s="295">
        <f>-ESF_ERI_PYMES!G28</f>
        <v>0</v>
      </c>
      <c r="S37" s="294" t="s">
        <v>130</v>
      </c>
      <c r="X37" s="295">
        <f>-ESF_ERI_PYMES!F28</f>
        <v>0</v>
      </c>
    </row>
    <row r="38" spans="2:25">
      <c r="B38" s="294" t="s">
        <v>611</v>
      </c>
      <c r="G38" s="295">
        <f>-ESF_ERI_PYMES!H30</f>
        <v>1172511</v>
      </c>
      <c r="H38" s="295"/>
      <c r="J38" s="294" t="s">
        <v>611</v>
      </c>
      <c r="O38" s="295">
        <f>-ESF_ERI_PYMES!G30</f>
        <v>930154</v>
      </c>
      <c r="S38" s="294" t="s">
        <v>611</v>
      </c>
      <c r="X38" s="295">
        <f>-ESF_ERI_PYMES!F30</f>
        <v>1332132</v>
      </c>
    </row>
    <row r="39" spans="2:25" ht="6" customHeight="1">
      <c r="H39" s="295"/>
    </row>
    <row r="40" spans="2:25">
      <c r="B40" s="296" t="s">
        <v>554</v>
      </c>
      <c r="G40" s="297">
        <f>SUM(G33:G39)</f>
        <v>3810111</v>
      </c>
      <c r="H40" s="295"/>
      <c r="J40" s="296" t="s">
        <v>554</v>
      </c>
      <c r="O40" s="297">
        <f>SUM(O33:O39)</f>
        <v>2858935</v>
      </c>
      <c r="S40" s="296" t="s">
        <v>554</v>
      </c>
      <c r="X40" s="297">
        <f>SUM(X33:X39)</f>
        <v>3730899</v>
      </c>
    </row>
    <row r="41" spans="2:25" ht="6" customHeight="1">
      <c r="H41" s="295"/>
    </row>
    <row r="42" spans="2:25">
      <c r="B42" s="296" t="s">
        <v>555</v>
      </c>
      <c r="H42" s="295"/>
      <c r="J42" s="296" t="s">
        <v>555</v>
      </c>
      <c r="S42" s="296" t="s">
        <v>555</v>
      </c>
    </row>
    <row r="43" spans="2:25" ht="6" customHeight="1"/>
    <row r="44" spans="2:25">
      <c r="B44" s="294" t="s">
        <v>556</v>
      </c>
      <c r="G44" s="295">
        <f>-'HW PYMES'!O56</f>
        <v>9578896</v>
      </c>
      <c r="J44" s="294" t="s">
        <v>556</v>
      </c>
      <c r="O44" s="295">
        <f>-'HW PYMES'!O58</f>
        <v>10878896</v>
      </c>
      <c r="S44" s="294" t="s">
        <v>556</v>
      </c>
      <c r="X44" s="295">
        <f>-'HW PYMES'!O60</f>
        <v>10878896</v>
      </c>
    </row>
    <row r="45" spans="2:25">
      <c r="B45" s="294" t="s">
        <v>449</v>
      </c>
      <c r="G45" s="295">
        <f>-'HW PYMES'!O66</f>
        <v>9540</v>
      </c>
      <c r="H45" s="295"/>
      <c r="J45" s="294" t="s">
        <v>449</v>
      </c>
      <c r="O45" s="295">
        <f>-'HW PYMES'!O68</f>
        <v>0</v>
      </c>
      <c r="P45" s="295">
        <f>O45-G45</f>
        <v>-9540</v>
      </c>
      <c r="Q45" s="295"/>
      <c r="S45" s="294" t="s">
        <v>449</v>
      </c>
      <c r="X45" s="295">
        <f>-'HW PYMES'!O70</f>
        <v>0</v>
      </c>
      <c r="Y45" s="295">
        <f>X45-O45</f>
        <v>0</v>
      </c>
    </row>
    <row r="46" spans="2:25">
      <c r="B46" s="294" t="s">
        <v>140</v>
      </c>
      <c r="G46" s="295">
        <f>-'HW PYMES'!O76</f>
        <v>0</v>
      </c>
      <c r="J46" s="294" t="s">
        <v>140</v>
      </c>
      <c r="O46" s="295">
        <f>-'HW PYMES'!O78</f>
        <v>0</v>
      </c>
      <c r="S46" s="294" t="s">
        <v>140</v>
      </c>
      <c r="X46" s="295">
        <f>-'HW PYMES'!O80</f>
        <v>0</v>
      </c>
    </row>
    <row r="47" spans="2:25">
      <c r="B47" s="294" t="s">
        <v>557</v>
      </c>
      <c r="G47" s="295">
        <f>-ESF_ERI_PYMES!H32</f>
        <v>595622</v>
      </c>
      <c r="J47" s="294" t="s">
        <v>557</v>
      </c>
      <c r="O47" s="295">
        <f>-ESF_ERI_PYMES!G32</f>
        <v>595622</v>
      </c>
      <c r="S47" s="294" t="s">
        <v>557</v>
      </c>
      <c r="X47" s="295">
        <f>-ESF_ERI_PYMES!F32</f>
        <v>595622</v>
      </c>
    </row>
    <row r="48" spans="2:25" ht="6" customHeight="1"/>
    <row r="49" spans="2:26">
      <c r="B49" s="296" t="s">
        <v>558</v>
      </c>
      <c r="G49" s="297">
        <f>SUM(G44:G48)</f>
        <v>10184058</v>
      </c>
      <c r="J49" s="296" t="s">
        <v>558</v>
      </c>
      <c r="O49" s="297">
        <f>SUM(O44:O48)</f>
        <v>11474518</v>
      </c>
      <c r="S49" s="296" t="s">
        <v>558</v>
      </c>
      <c r="X49" s="297">
        <f>SUM(X44:X48)</f>
        <v>11474518</v>
      </c>
    </row>
    <row r="50" spans="2:26" ht="6" customHeight="1"/>
    <row r="51" spans="2:26" ht="12" thickBot="1">
      <c r="B51" s="296" t="s">
        <v>559</v>
      </c>
      <c r="G51" s="298">
        <f>SUM(G40,G49)</f>
        <v>13994169</v>
      </c>
      <c r="J51" s="296" t="s">
        <v>559</v>
      </c>
      <c r="O51" s="298">
        <f>SUM(O40,O49)</f>
        <v>14333453</v>
      </c>
      <c r="S51" s="296" t="s">
        <v>559</v>
      </c>
      <c r="X51" s="298">
        <f>SUM(X40,X49)</f>
        <v>15205417</v>
      </c>
    </row>
    <row r="52" spans="2:26" ht="6" customHeight="1" thickTop="1"/>
    <row r="53" spans="2:26">
      <c r="B53" s="296" t="s">
        <v>560</v>
      </c>
      <c r="J53" s="296" t="s">
        <v>560</v>
      </c>
      <c r="S53" s="296" t="s">
        <v>560</v>
      </c>
    </row>
    <row r="54" spans="2:26" ht="6" customHeight="1"/>
    <row r="55" spans="2:26">
      <c r="B55" s="294" t="s">
        <v>141</v>
      </c>
      <c r="G55" s="295">
        <f>-ESF_ERI_PYMES!H34</f>
        <v>27116625</v>
      </c>
      <c r="H55" s="295"/>
      <c r="J55" s="294" t="s">
        <v>141</v>
      </c>
      <c r="O55" s="295">
        <f>-ESF_ERI_PYMES!G34</f>
        <v>32481759</v>
      </c>
      <c r="P55" s="373"/>
      <c r="Q55" s="373"/>
      <c r="S55" s="294" t="s">
        <v>141</v>
      </c>
      <c r="X55" s="295">
        <f>-ESF_ERI_PYMES!F34</f>
        <v>32481759</v>
      </c>
      <c r="Y55" s="373"/>
    </row>
    <row r="56" spans="2:26">
      <c r="B56" s="294" t="s">
        <v>561</v>
      </c>
      <c r="G56" s="295">
        <f>-ESF_ERI_PYMES!H36</f>
        <v>1692516</v>
      </c>
      <c r="J56" s="294" t="s">
        <v>561</v>
      </c>
      <c r="O56" s="295">
        <f>-ESF_ERI_PYMES!G36</f>
        <v>182</v>
      </c>
      <c r="S56" s="294" t="s">
        <v>561</v>
      </c>
      <c r="X56" s="295">
        <f>-ESF_ERI_PYMES!F36</f>
        <v>182</v>
      </c>
    </row>
    <row r="57" spans="2:26">
      <c r="B57" s="294" t="s">
        <v>562</v>
      </c>
      <c r="G57" s="295">
        <f>-ESF_ERI_PYMES!H38</f>
        <v>-14230796</v>
      </c>
      <c r="J57" s="294" t="s">
        <v>562</v>
      </c>
      <c r="O57" s="295">
        <f>-ESF_ERI_PYMES!G38</f>
        <v>-16644355</v>
      </c>
      <c r="S57" s="294" t="s">
        <v>562</v>
      </c>
      <c r="X57" s="295">
        <f>-ESF_ERI_PYMES!F38</f>
        <v>-16160989</v>
      </c>
      <c r="Z57" s="295"/>
    </row>
    <row r="58" spans="2:26">
      <c r="B58" s="294" t="s">
        <v>563</v>
      </c>
      <c r="G58" s="295">
        <f>-ESF_ERI_PYMES!H40</f>
        <v>5322681</v>
      </c>
      <c r="J58" s="294" t="s">
        <v>563</v>
      </c>
      <c r="O58" s="295">
        <f>-ESF_ERI_PYMES!G40</f>
        <v>5322681</v>
      </c>
      <c r="S58" s="294" t="s">
        <v>563</v>
      </c>
      <c r="X58" s="295">
        <f>-ESF_ERI_PYMES!F40</f>
        <v>5322681</v>
      </c>
    </row>
    <row r="59" spans="2:26" ht="6" customHeight="1"/>
    <row r="60" spans="2:26" ht="12" thickBot="1">
      <c r="B60" s="296" t="s">
        <v>564</v>
      </c>
      <c r="G60" s="298">
        <f>SUM(G55:G59)</f>
        <v>19901026</v>
      </c>
      <c r="J60" s="296" t="s">
        <v>564</v>
      </c>
      <c r="O60" s="298">
        <f>SUM(O55:O59)</f>
        <v>21160267</v>
      </c>
      <c r="S60" s="296" t="s">
        <v>564</v>
      </c>
      <c r="X60" s="298">
        <f>SUM(X55:X59)</f>
        <v>21643633</v>
      </c>
    </row>
    <row r="61" spans="2:26" ht="6" customHeight="1" thickTop="1"/>
    <row r="62" spans="2:26" ht="12" thickBot="1">
      <c r="B62" s="296" t="s">
        <v>565</v>
      </c>
      <c r="G62" s="298">
        <f>SUM(G51,G60)</f>
        <v>33895195</v>
      </c>
      <c r="J62" s="296" t="s">
        <v>565</v>
      </c>
      <c r="O62" s="298">
        <f>SUM(O51,O60)</f>
        <v>35493720</v>
      </c>
      <c r="S62" s="296" t="s">
        <v>565</v>
      </c>
      <c r="X62" s="298">
        <f>SUM(X51,X60)</f>
        <v>36849050</v>
      </c>
    </row>
    <row r="63" spans="2:26" ht="12" thickTop="1"/>
    <row r="64" spans="2:26">
      <c r="C64" s="299"/>
      <c r="D64" s="299"/>
      <c r="E64" s="299"/>
      <c r="F64" s="299" t="s">
        <v>206</v>
      </c>
      <c r="G64" s="300">
        <f>G27-G62</f>
        <v>0</v>
      </c>
      <c r="K64" s="299"/>
      <c r="L64" s="299"/>
      <c r="M64" s="299"/>
      <c r="N64" s="299" t="s">
        <v>206</v>
      </c>
      <c r="O64" s="300">
        <f>O27-O62</f>
        <v>0</v>
      </c>
      <c r="T64" s="299"/>
      <c r="U64" s="299"/>
      <c r="V64" s="299"/>
      <c r="W64" s="299" t="s">
        <v>206</v>
      </c>
      <c r="X64" s="300">
        <f>X27-X62</f>
        <v>0</v>
      </c>
    </row>
    <row r="66" spans="1:24" s="295" customFormat="1" ht="12.75">
      <c r="A66" s="294"/>
      <c r="B66" s="293" t="s">
        <v>910</v>
      </c>
      <c r="C66" s="294"/>
      <c r="D66" s="294"/>
      <c r="E66" s="294"/>
      <c r="F66" s="294"/>
      <c r="H66" s="294"/>
      <c r="I66" s="294"/>
      <c r="J66" s="293" t="s">
        <v>910</v>
      </c>
      <c r="K66" s="294"/>
      <c r="L66" s="294"/>
      <c r="M66" s="294"/>
      <c r="N66" s="294"/>
      <c r="R66" s="294"/>
      <c r="S66" s="293" t="s">
        <v>910</v>
      </c>
      <c r="T66" s="294"/>
      <c r="U66" s="294"/>
      <c r="V66" s="294"/>
      <c r="W66" s="294"/>
    </row>
    <row r="67" spans="1:24" s="295" customFormat="1" ht="6" customHeight="1">
      <c r="A67" s="294"/>
      <c r="B67" s="294"/>
      <c r="C67" s="294"/>
      <c r="D67" s="294"/>
      <c r="E67" s="294"/>
      <c r="F67" s="294"/>
      <c r="H67" s="294"/>
      <c r="I67" s="294"/>
      <c r="J67" s="294"/>
      <c r="K67" s="294"/>
      <c r="L67" s="294"/>
      <c r="M67" s="294"/>
      <c r="N67" s="294"/>
      <c r="R67" s="294"/>
      <c r="S67" s="294"/>
      <c r="T67" s="294"/>
      <c r="U67" s="294"/>
      <c r="V67" s="294"/>
      <c r="W67" s="294"/>
    </row>
    <row r="68" spans="1:24" s="295" customFormat="1">
      <c r="A68" s="294"/>
      <c r="B68" s="296" t="s">
        <v>614</v>
      </c>
      <c r="C68" s="294"/>
      <c r="D68" s="294"/>
      <c r="E68" s="294"/>
      <c r="F68" s="294"/>
      <c r="H68" s="294"/>
      <c r="I68" s="294"/>
      <c r="J68" s="296" t="s">
        <v>614</v>
      </c>
      <c r="K68" s="294"/>
      <c r="L68" s="294"/>
      <c r="M68" s="294"/>
      <c r="N68" s="294"/>
      <c r="R68" s="294"/>
      <c r="S68" s="296" t="s">
        <v>614</v>
      </c>
      <c r="T68" s="294"/>
      <c r="U68" s="294"/>
      <c r="V68" s="294"/>
      <c r="W68" s="294"/>
    </row>
    <row r="69" spans="1:24" s="295" customFormat="1">
      <c r="A69" s="294"/>
      <c r="B69" s="296" t="s">
        <v>615</v>
      </c>
      <c r="C69" s="294"/>
      <c r="D69" s="294"/>
      <c r="E69" s="294"/>
      <c r="F69" s="294"/>
      <c r="H69" s="294"/>
      <c r="I69" s="294"/>
      <c r="J69" s="296" t="s">
        <v>744</v>
      </c>
      <c r="K69" s="294"/>
      <c r="L69" s="294"/>
      <c r="M69" s="294"/>
      <c r="N69" s="294"/>
      <c r="R69" s="294"/>
      <c r="S69" s="296" t="s">
        <v>1052</v>
      </c>
      <c r="T69" s="294"/>
      <c r="U69" s="294"/>
      <c r="V69" s="294"/>
      <c r="W69" s="294"/>
    </row>
    <row r="70" spans="1:24" s="295" customFormat="1">
      <c r="A70" s="294"/>
      <c r="B70" s="296" t="s">
        <v>543</v>
      </c>
      <c r="C70" s="294"/>
      <c r="D70" s="294"/>
      <c r="E70" s="294"/>
      <c r="F70" s="294"/>
      <c r="H70" s="294"/>
      <c r="I70" s="294"/>
      <c r="J70" s="296" t="s">
        <v>543</v>
      </c>
      <c r="K70" s="294"/>
      <c r="L70" s="294"/>
      <c r="M70" s="294"/>
      <c r="N70" s="294"/>
      <c r="R70" s="294"/>
      <c r="S70" s="296" t="s">
        <v>543</v>
      </c>
      <c r="T70" s="294"/>
      <c r="U70" s="294"/>
      <c r="V70" s="294"/>
      <c r="W70" s="294"/>
    </row>
    <row r="71" spans="1:24" s="295" customFormat="1" ht="6" customHeight="1">
      <c r="A71" s="294"/>
      <c r="B71" s="294"/>
      <c r="C71" s="294"/>
      <c r="D71" s="294"/>
      <c r="E71" s="294"/>
      <c r="F71" s="294"/>
      <c r="H71" s="294"/>
      <c r="I71" s="294"/>
      <c r="J71" s="294"/>
      <c r="K71" s="294"/>
      <c r="L71" s="294"/>
      <c r="M71" s="294"/>
      <c r="N71" s="294"/>
      <c r="R71" s="294"/>
      <c r="S71" s="294"/>
      <c r="T71" s="294"/>
      <c r="U71" s="294"/>
      <c r="V71" s="294"/>
      <c r="W71" s="294"/>
    </row>
    <row r="72" spans="1:24" s="295" customFormat="1">
      <c r="A72" s="294"/>
      <c r="B72" s="294" t="s">
        <v>146</v>
      </c>
      <c r="C72" s="294"/>
      <c r="D72" s="294"/>
      <c r="E72" s="294"/>
      <c r="F72" s="294"/>
      <c r="G72" s="295">
        <f>-ESF_ERI_PYMES!H44</f>
        <v>5424966</v>
      </c>
      <c r="H72" s="294"/>
      <c r="I72" s="294"/>
      <c r="J72" s="294" t="s">
        <v>146</v>
      </c>
      <c r="K72" s="294"/>
      <c r="L72" s="294"/>
      <c r="M72" s="294"/>
      <c r="N72" s="294"/>
      <c r="O72" s="295">
        <f>-ESF_ERI_PYMES!G44</f>
        <v>11087592</v>
      </c>
      <c r="R72" s="294"/>
      <c r="S72" s="294" t="s">
        <v>146</v>
      </c>
      <c r="T72" s="294"/>
      <c r="U72" s="294"/>
      <c r="V72" s="294"/>
      <c r="W72" s="294"/>
      <c r="X72" s="295">
        <f>-ESF_ERI_PYMES!F44</f>
        <v>11311445</v>
      </c>
    </row>
    <row r="73" spans="1:24" s="295" customFormat="1">
      <c r="A73" s="294"/>
      <c r="B73" s="294" t="s">
        <v>147</v>
      </c>
      <c r="C73" s="294"/>
      <c r="D73" s="294"/>
      <c r="E73" s="294"/>
      <c r="F73" s="294"/>
      <c r="G73" s="295">
        <f>-ESF_ERI_PYMES!H46</f>
        <v>-5045552</v>
      </c>
      <c r="H73" s="294"/>
      <c r="I73" s="294"/>
      <c r="J73" s="294" t="s">
        <v>147</v>
      </c>
      <c r="K73" s="294"/>
      <c r="L73" s="294"/>
      <c r="M73" s="294"/>
      <c r="N73" s="294"/>
      <c r="O73" s="295">
        <f>-ESF_ERI_PYMES!G46</f>
        <v>-10371522</v>
      </c>
      <c r="R73" s="294"/>
      <c r="S73" s="294" t="s">
        <v>147</v>
      </c>
      <c r="T73" s="294"/>
      <c r="U73" s="294"/>
      <c r="V73" s="294"/>
      <c r="W73" s="294"/>
      <c r="X73" s="295">
        <f>-ESF_ERI_PYMES!F46</f>
        <v>-7818873</v>
      </c>
    </row>
    <row r="74" spans="1:24" s="295" customFormat="1">
      <c r="A74" s="294"/>
      <c r="B74" s="294"/>
      <c r="C74" s="294"/>
      <c r="D74" s="294"/>
      <c r="E74" s="294"/>
      <c r="F74" s="294"/>
      <c r="G74" s="294"/>
      <c r="H74" s="294"/>
      <c r="I74" s="294"/>
      <c r="J74" s="294"/>
      <c r="K74" s="294"/>
      <c r="L74" s="294"/>
      <c r="M74" s="294"/>
      <c r="N74" s="294"/>
      <c r="O74" s="294"/>
      <c r="R74" s="294"/>
      <c r="S74" s="294"/>
      <c r="T74" s="294"/>
      <c r="U74" s="294"/>
      <c r="V74" s="294"/>
      <c r="W74" s="294"/>
      <c r="X74" s="294"/>
    </row>
    <row r="75" spans="1:24" s="295" customFormat="1">
      <c r="A75" s="294"/>
      <c r="B75" s="294" t="s">
        <v>566</v>
      </c>
      <c r="C75" s="294"/>
      <c r="D75" s="294"/>
      <c r="E75" s="294"/>
      <c r="F75" s="294"/>
      <c r="G75" s="297">
        <f>SUM(G72:G73)</f>
        <v>379414</v>
      </c>
      <c r="H75" s="294"/>
      <c r="I75" s="294"/>
      <c r="J75" s="294" t="s">
        <v>566</v>
      </c>
      <c r="K75" s="294"/>
      <c r="L75" s="294"/>
      <c r="M75" s="294"/>
      <c r="N75" s="294"/>
      <c r="O75" s="297">
        <f>SUM(O72:O73)</f>
        <v>716070</v>
      </c>
      <c r="R75" s="294"/>
      <c r="S75" s="294" t="s">
        <v>566</v>
      </c>
      <c r="T75" s="294"/>
      <c r="U75" s="294"/>
      <c r="V75" s="294"/>
      <c r="W75" s="294"/>
      <c r="X75" s="297">
        <f>SUM(X72:X73)</f>
        <v>3492572</v>
      </c>
    </row>
    <row r="77" spans="1:24" s="295" customFormat="1">
      <c r="A77" s="294"/>
      <c r="B77" s="294" t="s">
        <v>567</v>
      </c>
      <c r="C77" s="294"/>
      <c r="D77" s="294"/>
      <c r="E77" s="294"/>
      <c r="F77" s="294"/>
      <c r="G77" s="295">
        <f>-ESF_ERI_PYMES!H48</f>
        <v>-2032192</v>
      </c>
      <c r="H77" s="294"/>
      <c r="I77" s="294"/>
      <c r="J77" s="294" t="s">
        <v>567</v>
      </c>
      <c r="K77" s="294"/>
      <c r="L77" s="294"/>
      <c r="M77" s="294"/>
      <c r="N77" s="294"/>
      <c r="O77" s="295">
        <f>-ESF_ERI_PYMES!G48</f>
        <v>-2249738</v>
      </c>
      <c r="R77" s="294"/>
      <c r="S77" s="294" t="s">
        <v>567</v>
      </c>
      <c r="T77" s="294"/>
      <c r="U77" s="294"/>
      <c r="V77" s="294"/>
      <c r="W77" s="294"/>
      <c r="X77" s="295">
        <f>-ESF_ERI_PYMES!F48</f>
        <v>-2143066</v>
      </c>
    </row>
    <row r="78" spans="1:24" s="300" customFormat="1">
      <c r="A78" s="299"/>
      <c r="B78" s="299" t="s">
        <v>568</v>
      </c>
      <c r="C78" s="299"/>
      <c r="D78" s="299"/>
      <c r="E78" s="299"/>
      <c r="F78" s="299"/>
      <c r="G78" s="300">
        <f>ROUND(-SUM('HW PYMES'!E100:E102)/1000,0)</f>
        <v>195515</v>
      </c>
      <c r="H78" s="299"/>
      <c r="I78" s="299"/>
      <c r="J78" s="299" t="s">
        <v>568</v>
      </c>
      <c r="K78" s="299"/>
      <c r="L78" s="299"/>
      <c r="M78" s="299"/>
      <c r="N78" s="299"/>
      <c r="O78" s="300">
        <f>ROUND(-SUM('HW PYMES'!I100:I102)/1000,0)</f>
        <v>20640</v>
      </c>
      <c r="R78" s="299"/>
      <c r="S78" s="299" t="s">
        <v>568</v>
      </c>
      <c r="T78" s="299"/>
      <c r="U78" s="299"/>
      <c r="V78" s="299"/>
      <c r="W78" s="299"/>
      <c r="X78" s="300">
        <f>ROUND(-SUM('HW PYMES'!M100:M102)/1000,0)</f>
        <v>103439</v>
      </c>
    </row>
    <row r="79" spans="1:24" s="300" customFormat="1">
      <c r="A79" s="299"/>
      <c r="B79" s="299" t="s">
        <v>569</v>
      </c>
      <c r="C79" s="299"/>
      <c r="D79" s="299"/>
      <c r="E79" s="299"/>
      <c r="F79" s="299"/>
      <c r="G79" s="300">
        <f>ROUND(-SUM('HW PYMES'!E178:E183)/1000,0)</f>
        <v>-106187</v>
      </c>
      <c r="H79" s="299"/>
      <c r="I79" s="299"/>
      <c r="J79" s="299" t="s">
        <v>569</v>
      </c>
      <c r="K79" s="299"/>
      <c r="L79" s="299"/>
      <c r="M79" s="299"/>
      <c r="N79" s="299"/>
      <c r="O79" s="300">
        <f>ROUND(-SUM('HW PYMES'!I178:I183)/1000,0)</f>
        <v>-132228</v>
      </c>
      <c r="R79" s="299"/>
      <c r="S79" s="299" t="s">
        <v>569</v>
      </c>
      <c r="T79" s="299"/>
      <c r="U79" s="299"/>
      <c r="V79" s="299"/>
      <c r="W79" s="299"/>
      <c r="X79" s="300">
        <f>ROUND(-SUM('HW PYMES'!M178:M183)/1000,0)+1</f>
        <v>-58486</v>
      </c>
    </row>
    <row r="80" spans="1:24" s="295" customFormat="1">
      <c r="A80" s="294"/>
      <c r="B80" s="294" t="s">
        <v>570</v>
      </c>
      <c r="C80" s="294"/>
      <c r="D80" s="294"/>
      <c r="E80" s="294"/>
      <c r="F80" s="294"/>
      <c r="G80" s="295">
        <f>SUM(G78:G79)</f>
        <v>89328</v>
      </c>
      <c r="H80" s="294"/>
      <c r="I80" s="294"/>
      <c r="J80" s="294" t="s">
        <v>570</v>
      </c>
      <c r="K80" s="294"/>
      <c r="L80" s="294"/>
      <c r="M80" s="294"/>
      <c r="N80" s="294"/>
      <c r="O80" s="295">
        <f>SUM(O78:O79)</f>
        <v>-111588</v>
      </c>
      <c r="R80" s="294"/>
      <c r="S80" s="294" t="s">
        <v>570</v>
      </c>
      <c r="T80" s="294"/>
      <c r="U80" s="294"/>
      <c r="V80" s="294"/>
      <c r="W80" s="294"/>
      <c r="X80" s="295">
        <f>SUM(X78:X79)</f>
        <v>44953</v>
      </c>
    </row>
    <row r="82" spans="1:24" s="295" customFormat="1">
      <c r="A82" s="294"/>
      <c r="B82" s="294" t="s">
        <v>571</v>
      </c>
      <c r="C82" s="294"/>
      <c r="D82" s="294"/>
      <c r="E82" s="294"/>
      <c r="F82" s="294"/>
      <c r="G82" s="297">
        <f>SUM(G75,G77,G80)</f>
        <v>-1563450</v>
      </c>
      <c r="H82" s="294"/>
      <c r="I82" s="294"/>
      <c r="J82" s="294" t="s">
        <v>571</v>
      </c>
      <c r="K82" s="294"/>
      <c r="L82" s="294"/>
      <c r="M82" s="294"/>
      <c r="N82" s="294"/>
      <c r="O82" s="297">
        <f>SUM(O75,O77,O80)</f>
        <v>-1645256</v>
      </c>
      <c r="R82" s="294"/>
      <c r="S82" s="294" t="s">
        <v>571</v>
      </c>
      <c r="T82" s="294"/>
      <c r="U82" s="294"/>
      <c r="V82" s="294"/>
      <c r="W82" s="294"/>
      <c r="X82" s="297">
        <f>SUM(X75,X77,X80)</f>
        <v>1394459</v>
      </c>
    </row>
    <row r="84" spans="1:24" s="300" customFormat="1">
      <c r="A84" s="299"/>
      <c r="B84" s="299" t="s">
        <v>572</v>
      </c>
      <c r="C84" s="299"/>
      <c r="D84" s="299"/>
      <c r="E84" s="299"/>
      <c r="F84" s="299"/>
      <c r="G84" s="300">
        <f>-ROUND(SUM('HW PYMES'!E97)/1000,0)</f>
        <v>0</v>
      </c>
      <c r="I84" s="299"/>
      <c r="J84" s="299" t="s">
        <v>572</v>
      </c>
      <c r="K84" s="299"/>
      <c r="L84" s="299"/>
      <c r="M84" s="299"/>
      <c r="N84" s="299"/>
      <c r="O84" s="300">
        <f>-ROUND(SUM('HW PYMES'!I97)/1000,0)</f>
        <v>2005</v>
      </c>
      <c r="R84" s="299"/>
      <c r="S84" s="299" t="s">
        <v>572</v>
      </c>
      <c r="T84" s="299"/>
      <c r="U84" s="299"/>
      <c r="V84" s="299"/>
      <c r="W84" s="299"/>
      <c r="X84" s="300">
        <f>-ROUND(SUM('HW PYMES'!M97)/1000,0)</f>
        <v>14202</v>
      </c>
    </row>
    <row r="85" spans="1:24" s="300" customFormat="1">
      <c r="A85" s="299"/>
      <c r="B85" s="299" t="s">
        <v>573</v>
      </c>
      <c r="C85" s="299"/>
      <c r="D85" s="299"/>
      <c r="E85" s="299"/>
      <c r="F85" s="299"/>
      <c r="G85" s="300">
        <f>-ROUND(SUM('HW PYMES'!E173:E176)/1000,0)</f>
        <v>-760182</v>
      </c>
      <c r="I85" s="299"/>
      <c r="J85" s="299" t="s">
        <v>573</v>
      </c>
      <c r="K85" s="299"/>
      <c r="L85" s="299"/>
      <c r="M85" s="299"/>
      <c r="N85" s="299"/>
      <c r="O85" s="300">
        <f>-ROUND(SUM('HW PYMES'!I173:I176)/1000,0)</f>
        <v>-729418</v>
      </c>
      <c r="R85" s="299"/>
      <c r="S85" s="299" t="s">
        <v>573</v>
      </c>
      <c r="T85" s="299"/>
      <c r="U85" s="299"/>
      <c r="V85" s="299"/>
      <c r="W85" s="299"/>
      <c r="X85" s="300">
        <f>-ROUND(SUM('HW PYMES'!M173:M176)/1000,0)</f>
        <v>-777003</v>
      </c>
    </row>
    <row r="86" spans="1:24" s="295" customFormat="1">
      <c r="A86" s="294"/>
      <c r="B86" s="294" t="s">
        <v>574</v>
      </c>
      <c r="C86" s="294"/>
      <c r="D86" s="294"/>
      <c r="E86" s="294"/>
      <c r="F86" s="294"/>
      <c r="G86" s="295">
        <f>SUM(G84:G85)</f>
        <v>-760182</v>
      </c>
      <c r="H86" s="294"/>
      <c r="I86" s="294"/>
      <c r="J86" s="294" t="s">
        <v>574</v>
      </c>
      <c r="K86" s="294"/>
      <c r="L86" s="294"/>
      <c r="M86" s="294"/>
      <c r="N86" s="294"/>
      <c r="O86" s="295">
        <f>SUM(O84:O85)</f>
        <v>-727413</v>
      </c>
      <c r="R86" s="294"/>
      <c r="S86" s="294" t="s">
        <v>574</v>
      </c>
      <c r="T86" s="294"/>
      <c r="U86" s="294"/>
      <c r="V86" s="294"/>
      <c r="W86" s="294"/>
      <c r="X86" s="295">
        <f>SUM(X84:X85)</f>
        <v>-762801</v>
      </c>
    </row>
    <row r="87" spans="1:24" s="295" customFormat="1">
      <c r="A87" s="294"/>
      <c r="B87" s="294" t="s">
        <v>150</v>
      </c>
      <c r="C87" s="294"/>
      <c r="D87" s="294"/>
      <c r="E87" s="294"/>
      <c r="F87" s="294"/>
      <c r="G87" s="295">
        <f>-ESF_ERI_PYMES!H54-1</f>
        <v>-120627</v>
      </c>
      <c r="H87" s="294"/>
      <c r="I87" s="294"/>
      <c r="J87" s="294" t="s">
        <v>150</v>
      </c>
      <c r="K87" s="294"/>
      <c r="L87" s="294"/>
      <c r="M87" s="294"/>
      <c r="N87" s="294"/>
      <c r="O87" s="295">
        <f>-ESF_ERI_PYMES!G54</f>
        <v>31927</v>
      </c>
      <c r="R87" s="294"/>
      <c r="S87" s="294" t="s">
        <v>150</v>
      </c>
      <c r="T87" s="294"/>
      <c r="U87" s="294"/>
      <c r="V87" s="294"/>
      <c r="W87" s="294"/>
      <c r="X87" s="295">
        <f>-ESF_ERI_PYMES!F54</f>
        <v>-122963</v>
      </c>
    </row>
    <row r="89" spans="1:24" s="295" customFormat="1">
      <c r="A89" s="294"/>
      <c r="B89" s="294" t="s">
        <v>575</v>
      </c>
      <c r="C89" s="294"/>
      <c r="D89" s="294"/>
      <c r="E89" s="294"/>
      <c r="F89" s="294"/>
      <c r="G89" s="297">
        <f>SUM(G82,G86:G87)</f>
        <v>-2444259</v>
      </c>
      <c r="H89" s="294"/>
      <c r="I89" s="294"/>
      <c r="J89" s="294" t="s">
        <v>575</v>
      </c>
      <c r="K89" s="294"/>
      <c r="L89" s="294"/>
      <c r="M89" s="294"/>
      <c r="N89" s="294"/>
      <c r="O89" s="297">
        <f>SUM(O82,O86:O87)</f>
        <v>-2340742</v>
      </c>
      <c r="R89" s="294"/>
      <c r="S89" s="294" t="s">
        <v>575</v>
      </c>
      <c r="T89" s="294"/>
      <c r="U89" s="294"/>
      <c r="V89" s="294"/>
      <c r="W89" s="294"/>
      <c r="X89" s="297">
        <f>SUM(X82,X86:X87)</f>
        <v>508695</v>
      </c>
    </row>
    <row r="91" spans="1:24" s="295" customFormat="1">
      <c r="A91" s="294"/>
      <c r="B91" s="294" t="s">
        <v>151</v>
      </c>
      <c r="C91" s="294"/>
      <c r="D91" s="294"/>
      <c r="E91" s="294"/>
      <c r="F91" s="294"/>
      <c r="G91" s="295">
        <f>-ESF_ERI_PYMES!H56</f>
        <v>-154142</v>
      </c>
      <c r="H91" s="294"/>
      <c r="I91" s="294"/>
      <c r="J91" s="294" t="s">
        <v>151</v>
      </c>
      <c r="K91" s="294"/>
      <c r="L91" s="294"/>
      <c r="M91" s="294"/>
      <c r="N91" s="294"/>
      <c r="O91" s="295">
        <f>-ESF_ERI_PYMES!G56</f>
        <v>-72817</v>
      </c>
      <c r="R91" s="294"/>
      <c r="S91" s="294" t="s">
        <v>151</v>
      </c>
      <c r="T91" s="294"/>
      <c r="U91" s="294"/>
      <c r="V91" s="294"/>
      <c r="W91" s="294"/>
      <c r="X91" s="295">
        <f>-ESF_ERI_PYMES!F56</f>
        <v>-25329</v>
      </c>
    </row>
    <row r="93" spans="1:24" s="295" customFormat="1">
      <c r="A93" s="294"/>
      <c r="B93" s="296" t="s">
        <v>617</v>
      </c>
      <c r="C93" s="294"/>
      <c r="D93" s="294"/>
      <c r="E93" s="294"/>
      <c r="F93" s="294"/>
      <c r="G93" s="297">
        <f>G89+G91</f>
        <v>-2598401</v>
      </c>
      <c r="I93" s="294"/>
      <c r="J93" s="296" t="s">
        <v>617</v>
      </c>
      <c r="K93" s="294"/>
      <c r="L93" s="294"/>
      <c r="M93" s="294"/>
      <c r="N93" s="294"/>
      <c r="O93" s="297">
        <f>O89+O91</f>
        <v>-2413559</v>
      </c>
      <c r="R93" s="294"/>
      <c r="S93" s="296" t="s">
        <v>746</v>
      </c>
      <c r="T93" s="294"/>
      <c r="U93" s="294"/>
      <c r="V93" s="294"/>
      <c r="W93" s="294"/>
      <c r="X93" s="297">
        <f>X89+X91</f>
        <v>483366</v>
      </c>
    </row>
    <row r="95" spans="1:24" s="295" customFormat="1">
      <c r="A95" s="294"/>
      <c r="B95" s="294"/>
      <c r="C95" s="294"/>
      <c r="D95" s="294"/>
      <c r="E95" s="294"/>
      <c r="F95" s="294"/>
      <c r="H95" s="294"/>
      <c r="I95" s="294"/>
      <c r="J95" s="294"/>
      <c r="K95" s="294"/>
      <c r="L95" s="294"/>
      <c r="M95" s="294"/>
      <c r="N95" s="299" t="s">
        <v>206</v>
      </c>
      <c r="O95" s="300">
        <f>O57-G57-O93</f>
        <v>0</v>
      </c>
      <c r="R95" s="294"/>
      <c r="S95" s="294"/>
      <c r="T95" s="294"/>
      <c r="U95" s="294"/>
      <c r="V95" s="294"/>
      <c r="W95" s="299" t="s">
        <v>206</v>
      </c>
      <c r="X95" s="300">
        <f>X57-O57-X93</f>
        <v>0</v>
      </c>
    </row>
    <row r="97" spans="1:24" s="295" customFormat="1" ht="12.75">
      <c r="A97" s="294"/>
      <c r="B97" s="294"/>
      <c r="C97" s="294"/>
      <c r="D97" s="294"/>
      <c r="E97" s="294"/>
      <c r="G97" s="294"/>
      <c r="H97" s="294"/>
      <c r="I97" s="294"/>
      <c r="J97" s="293" t="s">
        <v>910</v>
      </c>
      <c r="K97" s="294"/>
      <c r="L97" s="294"/>
      <c r="M97" s="294"/>
      <c r="O97" s="294"/>
      <c r="R97" s="294"/>
      <c r="S97" s="294"/>
      <c r="T97" s="294"/>
      <c r="U97" s="294"/>
      <c r="V97" s="294"/>
      <c r="X97" s="294"/>
    </row>
    <row r="98" spans="1:24" s="295" customFormat="1">
      <c r="A98" s="294"/>
      <c r="B98" s="294"/>
      <c r="C98" s="294"/>
      <c r="D98" s="294"/>
      <c r="E98" s="294"/>
      <c r="G98" s="294"/>
      <c r="H98" s="294"/>
      <c r="I98" s="294"/>
      <c r="J98" s="296" t="s">
        <v>576</v>
      </c>
      <c r="K98" s="294"/>
      <c r="L98" s="294"/>
      <c r="M98" s="294"/>
      <c r="O98" s="294"/>
      <c r="R98" s="294"/>
      <c r="S98" s="294"/>
      <c r="T98" s="294"/>
      <c r="U98" s="294"/>
      <c r="V98" s="294"/>
      <c r="X98" s="294"/>
    </row>
    <row r="99" spans="1:24" s="295" customFormat="1">
      <c r="A99" s="294"/>
      <c r="B99" s="294"/>
      <c r="C99" s="294"/>
      <c r="D99" s="294"/>
      <c r="E99" s="294"/>
      <c r="G99" s="294"/>
      <c r="H99" s="294"/>
      <c r="I99" s="294"/>
      <c r="J99" s="296" t="s">
        <v>543</v>
      </c>
      <c r="K99" s="294"/>
      <c r="L99" s="294"/>
      <c r="M99" s="294"/>
      <c r="O99" s="294"/>
      <c r="R99" s="294"/>
      <c r="S99" s="294"/>
      <c r="T99" s="294"/>
      <c r="U99" s="294"/>
      <c r="V99" s="294"/>
      <c r="X99" s="294"/>
    </row>
    <row r="100" spans="1:24" s="295" customFormat="1">
      <c r="A100" s="294"/>
      <c r="B100" s="294"/>
      <c r="C100" s="294"/>
      <c r="D100" s="294"/>
      <c r="E100" s="294"/>
      <c r="G100" s="294"/>
      <c r="H100" s="294"/>
      <c r="I100" s="294"/>
      <c r="J100" s="294"/>
      <c r="K100" s="294"/>
      <c r="L100" s="294"/>
      <c r="M100" s="294"/>
      <c r="O100" s="294"/>
      <c r="R100" s="294"/>
      <c r="S100" s="294"/>
      <c r="T100" s="294"/>
      <c r="U100" s="294"/>
      <c r="V100" s="294"/>
      <c r="X100" s="294"/>
    </row>
    <row r="101" spans="1:24" s="295" customFormat="1" ht="45">
      <c r="A101" s="294"/>
      <c r="B101" s="294"/>
      <c r="C101" s="294"/>
      <c r="D101" s="294"/>
      <c r="E101" s="294"/>
      <c r="G101" s="294"/>
      <c r="H101" s="294"/>
      <c r="I101" s="294"/>
      <c r="J101" s="294"/>
      <c r="K101" s="301" t="s">
        <v>141</v>
      </c>
      <c r="L101" s="302" t="s">
        <v>577</v>
      </c>
      <c r="M101" s="302" t="s">
        <v>142</v>
      </c>
      <c r="N101" s="302" t="s">
        <v>518</v>
      </c>
      <c r="R101" s="294"/>
      <c r="S101" s="294"/>
      <c r="T101" s="294"/>
      <c r="U101" s="294"/>
      <c r="V101" s="294"/>
      <c r="X101" s="294"/>
    </row>
    <row r="102" spans="1:24" s="295" customFormat="1">
      <c r="A102" s="294"/>
      <c r="B102" s="294"/>
      <c r="C102" s="294"/>
      <c r="D102" s="294"/>
      <c r="E102" s="294"/>
      <c r="G102" s="294"/>
      <c r="H102" s="294"/>
      <c r="I102" s="294"/>
      <c r="J102" s="294"/>
      <c r="K102" s="294"/>
      <c r="L102" s="294"/>
      <c r="N102" s="294"/>
      <c r="R102" s="294"/>
      <c r="S102" s="294"/>
      <c r="T102" s="294"/>
      <c r="U102" s="294"/>
      <c r="V102" s="294"/>
      <c r="X102" s="294"/>
    </row>
    <row r="103" spans="1:24" s="295" customFormat="1">
      <c r="A103" s="294"/>
      <c r="B103" s="294"/>
      <c r="C103" s="294"/>
      <c r="D103" s="294"/>
      <c r="E103" s="294"/>
      <c r="G103" s="294"/>
      <c r="H103" s="294"/>
      <c r="I103" s="294"/>
      <c r="J103" s="296" t="s">
        <v>613</v>
      </c>
      <c r="K103" s="295">
        <f>G55</f>
        <v>27116625</v>
      </c>
      <c r="L103" s="295">
        <f>G56</f>
        <v>1692516</v>
      </c>
      <c r="M103" s="295">
        <f>SUM(G57:G58)</f>
        <v>-8908115</v>
      </c>
      <c r="N103" s="303">
        <f t="shared" ref="N103:N107" si="0">SUM(K103:M103)</f>
        <v>19901026</v>
      </c>
      <c r="O103" s="295">
        <f>N103-G60</f>
        <v>0</v>
      </c>
      <c r="R103" s="294"/>
      <c r="S103" s="294"/>
      <c r="T103" s="294"/>
      <c r="U103" s="294"/>
      <c r="V103" s="294"/>
      <c r="X103" s="294"/>
    </row>
    <row r="104" spans="1:24" s="295" customFormat="1">
      <c r="A104" s="294"/>
      <c r="B104" s="294"/>
      <c r="C104" s="294"/>
      <c r="D104" s="294"/>
      <c r="E104" s="294"/>
      <c r="G104" s="294"/>
      <c r="H104" s="294"/>
      <c r="I104" s="294"/>
      <c r="J104" s="304" t="s">
        <v>578</v>
      </c>
      <c r="K104" s="295">
        <f>-L104</f>
        <v>1692334</v>
      </c>
      <c r="L104" s="295">
        <f>L107-L103</f>
        <v>-1692334</v>
      </c>
      <c r="N104" s="295">
        <f t="shared" si="0"/>
        <v>0</v>
      </c>
      <c r="R104" s="294"/>
      <c r="S104" s="294"/>
      <c r="T104" s="294"/>
      <c r="U104" s="294"/>
      <c r="V104" s="294"/>
      <c r="X104" s="294"/>
    </row>
    <row r="105" spans="1:24" s="295" customFormat="1">
      <c r="A105" s="294"/>
      <c r="B105" s="294"/>
      <c r="C105" s="294"/>
      <c r="D105" s="294"/>
      <c r="E105" s="294"/>
      <c r="G105" s="294"/>
      <c r="H105" s="294"/>
      <c r="I105" s="294"/>
      <c r="J105" s="304" t="s">
        <v>579</v>
      </c>
      <c r="K105" s="295">
        <f>K107-K104-K103</f>
        <v>3672800</v>
      </c>
      <c r="N105" s="295">
        <f t="shared" si="0"/>
        <v>3672800</v>
      </c>
      <c r="R105" s="294"/>
      <c r="S105" s="294"/>
      <c r="T105" s="294"/>
      <c r="U105" s="294"/>
      <c r="V105" s="294"/>
      <c r="X105" s="294"/>
    </row>
    <row r="106" spans="1:24" s="295" customFormat="1">
      <c r="A106" s="294"/>
      <c r="B106" s="294"/>
      <c r="C106" s="294"/>
      <c r="D106" s="294"/>
      <c r="E106" s="294"/>
      <c r="G106" s="294"/>
      <c r="H106" s="294"/>
      <c r="I106" s="294"/>
      <c r="J106" s="304" t="s">
        <v>580</v>
      </c>
      <c r="K106" s="294"/>
      <c r="L106" s="294"/>
      <c r="M106" s="295">
        <f>M107-M103</f>
        <v>-2413559</v>
      </c>
      <c r="N106" s="295">
        <f t="shared" si="0"/>
        <v>-2413559</v>
      </c>
      <c r="O106" s="295">
        <f>M106-O93</f>
        <v>0</v>
      </c>
      <c r="R106" s="294"/>
      <c r="S106" s="294"/>
      <c r="T106" s="294"/>
      <c r="U106" s="294"/>
      <c r="V106" s="294"/>
      <c r="X106" s="294"/>
    </row>
    <row r="107" spans="1:24" s="295" customFormat="1">
      <c r="A107" s="294"/>
      <c r="B107" s="294"/>
      <c r="C107" s="294"/>
      <c r="D107" s="294"/>
      <c r="E107" s="294"/>
      <c r="G107" s="294"/>
      <c r="H107" s="294"/>
      <c r="I107" s="294"/>
      <c r="J107" s="296" t="s">
        <v>745</v>
      </c>
      <c r="K107" s="295">
        <f>O55</f>
        <v>32481759</v>
      </c>
      <c r="L107" s="295">
        <f>O56</f>
        <v>182</v>
      </c>
      <c r="M107" s="295">
        <f>SUM(O57:O58)</f>
        <v>-11321674</v>
      </c>
      <c r="N107" s="303">
        <f t="shared" si="0"/>
        <v>21160267</v>
      </c>
      <c r="O107" s="295">
        <f>N107-O60</f>
        <v>0</v>
      </c>
      <c r="R107" s="294"/>
      <c r="S107" s="294"/>
      <c r="T107" s="294"/>
      <c r="U107" s="294"/>
      <c r="V107" s="294"/>
      <c r="X107" s="294"/>
    </row>
    <row r="108" spans="1:24" s="295" customFormat="1">
      <c r="A108" s="294"/>
      <c r="B108" s="294"/>
      <c r="C108" s="294"/>
      <c r="D108" s="294"/>
      <c r="E108" s="294"/>
      <c r="G108" s="294"/>
      <c r="H108" s="294"/>
      <c r="I108" s="294"/>
      <c r="J108" s="304" t="s">
        <v>578</v>
      </c>
      <c r="N108" s="295">
        <f t="shared" ref="N108:N110" si="1">SUM(K108:M108)</f>
        <v>0</v>
      </c>
      <c r="R108" s="294"/>
      <c r="S108" s="294"/>
      <c r="T108" s="294"/>
      <c r="U108" s="294"/>
      <c r="V108" s="294"/>
      <c r="X108" s="294"/>
    </row>
    <row r="109" spans="1:24" s="295" customFormat="1">
      <c r="A109" s="294"/>
      <c r="B109" s="294"/>
      <c r="C109" s="294"/>
      <c r="D109" s="294"/>
      <c r="E109" s="294"/>
      <c r="G109" s="294"/>
      <c r="H109" s="294"/>
      <c r="I109" s="294"/>
      <c r="J109" s="304" t="s">
        <v>579</v>
      </c>
      <c r="N109" s="295">
        <f t="shared" si="1"/>
        <v>0</v>
      </c>
      <c r="R109" s="294"/>
      <c r="S109" s="294"/>
      <c r="T109" s="294"/>
      <c r="U109" s="294"/>
      <c r="V109" s="294"/>
      <c r="X109" s="294"/>
    </row>
    <row r="110" spans="1:24" s="295" customFormat="1">
      <c r="A110" s="294"/>
      <c r="B110" s="294"/>
      <c r="C110" s="294"/>
      <c r="D110" s="294"/>
      <c r="E110" s="294"/>
      <c r="G110" s="294"/>
      <c r="H110" s="294"/>
      <c r="I110" s="294"/>
      <c r="J110" s="304" t="s">
        <v>580</v>
      </c>
      <c r="K110" s="294"/>
      <c r="L110" s="294"/>
      <c r="M110" s="295">
        <f>M111-M107</f>
        <v>483366</v>
      </c>
      <c r="N110" s="295">
        <f t="shared" si="1"/>
        <v>483366</v>
      </c>
      <c r="O110" s="295">
        <f>M110-X93</f>
        <v>0</v>
      </c>
      <c r="R110" s="294"/>
      <c r="S110" s="294"/>
      <c r="T110" s="294"/>
      <c r="U110" s="294"/>
      <c r="V110" s="294"/>
      <c r="X110" s="294"/>
    </row>
    <row r="111" spans="1:24" s="295" customFormat="1">
      <c r="A111" s="294"/>
      <c r="B111" s="294"/>
      <c r="C111" s="294"/>
      <c r="D111" s="294"/>
      <c r="E111" s="294"/>
      <c r="G111" s="294"/>
      <c r="H111" s="294"/>
      <c r="I111" s="294"/>
      <c r="J111" s="296" t="s">
        <v>1039</v>
      </c>
      <c r="K111" s="295">
        <f>X55</f>
        <v>32481759</v>
      </c>
      <c r="L111" s="295">
        <f>X56</f>
        <v>182</v>
      </c>
      <c r="M111" s="295">
        <f>SUM(X57:X58)</f>
        <v>-10838308</v>
      </c>
      <c r="N111" s="303">
        <f>SUM(K111:M111)</f>
        <v>21643633</v>
      </c>
      <c r="O111" s="295">
        <f>N111-X60</f>
        <v>0</v>
      </c>
      <c r="R111" s="294"/>
      <c r="S111" s="294"/>
      <c r="T111" s="294"/>
      <c r="U111" s="294"/>
      <c r="V111" s="294"/>
      <c r="X111" s="294"/>
    </row>
    <row r="112" spans="1:24">
      <c r="F112" s="295"/>
      <c r="G112" s="294"/>
      <c r="M112" s="295"/>
      <c r="W112" s="295"/>
      <c r="X112" s="294"/>
    </row>
    <row r="113" spans="1:26">
      <c r="F113" s="295"/>
      <c r="G113" s="294"/>
      <c r="K113" s="295">
        <f>K103+K104+K106-K107+K105</f>
        <v>0</v>
      </c>
      <c r="L113" s="295">
        <f t="shared" ref="L113:N113" si="2">L103+L104+L106-L107+L105</f>
        <v>0</v>
      </c>
      <c r="M113" s="295">
        <f t="shared" si="2"/>
        <v>0</v>
      </c>
      <c r="N113" s="295">
        <f t="shared" si="2"/>
        <v>0</v>
      </c>
      <c r="W113" s="295"/>
      <c r="X113" s="294"/>
    </row>
    <row r="114" spans="1:26">
      <c r="A114" s="295"/>
      <c r="I114" s="295"/>
      <c r="K114" s="295">
        <f>K107+K108+K110-K111+K109</f>
        <v>0</v>
      </c>
      <c r="L114" s="295">
        <f>L107+L108+L110-L111+L109</f>
        <v>0</v>
      </c>
      <c r="M114" s="295">
        <f>M107+M108+M110-M111+M109</f>
        <v>0</v>
      </c>
      <c r="N114" s="295">
        <f>N107+N108+N110-N111+N109</f>
        <v>0</v>
      </c>
      <c r="R114" s="295"/>
      <c r="X114" s="294"/>
    </row>
    <row r="115" spans="1:26">
      <c r="A115" s="295"/>
      <c r="I115" s="295"/>
      <c r="O115" s="294"/>
      <c r="R115" s="295"/>
      <c r="X115" s="294"/>
    </row>
    <row r="116" spans="1:26" ht="12.75">
      <c r="A116" s="295"/>
      <c r="J116" s="293" t="s">
        <v>910</v>
      </c>
      <c r="S116" s="293" t="s">
        <v>910</v>
      </c>
    </row>
    <row r="117" spans="1:26" ht="6" customHeight="1">
      <c r="A117" s="295"/>
    </row>
    <row r="118" spans="1:26">
      <c r="A118" s="295"/>
      <c r="J118" s="296" t="s">
        <v>581</v>
      </c>
      <c r="S118" s="296" t="s">
        <v>581</v>
      </c>
    </row>
    <row r="119" spans="1:26">
      <c r="A119" s="295"/>
      <c r="J119" s="296" t="s">
        <v>742</v>
      </c>
      <c r="S119" s="296" t="s">
        <v>1051</v>
      </c>
    </row>
    <row r="120" spans="1:26">
      <c r="A120" s="295"/>
      <c r="J120" s="296" t="s">
        <v>543</v>
      </c>
      <c r="S120" s="296" t="s">
        <v>543</v>
      </c>
    </row>
    <row r="121" spans="1:26" ht="6" customHeight="1">
      <c r="A121" s="295"/>
    </row>
    <row r="122" spans="1:26" s="305" customFormat="1" ht="15.75">
      <c r="A122" s="295"/>
      <c r="B122" s="294"/>
      <c r="C122" s="294"/>
      <c r="D122" s="294"/>
      <c r="E122" s="294"/>
      <c r="F122" s="294"/>
      <c r="G122" s="295"/>
      <c r="H122" s="294"/>
      <c r="I122" s="294"/>
      <c r="P122" s="294"/>
      <c r="Q122" s="294"/>
      <c r="R122" s="294"/>
      <c r="Y122" s="294"/>
      <c r="Z122" s="294"/>
    </row>
    <row r="123" spans="1:26" s="295" customFormat="1">
      <c r="B123" s="294"/>
      <c r="C123" s="294"/>
      <c r="D123" s="294"/>
      <c r="E123" s="294"/>
      <c r="F123" s="294"/>
      <c r="H123" s="294"/>
      <c r="I123" s="296" t="s">
        <v>616</v>
      </c>
      <c r="K123" s="294"/>
      <c r="L123" s="294"/>
      <c r="M123" s="294"/>
      <c r="N123" s="294"/>
      <c r="P123" s="294"/>
      <c r="Q123" s="294"/>
      <c r="R123" s="296" t="s">
        <v>616</v>
      </c>
      <c r="T123" s="294"/>
      <c r="U123" s="294"/>
      <c r="V123" s="294"/>
      <c r="W123" s="294"/>
      <c r="Y123" s="294"/>
      <c r="Z123" s="294"/>
    </row>
    <row r="124" spans="1:26" s="295" customFormat="1">
      <c r="B124" s="294"/>
      <c r="C124" s="294"/>
      <c r="D124" s="294"/>
      <c r="E124" s="294"/>
      <c r="F124" s="294"/>
      <c r="H124" s="294"/>
      <c r="I124" s="294"/>
      <c r="J124" s="294" t="s">
        <v>617</v>
      </c>
      <c r="K124" s="294"/>
      <c r="L124" s="294"/>
      <c r="M124" s="294"/>
      <c r="N124" s="294"/>
      <c r="O124" s="295">
        <f>O93</f>
        <v>-2413559</v>
      </c>
      <c r="P124" s="294"/>
      <c r="Q124" s="294"/>
      <c r="R124" s="294"/>
      <c r="S124" s="294" t="s">
        <v>746</v>
      </c>
      <c r="T124" s="294"/>
      <c r="U124" s="294"/>
      <c r="V124" s="294"/>
      <c r="W124" s="294"/>
      <c r="X124" s="295">
        <f>X93</f>
        <v>483366</v>
      </c>
      <c r="Y124" s="294"/>
      <c r="Z124" s="294"/>
    </row>
    <row r="125" spans="1:26">
      <c r="A125" s="295"/>
      <c r="I125" s="296" t="s">
        <v>618</v>
      </c>
      <c r="R125" s="296" t="s">
        <v>618</v>
      </c>
    </row>
    <row r="126" spans="1:26">
      <c r="A126" s="295"/>
      <c r="J126" s="294" t="s">
        <v>582</v>
      </c>
      <c r="O126" s="295">
        <v>0</v>
      </c>
      <c r="S126" s="294" t="s">
        <v>582</v>
      </c>
      <c r="X126" s="295">
        <v>0</v>
      </c>
    </row>
    <row r="127" spans="1:26">
      <c r="A127" s="295"/>
      <c r="J127" s="294" t="s">
        <v>583</v>
      </c>
      <c r="O127" s="295">
        <f>P33+30771</f>
        <v>41073</v>
      </c>
      <c r="S127" s="294" t="s">
        <v>583</v>
      </c>
      <c r="X127" s="295">
        <f>('Pas Finan'!F64/1000)</f>
        <v>39989.008549999999</v>
      </c>
    </row>
    <row r="128" spans="1:26">
      <c r="A128" s="295"/>
      <c r="J128" s="294" t="s">
        <v>619</v>
      </c>
      <c r="O128" s="295">
        <f>-SUM(PPEQ!J16,PPEQ!N16,PPEQ!Q16)</f>
        <v>1165162</v>
      </c>
      <c r="P128" s="295"/>
      <c r="Q128" s="295"/>
      <c r="S128" s="294" t="s">
        <v>619</v>
      </c>
      <c r="X128" s="295">
        <f>-SUM(PPEQ!J19,PPEQ!N19,PPEQ!Q19)</f>
        <v>1242322</v>
      </c>
      <c r="Y128" s="295"/>
    </row>
    <row r="129" spans="1:24">
      <c r="A129" s="295"/>
      <c r="J129" s="294" t="s">
        <v>620</v>
      </c>
      <c r="O129" s="295">
        <v>0</v>
      </c>
      <c r="S129" s="294" t="s">
        <v>620</v>
      </c>
      <c r="X129" s="295">
        <v>0</v>
      </c>
    </row>
    <row r="130" spans="1:24">
      <c r="A130" s="295"/>
      <c r="J130" s="294" t="s">
        <v>584</v>
      </c>
      <c r="O130" s="295">
        <v>0</v>
      </c>
      <c r="S130" s="294" t="s">
        <v>584</v>
      </c>
      <c r="X130" s="295">
        <v>0</v>
      </c>
    </row>
    <row r="131" spans="1:24">
      <c r="A131" s="295"/>
      <c r="J131" s="294" t="s">
        <v>621</v>
      </c>
      <c r="O131" s="295">
        <v>0</v>
      </c>
      <c r="S131" s="294" t="s">
        <v>621</v>
      </c>
      <c r="X131" s="295">
        <v>0</v>
      </c>
    </row>
    <row r="132" spans="1:24">
      <c r="A132" s="295"/>
      <c r="J132" s="294" t="s">
        <v>585</v>
      </c>
      <c r="O132" s="295">
        <v>0</v>
      </c>
      <c r="S132" s="294" t="s">
        <v>585</v>
      </c>
      <c r="X132" s="295">
        <v>0</v>
      </c>
    </row>
    <row r="133" spans="1:24">
      <c r="A133" s="295"/>
      <c r="J133" s="294" t="s">
        <v>622</v>
      </c>
      <c r="O133" s="295">
        <v>0</v>
      </c>
      <c r="S133" s="294" t="s">
        <v>622</v>
      </c>
      <c r="X133" s="295">
        <v>0</v>
      </c>
    </row>
    <row r="134" spans="1:24">
      <c r="A134" s="295"/>
      <c r="J134" s="294" t="s">
        <v>586</v>
      </c>
      <c r="O134" s="295">
        <v>0</v>
      </c>
      <c r="S134" s="294" t="s">
        <v>586</v>
      </c>
      <c r="X134" s="295">
        <v>0</v>
      </c>
    </row>
    <row r="135" spans="1:24">
      <c r="A135" s="295"/>
      <c r="J135" s="294" t="s">
        <v>587</v>
      </c>
      <c r="O135" s="295">
        <v>0</v>
      </c>
      <c r="S135" s="294" t="s">
        <v>587</v>
      </c>
      <c r="X135" s="295">
        <v>0</v>
      </c>
    </row>
    <row r="136" spans="1:24">
      <c r="A136" s="295"/>
      <c r="J136" s="294" t="s">
        <v>623</v>
      </c>
      <c r="O136" s="295">
        <v>0</v>
      </c>
      <c r="S136" s="294" t="s">
        <v>623</v>
      </c>
      <c r="X136" s="295">
        <v>-2733</v>
      </c>
    </row>
    <row r="137" spans="1:24">
      <c r="A137" s="295"/>
      <c r="J137" s="294" t="s">
        <v>624</v>
      </c>
      <c r="O137" s="295">
        <v>0</v>
      </c>
      <c r="S137" s="294" t="s">
        <v>624</v>
      </c>
      <c r="X137" s="295">
        <v>0</v>
      </c>
    </row>
    <row r="138" spans="1:24">
      <c r="A138" s="295"/>
      <c r="J138" s="294" t="s">
        <v>625</v>
      </c>
      <c r="O138" s="295">
        <v>0</v>
      </c>
      <c r="S138" s="294" t="s">
        <v>625</v>
      </c>
      <c r="X138" s="295">
        <v>0</v>
      </c>
    </row>
    <row r="139" spans="1:24">
      <c r="A139" s="295"/>
      <c r="I139" s="296" t="s">
        <v>651</v>
      </c>
      <c r="R139" s="296" t="s">
        <v>651</v>
      </c>
    </row>
    <row r="140" spans="1:24">
      <c r="A140" s="295"/>
      <c r="J140" s="294" t="s">
        <v>652</v>
      </c>
      <c r="O140" s="295">
        <f>-(O12-G12)</f>
        <v>-1016679</v>
      </c>
      <c r="S140" s="294" t="s">
        <v>652</v>
      </c>
      <c r="X140" s="295">
        <f>-(X12-O12)</f>
        <v>176525</v>
      </c>
    </row>
    <row r="141" spans="1:24">
      <c r="A141" s="295"/>
      <c r="J141" s="294" t="s">
        <v>653</v>
      </c>
      <c r="O141" s="295">
        <f>-(O13-G13)-1</f>
        <v>75350</v>
      </c>
      <c r="S141" s="294" t="s">
        <v>653</v>
      </c>
      <c r="X141" s="295">
        <f>-(X13-O13)</f>
        <v>-43329</v>
      </c>
    </row>
    <row r="142" spans="1:24">
      <c r="A142" s="295"/>
      <c r="J142" s="294" t="s">
        <v>654</v>
      </c>
      <c r="O142" s="295">
        <f>-(O14-G14)+(O37-G37)</f>
        <v>-241492</v>
      </c>
      <c r="S142" s="294" t="s">
        <v>654</v>
      </c>
      <c r="X142" s="295">
        <f>-(X14-O14)+(X37-O37)</f>
        <v>67313</v>
      </c>
    </row>
    <row r="143" spans="1:24">
      <c r="A143" s="295"/>
      <c r="J143" s="294" t="s">
        <v>655</v>
      </c>
      <c r="O143" s="295">
        <f>-(O15-G15)</f>
        <v>545288</v>
      </c>
      <c r="S143" s="294" t="s">
        <v>655</v>
      </c>
      <c r="X143" s="295">
        <f>-(X15-O15)</f>
        <v>-2301209</v>
      </c>
    </row>
    <row r="144" spans="1:24">
      <c r="A144" s="295"/>
      <c r="J144" s="294" t="s">
        <v>656</v>
      </c>
      <c r="O144" s="295">
        <f>O35-G35+O46-G46</f>
        <v>-997846</v>
      </c>
      <c r="S144" s="294" t="s">
        <v>656</v>
      </c>
      <c r="X144" s="295">
        <f>X35-O35+X46-O46</f>
        <v>884294</v>
      </c>
    </row>
    <row r="145" spans="1:24">
      <c r="A145" s="295"/>
      <c r="J145" s="294" t="s">
        <v>657</v>
      </c>
      <c r="O145" s="295">
        <f>O36-G36</f>
        <v>297420</v>
      </c>
      <c r="S145" s="294" t="s">
        <v>657</v>
      </c>
      <c r="X145" s="295">
        <f>X36-O36</f>
        <v>-381405</v>
      </c>
    </row>
    <row r="146" spans="1:24">
      <c r="A146" s="295"/>
      <c r="J146" s="294" t="s">
        <v>658</v>
      </c>
      <c r="O146" s="295">
        <f>O38-G38</f>
        <v>-242357</v>
      </c>
      <c r="S146" s="294" t="s">
        <v>658</v>
      </c>
      <c r="X146" s="295">
        <f>X38-O38</f>
        <v>401978</v>
      </c>
    </row>
    <row r="147" spans="1:24">
      <c r="A147" s="295"/>
      <c r="I147" s="296" t="s">
        <v>626</v>
      </c>
      <c r="O147" s="297">
        <f>SUM(O126:O146)</f>
        <v>-374081</v>
      </c>
      <c r="R147" s="296" t="s">
        <v>626</v>
      </c>
      <c r="X147" s="297">
        <f>SUM(X126:X146)</f>
        <v>83745.008549999911</v>
      </c>
    </row>
    <row r="148" spans="1:24" ht="12" thickBot="1">
      <c r="A148" s="295"/>
      <c r="I148" s="296" t="s">
        <v>627</v>
      </c>
      <c r="O148" s="298">
        <f>SUM(O124,O147)</f>
        <v>-2787640</v>
      </c>
      <c r="R148" s="296" t="s">
        <v>627</v>
      </c>
      <c r="X148" s="298">
        <f>SUM(X124,X147)</f>
        <v>567111.00854999991</v>
      </c>
    </row>
    <row r="149" spans="1:24" ht="12" thickTop="1">
      <c r="A149" s="295"/>
      <c r="J149" s="294" t="s">
        <v>588</v>
      </c>
      <c r="O149" s="295">
        <v>0</v>
      </c>
      <c r="S149" s="294" t="s">
        <v>588</v>
      </c>
      <c r="X149" s="295">
        <v>0</v>
      </c>
    </row>
    <row r="150" spans="1:24">
      <c r="A150" s="295"/>
      <c r="J150" s="294" t="s">
        <v>589</v>
      </c>
      <c r="O150" s="295">
        <v>0</v>
      </c>
      <c r="S150" s="294" t="s">
        <v>589</v>
      </c>
      <c r="X150" s="295">
        <v>0</v>
      </c>
    </row>
    <row r="151" spans="1:24">
      <c r="A151" s="295"/>
      <c r="J151" s="294" t="s">
        <v>590</v>
      </c>
      <c r="O151" s="295">
        <f>-O192</f>
        <v>686302</v>
      </c>
      <c r="S151" s="294" t="s">
        <v>590</v>
      </c>
      <c r="X151" s="295">
        <f>-X192-('Pas Finan'!F64/1000)+Y33+2</f>
        <v>710959.99144999997</v>
      </c>
    </row>
    <row r="152" spans="1:24">
      <c r="A152" s="295"/>
      <c r="J152" s="294" t="s">
        <v>591</v>
      </c>
      <c r="O152" s="295">
        <f>-O84</f>
        <v>-2005</v>
      </c>
      <c r="S152" s="294" t="s">
        <v>591</v>
      </c>
      <c r="X152" s="295">
        <f>-X84</f>
        <v>-14202</v>
      </c>
    </row>
    <row r="153" spans="1:24">
      <c r="A153" s="295"/>
      <c r="J153" s="294" t="s">
        <v>592</v>
      </c>
      <c r="O153" s="295">
        <v>0</v>
      </c>
      <c r="S153" s="294" t="s">
        <v>592</v>
      </c>
      <c r="X153" s="295">
        <v>0</v>
      </c>
    </row>
    <row r="154" spans="1:24">
      <c r="A154" s="295"/>
      <c r="J154" s="294" t="s">
        <v>593</v>
      </c>
      <c r="O154" s="295">
        <v>0</v>
      </c>
      <c r="S154" s="294" t="s">
        <v>593</v>
      </c>
      <c r="X154" s="295">
        <v>0</v>
      </c>
    </row>
    <row r="155" spans="1:24" ht="12" thickBot="1">
      <c r="A155" s="295"/>
      <c r="I155" s="296" t="s">
        <v>628</v>
      </c>
      <c r="O155" s="298">
        <f>SUM(O148:O154)</f>
        <v>-2103343</v>
      </c>
      <c r="R155" s="296" t="s">
        <v>628</v>
      </c>
      <c r="X155" s="298">
        <f>SUM(X148:X154)</f>
        <v>1263869</v>
      </c>
    </row>
    <row r="156" spans="1:24" ht="12" thickTop="1">
      <c r="A156" s="295"/>
      <c r="I156" s="296" t="s">
        <v>629</v>
      </c>
      <c r="R156" s="296" t="s">
        <v>629</v>
      </c>
    </row>
    <row r="157" spans="1:24">
      <c r="A157" s="295"/>
      <c r="J157" s="294" t="s">
        <v>630</v>
      </c>
      <c r="O157" s="295">
        <v>0</v>
      </c>
      <c r="S157" s="294" t="s">
        <v>630</v>
      </c>
      <c r="X157" s="295">
        <v>0</v>
      </c>
    </row>
    <row r="158" spans="1:24">
      <c r="A158" s="295"/>
      <c r="J158" s="294" t="s">
        <v>594</v>
      </c>
      <c r="O158" s="295">
        <v>0</v>
      </c>
      <c r="S158" s="294" t="s">
        <v>594</v>
      </c>
      <c r="X158" s="295">
        <v>0</v>
      </c>
    </row>
    <row r="159" spans="1:24">
      <c r="A159" s="295"/>
      <c r="J159" s="294" t="s">
        <v>595</v>
      </c>
      <c r="O159" s="295">
        <v>0</v>
      </c>
      <c r="S159" s="294" t="s">
        <v>595</v>
      </c>
      <c r="X159" s="295">
        <v>0</v>
      </c>
    </row>
    <row r="160" spans="1:24">
      <c r="A160" s="295"/>
      <c r="J160" s="294" t="s">
        <v>596</v>
      </c>
      <c r="O160" s="295">
        <v>0</v>
      </c>
      <c r="S160" s="294" t="s">
        <v>596</v>
      </c>
      <c r="X160" s="295">
        <v>0</v>
      </c>
    </row>
    <row r="161" spans="1:25">
      <c r="A161" s="295"/>
      <c r="J161" s="294" t="s">
        <v>597</v>
      </c>
      <c r="O161" s="295">
        <v>0</v>
      </c>
      <c r="S161" s="294" t="s">
        <v>597</v>
      </c>
      <c r="X161" s="295">
        <v>0</v>
      </c>
    </row>
    <row r="162" spans="1:25">
      <c r="A162" s="295"/>
      <c r="J162" s="294" t="s">
        <v>598</v>
      </c>
      <c r="O162" s="295">
        <v>0</v>
      </c>
      <c r="S162" s="294" t="s">
        <v>598</v>
      </c>
      <c r="X162" s="295">
        <v>0</v>
      </c>
    </row>
    <row r="163" spans="1:25">
      <c r="A163" s="295"/>
      <c r="J163" s="294" t="s">
        <v>599</v>
      </c>
      <c r="O163" s="295">
        <v>0</v>
      </c>
      <c r="S163" s="294" t="s">
        <v>599</v>
      </c>
      <c r="X163" s="295">
        <v>21392</v>
      </c>
    </row>
    <row r="164" spans="1:25">
      <c r="A164" s="295"/>
      <c r="J164" s="294" t="s">
        <v>600</v>
      </c>
      <c r="O164" s="295">
        <f>-PPEQ!J5</f>
        <v>-954942</v>
      </c>
      <c r="S164" s="294" t="s">
        <v>600</v>
      </c>
      <c r="X164" s="295">
        <f>-PPEQ!J9</f>
        <v>-779604</v>
      </c>
      <c r="Y164" s="295"/>
    </row>
    <row r="165" spans="1:25">
      <c r="A165" s="295"/>
      <c r="J165" s="294" t="s">
        <v>601</v>
      </c>
      <c r="O165" s="295">
        <v>0</v>
      </c>
      <c r="S165" s="294" t="s">
        <v>601</v>
      </c>
      <c r="X165" s="295">
        <v>0</v>
      </c>
    </row>
    <row r="166" spans="1:25">
      <c r="A166" s="295"/>
      <c r="J166" s="294" t="s">
        <v>602</v>
      </c>
      <c r="O166" s="295">
        <f>-SUM(PPEQ!Q5:R5)</f>
        <v>-501072</v>
      </c>
      <c r="S166" s="294" t="s">
        <v>602</v>
      </c>
      <c r="X166" s="295">
        <f>-SUM(PPEQ!Q9:R9)</f>
        <v>-21104</v>
      </c>
    </row>
    <row r="167" spans="1:25">
      <c r="A167" s="295"/>
      <c r="J167" s="294" t="s">
        <v>603</v>
      </c>
      <c r="O167" s="295">
        <v>0</v>
      </c>
      <c r="S167" s="294" t="s">
        <v>603</v>
      </c>
      <c r="X167" s="295">
        <v>0</v>
      </c>
    </row>
    <row r="168" spans="1:25">
      <c r="A168" s="295"/>
      <c r="J168" s="294" t="s">
        <v>604</v>
      </c>
      <c r="O168" s="295">
        <v>0</v>
      </c>
      <c r="S168" s="294" t="s">
        <v>604</v>
      </c>
      <c r="X168" s="295">
        <v>0</v>
      </c>
    </row>
    <row r="169" spans="1:25">
      <c r="A169" s="295"/>
      <c r="J169" s="294" t="s">
        <v>631</v>
      </c>
      <c r="O169" s="295">
        <v>0</v>
      </c>
      <c r="S169" s="294" t="s">
        <v>631</v>
      </c>
      <c r="X169" s="295">
        <v>0</v>
      </c>
    </row>
    <row r="170" spans="1:25">
      <c r="A170" s="295"/>
      <c r="J170" s="294" t="s">
        <v>632</v>
      </c>
      <c r="O170" s="295">
        <v>0</v>
      </c>
      <c r="S170" s="294" t="s">
        <v>632</v>
      </c>
      <c r="X170" s="295">
        <v>0</v>
      </c>
    </row>
    <row r="171" spans="1:25">
      <c r="A171" s="295"/>
      <c r="J171" s="294" t="s">
        <v>633</v>
      </c>
      <c r="O171" s="295">
        <v>0</v>
      </c>
      <c r="S171" s="294" t="s">
        <v>633</v>
      </c>
      <c r="X171" s="295">
        <v>0</v>
      </c>
    </row>
    <row r="172" spans="1:25">
      <c r="A172" s="295"/>
      <c r="J172" s="294" t="s">
        <v>634</v>
      </c>
      <c r="O172" s="295">
        <v>0</v>
      </c>
      <c r="S172" s="294" t="s">
        <v>634</v>
      </c>
      <c r="X172" s="295">
        <v>0</v>
      </c>
    </row>
    <row r="173" spans="1:25">
      <c r="A173" s="295"/>
      <c r="J173" s="294" t="s">
        <v>635</v>
      </c>
      <c r="O173" s="295">
        <v>0</v>
      </c>
      <c r="S173" s="294" t="s">
        <v>635</v>
      </c>
      <c r="X173" s="295">
        <v>0</v>
      </c>
    </row>
    <row r="174" spans="1:25">
      <c r="A174" s="295"/>
      <c r="J174" s="294" t="s">
        <v>589</v>
      </c>
      <c r="O174" s="295">
        <v>0</v>
      </c>
      <c r="S174" s="294" t="s">
        <v>589</v>
      </c>
      <c r="X174" s="295">
        <v>0</v>
      </c>
    </row>
    <row r="175" spans="1:25">
      <c r="A175" s="295"/>
      <c r="J175" s="294" t="s">
        <v>590</v>
      </c>
      <c r="O175" s="295">
        <v>0</v>
      </c>
      <c r="S175" s="294" t="s">
        <v>590</v>
      </c>
      <c r="X175" s="295">
        <v>0</v>
      </c>
    </row>
    <row r="176" spans="1:25">
      <c r="A176" s="295"/>
      <c r="J176" s="294" t="s">
        <v>591</v>
      </c>
      <c r="O176" s="295">
        <f>-O152</f>
        <v>2005</v>
      </c>
      <c r="S176" s="294" t="s">
        <v>591</v>
      </c>
      <c r="X176" s="295">
        <f>-X152</f>
        <v>14202</v>
      </c>
    </row>
    <row r="177" spans="1:24">
      <c r="A177" s="295"/>
      <c r="J177" s="294" t="s">
        <v>592</v>
      </c>
      <c r="O177" s="295">
        <v>0</v>
      </c>
      <c r="S177" s="294" t="s">
        <v>592</v>
      </c>
      <c r="X177" s="295">
        <v>0</v>
      </c>
    </row>
    <row r="178" spans="1:24">
      <c r="A178" s="295"/>
      <c r="J178" s="294" t="s">
        <v>593</v>
      </c>
      <c r="O178" s="295">
        <v>0</v>
      </c>
      <c r="S178" s="294" t="s">
        <v>593</v>
      </c>
      <c r="X178" s="295">
        <v>0</v>
      </c>
    </row>
    <row r="179" spans="1:24" ht="12" thickBot="1">
      <c r="A179" s="295"/>
      <c r="I179" s="296" t="s">
        <v>636</v>
      </c>
      <c r="O179" s="298">
        <f>SUM(O157:O178)</f>
        <v>-1454009</v>
      </c>
      <c r="R179" s="296" t="s">
        <v>636</v>
      </c>
      <c r="X179" s="298">
        <f>SUM(X157:X178)</f>
        <v>-765114</v>
      </c>
    </row>
    <row r="180" spans="1:24" ht="12" thickTop="1">
      <c r="A180" s="295"/>
      <c r="I180" s="296" t="s">
        <v>637</v>
      </c>
      <c r="R180" s="296" t="s">
        <v>637</v>
      </c>
    </row>
    <row r="181" spans="1:24">
      <c r="A181" s="295"/>
      <c r="J181" s="294" t="s">
        <v>638</v>
      </c>
      <c r="O181" s="295">
        <v>0</v>
      </c>
      <c r="S181" s="294" t="s">
        <v>638</v>
      </c>
      <c r="X181" s="295">
        <v>0</v>
      </c>
    </row>
    <row r="182" spans="1:24">
      <c r="A182" s="295"/>
      <c r="J182" s="294" t="s">
        <v>639</v>
      </c>
      <c r="O182" s="295">
        <v>0</v>
      </c>
      <c r="S182" s="294" t="s">
        <v>639</v>
      </c>
      <c r="X182" s="295">
        <v>0</v>
      </c>
    </row>
    <row r="183" spans="1:24">
      <c r="A183" s="295"/>
      <c r="J183" s="294" t="s">
        <v>640</v>
      </c>
      <c r="O183" s="295">
        <f>O55+O56-G55-G56</f>
        <v>3672800</v>
      </c>
      <c r="S183" s="294" t="s">
        <v>640</v>
      </c>
      <c r="X183" s="295">
        <f>X55+X56-O55-O56</f>
        <v>0</v>
      </c>
    </row>
    <row r="184" spans="1:24">
      <c r="A184" s="295"/>
      <c r="J184" s="294" t="s">
        <v>641</v>
      </c>
      <c r="O184" s="295">
        <v>0</v>
      </c>
      <c r="S184" s="294" t="s">
        <v>641</v>
      </c>
      <c r="X184" s="295">
        <v>0</v>
      </c>
    </row>
    <row r="185" spans="1:24">
      <c r="A185" s="295"/>
      <c r="J185" s="294" t="s">
        <v>605</v>
      </c>
      <c r="O185" s="295">
        <v>0</v>
      </c>
      <c r="S185" s="294" t="s">
        <v>605</v>
      </c>
      <c r="X185" s="295">
        <v>0</v>
      </c>
    </row>
    <row r="186" spans="1:24">
      <c r="A186" s="295"/>
      <c r="J186" s="294" t="s">
        <v>606</v>
      </c>
      <c r="O186" s="295">
        <v>0</v>
      </c>
      <c r="S186" s="294" t="s">
        <v>606</v>
      </c>
      <c r="X186" s="295">
        <v>0</v>
      </c>
    </row>
    <row r="187" spans="1:24">
      <c r="A187" s="295"/>
      <c r="J187" s="294" t="s">
        <v>642</v>
      </c>
      <c r="O187" s="295">
        <f>O44-G44</f>
        <v>1300000</v>
      </c>
      <c r="S187" s="294" t="s">
        <v>642</v>
      </c>
      <c r="X187" s="295">
        <f>X44-O44</f>
        <v>0</v>
      </c>
    </row>
    <row r="188" spans="1:24">
      <c r="A188" s="295"/>
      <c r="J188" s="294" t="s">
        <v>643</v>
      </c>
      <c r="O188" s="294">
        <v>0</v>
      </c>
      <c r="S188" s="294" t="s">
        <v>643</v>
      </c>
      <c r="X188" s="294">
        <v>0</v>
      </c>
    </row>
    <row r="189" spans="1:24">
      <c r="A189" s="295"/>
      <c r="J189" s="294" t="s">
        <v>644</v>
      </c>
      <c r="O189" s="295">
        <v>-59006</v>
      </c>
      <c r="S189" s="294" t="s">
        <v>644</v>
      </c>
      <c r="X189" s="295">
        <v>-9540</v>
      </c>
    </row>
    <row r="190" spans="1:24">
      <c r="A190" s="295"/>
      <c r="J190" s="294" t="s">
        <v>631</v>
      </c>
      <c r="O190" s="294">
        <v>0</v>
      </c>
      <c r="S190" s="294" t="s">
        <v>631</v>
      </c>
      <c r="X190" s="294">
        <v>0</v>
      </c>
    </row>
    <row r="191" spans="1:24">
      <c r="A191" s="295"/>
      <c r="J191" s="294" t="s">
        <v>588</v>
      </c>
      <c r="O191" s="295">
        <v>0</v>
      </c>
      <c r="S191" s="294" t="s">
        <v>588</v>
      </c>
      <c r="X191" s="295">
        <v>0</v>
      </c>
    </row>
    <row r="192" spans="1:24">
      <c r="A192" s="295"/>
      <c r="J192" s="294" t="s">
        <v>590</v>
      </c>
      <c r="O192" s="295">
        <v>-686302</v>
      </c>
      <c r="S192" s="294" t="s">
        <v>590</v>
      </c>
      <c r="X192" s="295">
        <f>-773816-494</f>
        <v>-774310</v>
      </c>
    </row>
    <row r="193" spans="1:24">
      <c r="A193" s="295"/>
      <c r="J193" s="294" t="s">
        <v>592</v>
      </c>
      <c r="O193" s="295">
        <v>0</v>
      </c>
      <c r="S193" s="294" t="s">
        <v>592</v>
      </c>
      <c r="X193" s="295">
        <v>0</v>
      </c>
    </row>
    <row r="194" spans="1:24">
      <c r="A194" s="295"/>
      <c r="J194" s="294" t="s">
        <v>593</v>
      </c>
      <c r="O194" s="295">
        <v>0</v>
      </c>
      <c r="S194" s="294" t="s">
        <v>593</v>
      </c>
      <c r="X194" s="295">
        <v>0</v>
      </c>
    </row>
    <row r="195" spans="1:24" ht="12" thickBot="1">
      <c r="A195" s="295"/>
      <c r="I195" s="296" t="s">
        <v>645</v>
      </c>
      <c r="O195" s="298">
        <f>SUM(O181:O194)</f>
        <v>4227492</v>
      </c>
      <c r="R195" s="296" t="s">
        <v>645</v>
      </c>
      <c r="X195" s="298">
        <f>SUM(X181:X194)</f>
        <v>-783850</v>
      </c>
    </row>
    <row r="196" spans="1:24" ht="12" thickTop="1">
      <c r="A196" s="295"/>
      <c r="I196" s="296"/>
      <c r="O196" s="306"/>
      <c r="R196" s="296"/>
      <c r="X196" s="306"/>
    </row>
    <row r="197" spans="1:24" ht="12" thickBot="1">
      <c r="A197" s="295"/>
      <c r="I197" s="296" t="s">
        <v>646</v>
      </c>
      <c r="O197" s="298">
        <f>SUM(O155,O179,O195)</f>
        <v>670140</v>
      </c>
      <c r="R197" s="296" t="s">
        <v>646</v>
      </c>
      <c r="X197" s="298">
        <f>SUM(X155,X179,X195)</f>
        <v>-285095</v>
      </c>
    </row>
    <row r="198" spans="1:24" ht="12" thickTop="1">
      <c r="A198" s="295"/>
      <c r="J198" s="294" t="s">
        <v>647</v>
      </c>
      <c r="O198" s="295">
        <v>0</v>
      </c>
      <c r="S198" s="294" t="s">
        <v>647</v>
      </c>
      <c r="X198" s="295">
        <v>0</v>
      </c>
    </row>
    <row r="199" spans="1:24" ht="12" thickBot="1">
      <c r="A199" s="295"/>
      <c r="I199" s="296" t="s">
        <v>648</v>
      </c>
      <c r="O199" s="298">
        <f>SUM(O197:O198)</f>
        <v>670140</v>
      </c>
      <c r="R199" s="296" t="s">
        <v>648</v>
      </c>
      <c r="X199" s="298">
        <f>SUM(X197:X198)</f>
        <v>-285095</v>
      </c>
    </row>
    <row r="200" spans="1:24" ht="12" thickTop="1">
      <c r="A200" s="295"/>
      <c r="I200" s="294" t="s">
        <v>607</v>
      </c>
      <c r="O200" s="295">
        <f>G11</f>
        <v>437577</v>
      </c>
      <c r="R200" s="294" t="s">
        <v>607</v>
      </c>
      <c r="X200" s="295">
        <f>O11</f>
        <v>1107717</v>
      </c>
    </row>
    <row r="201" spans="1:24">
      <c r="A201" s="295"/>
      <c r="I201" s="294" t="s">
        <v>608</v>
      </c>
      <c r="O201" s="295">
        <f>O11</f>
        <v>1107717</v>
      </c>
      <c r="R201" s="294" t="s">
        <v>608</v>
      </c>
      <c r="X201" s="295">
        <f>X11</f>
        <v>822622</v>
      </c>
    </row>
    <row r="202" spans="1:24">
      <c r="A202" s="295"/>
      <c r="N202" s="299" t="s">
        <v>649</v>
      </c>
      <c r="O202" s="295">
        <f>O201-O200</f>
        <v>670140</v>
      </c>
      <c r="W202" s="299" t="s">
        <v>649</v>
      </c>
      <c r="X202" s="295">
        <f>X201-X200</f>
        <v>-285095</v>
      </c>
    </row>
    <row r="203" spans="1:24">
      <c r="A203" s="295"/>
      <c r="N203" s="299" t="s">
        <v>206</v>
      </c>
      <c r="O203" s="295">
        <f>O202-O199</f>
        <v>0</v>
      </c>
      <c r="W203" s="299" t="s">
        <v>206</v>
      </c>
      <c r="X203" s="295">
        <f>X202-X199</f>
        <v>0</v>
      </c>
    </row>
    <row r="204" spans="1:24">
      <c r="A204" s="295"/>
    </row>
    <row r="205" spans="1:24">
      <c r="A205" s="295"/>
    </row>
    <row r="206" spans="1:24">
      <c r="A206" s="295"/>
    </row>
    <row r="207" spans="1:24">
      <c r="A207" s="295"/>
    </row>
    <row r="208" spans="1:24">
      <c r="A208" s="295"/>
    </row>
    <row r="209" spans="1:1">
      <c r="A209" s="295"/>
    </row>
    <row r="210" spans="1:1">
      <c r="A210" s="295"/>
    </row>
    <row r="211" spans="1:1">
      <c r="A211" s="295"/>
    </row>
    <row r="212" spans="1:1">
      <c r="A212" s="295"/>
    </row>
    <row r="213" spans="1:1">
      <c r="A213" s="295"/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DF8ED-4C13-C34E-9A3C-2A7AC0DB5AE2}">
  <dimension ref="A1:AC87"/>
  <sheetViews>
    <sheetView zoomScaleNormal="100" workbookViewId="0"/>
  </sheetViews>
  <sheetFormatPr baseColWidth="10" defaultColWidth="10.875" defaultRowHeight="15.75"/>
  <cols>
    <col min="1" max="8" width="10.875" style="1"/>
    <col min="9" max="9" width="10.875" style="450"/>
    <col min="10" max="16" width="10.875" style="1"/>
    <col min="17" max="18" width="11.5" style="1" bestFit="1" customWidth="1"/>
    <col min="19" max="21" width="10.875" style="1"/>
    <col min="22" max="22" width="12.5" style="1" bestFit="1" customWidth="1"/>
    <col min="23" max="23" width="12.625" style="1" bestFit="1" customWidth="1"/>
    <col min="24" max="24" width="2.375" style="1" customWidth="1"/>
    <col min="25" max="25" width="12.5" style="1" bestFit="1" customWidth="1"/>
    <col min="26" max="26" width="10.875" style="1"/>
    <col min="27" max="27" width="2.375" style="1" customWidth="1"/>
    <col min="28" max="28" width="12" style="1" bestFit="1" customWidth="1"/>
    <col min="29" max="30" width="10.875" style="1"/>
    <col min="31" max="31" width="11.5" style="1" bestFit="1" customWidth="1"/>
    <col min="32" max="16384" width="10.875" style="1"/>
  </cols>
  <sheetData>
    <row r="1" spans="1:19" s="227" customFormat="1">
      <c r="A1" s="227" t="s">
        <v>910</v>
      </c>
      <c r="I1" s="292"/>
      <c r="L1" s="227" t="s">
        <v>910</v>
      </c>
    </row>
    <row r="2" spans="1:19" s="227" customFormat="1">
      <c r="I2" s="292"/>
    </row>
    <row r="3" spans="1:19" s="227" customFormat="1">
      <c r="A3" s="227" t="s">
        <v>581</v>
      </c>
      <c r="I3" s="292"/>
      <c r="L3" s="227" t="s">
        <v>542</v>
      </c>
    </row>
    <row r="4" spans="1:19" s="227" customFormat="1">
      <c r="A4" s="227" t="s">
        <v>1051</v>
      </c>
      <c r="I4" s="292"/>
      <c r="Q4" s="233">
        <v>2021</v>
      </c>
      <c r="R4" s="233">
        <v>2020</v>
      </c>
      <c r="S4" s="233" t="s">
        <v>1056</v>
      </c>
    </row>
    <row r="5" spans="1:19" s="227" customFormat="1">
      <c r="A5" s="227" t="s">
        <v>543</v>
      </c>
      <c r="I5" s="292"/>
      <c r="L5" s="227" t="s">
        <v>543</v>
      </c>
    </row>
    <row r="6" spans="1:19" s="227" customFormat="1">
      <c r="I6" s="292"/>
    </row>
    <row r="7" spans="1:19">
      <c r="A7" s="227" t="s">
        <v>616</v>
      </c>
      <c r="L7" s="1" t="s">
        <v>544</v>
      </c>
    </row>
    <row r="8" spans="1:19">
      <c r="B8" s="1" t="s">
        <v>746</v>
      </c>
      <c r="I8" s="450">
        <f>-S54</f>
        <v>483366</v>
      </c>
    </row>
    <row r="9" spans="1:19">
      <c r="A9" s="227" t="s">
        <v>618</v>
      </c>
      <c r="L9" s="1" t="s">
        <v>545</v>
      </c>
    </row>
    <row r="10" spans="1:19">
      <c r="B10" s="1" t="s">
        <v>582</v>
      </c>
    </row>
    <row r="11" spans="1:19">
      <c r="B11" s="1" t="s">
        <v>583</v>
      </c>
      <c r="I11" s="450">
        <f>-W38</f>
        <v>39989.008549999999</v>
      </c>
      <c r="L11" s="1" t="s">
        <v>609</v>
      </c>
      <c r="Q11" s="1">
        <f>'EST FIN'!X11</f>
        <v>822622</v>
      </c>
      <c r="R11" s="1">
        <f>'EST FIN'!O11</f>
        <v>1107717</v>
      </c>
      <c r="S11" s="1">
        <f>Q11-R11</f>
        <v>-285095</v>
      </c>
    </row>
    <row r="12" spans="1:19">
      <c r="B12" s="1" t="s">
        <v>619</v>
      </c>
      <c r="I12" s="450">
        <f>-W22-Z22-AC22+W30</f>
        <v>1242322.2291038753</v>
      </c>
      <c r="L12" s="1" t="s">
        <v>610</v>
      </c>
      <c r="Q12" s="1">
        <f>'EST FIN'!X12</f>
        <v>1789358</v>
      </c>
      <c r="R12" s="1">
        <f>'EST FIN'!O12</f>
        <v>1965883</v>
      </c>
      <c r="S12" s="1">
        <f t="shared" ref="S12:S15" si="0">Q12-R12</f>
        <v>-176525</v>
      </c>
    </row>
    <row r="13" spans="1:19">
      <c r="B13" s="1" t="s">
        <v>620</v>
      </c>
      <c r="L13" s="1" t="s">
        <v>129</v>
      </c>
      <c r="Q13" s="1">
        <f>'EST FIN'!X13</f>
        <v>425693</v>
      </c>
      <c r="R13" s="1">
        <f>'EST FIN'!O13</f>
        <v>382364</v>
      </c>
      <c r="S13" s="1">
        <f t="shared" si="0"/>
        <v>43329</v>
      </c>
    </row>
    <row r="14" spans="1:19">
      <c r="B14" s="1" t="s">
        <v>584</v>
      </c>
      <c r="L14" s="1" t="s">
        <v>186</v>
      </c>
      <c r="Q14" s="1">
        <f>'EST FIN'!X14</f>
        <v>295523</v>
      </c>
      <c r="R14" s="1">
        <f>'EST FIN'!O14</f>
        <v>362836</v>
      </c>
      <c r="S14" s="1">
        <f t="shared" si="0"/>
        <v>-67313</v>
      </c>
    </row>
    <row r="15" spans="1:19">
      <c r="B15" s="1" t="s">
        <v>621</v>
      </c>
      <c r="L15" s="1" t="s">
        <v>132</v>
      </c>
      <c r="Q15" s="1">
        <f>'EST FIN'!X15</f>
        <v>3118238</v>
      </c>
      <c r="R15" s="1">
        <f>'EST FIN'!O15</f>
        <v>817029</v>
      </c>
      <c r="S15" s="1">
        <f t="shared" si="0"/>
        <v>2301209</v>
      </c>
    </row>
    <row r="16" spans="1:19">
      <c r="B16" s="1" t="s">
        <v>585</v>
      </c>
    </row>
    <row r="17" spans="1:29">
      <c r="B17" s="1" t="s">
        <v>622</v>
      </c>
      <c r="L17" s="227" t="s">
        <v>546</v>
      </c>
      <c r="M17" s="227"/>
      <c r="N17" s="227"/>
      <c r="O17" s="227"/>
      <c r="P17" s="227"/>
      <c r="Q17" s="227">
        <f>SUM(Q11:Q15)</f>
        <v>6451434</v>
      </c>
      <c r="R17" s="227">
        <f>SUM(R11:R15)</f>
        <v>4635829</v>
      </c>
    </row>
    <row r="18" spans="1:29">
      <c r="B18" s="1" t="s">
        <v>586</v>
      </c>
    </row>
    <row r="19" spans="1:29">
      <c r="B19" s="1" t="s">
        <v>587</v>
      </c>
      <c r="L19" s="1" t="s">
        <v>547</v>
      </c>
    </row>
    <row r="20" spans="1:29">
      <c r="B20" s="1" t="s">
        <v>623</v>
      </c>
      <c r="I20" s="450">
        <f>W31</f>
        <v>-2733</v>
      </c>
      <c r="V20" s="1" t="s">
        <v>133</v>
      </c>
      <c r="Y20" s="1" t="s">
        <v>421</v>
      </c>
      <c r="AB20" s="1" t="s">
        <v>134</v>
      </c>
    </row>
    <row r="21" spans="1:29">
      <c r="B21" s="1" t="s">
        <v>624</v>
      </c>
      <c r="L21" s="1" t="s">
        <v>133</v>
      </c>
      <c r="Q21" s="1">
        <f>'EST FIN'!X21</f>
        <v>29901815</v>
      </c>
      <c r="R21" s="1">
        <f>'EST FIN'!O21</f>
        <v>30348376</v>
      </c>
      <c r="S21" s="1">
        <f t="shared" ref="S21:S23" si="1">Q21-R21</f>
        <v>-446561</v>
      </c>
      <c r="U21" s="454"/>
      <c r="V21" s="227" t="s">
        <v>1057</v>
      </c>
      <c r="W21" s="227">
        <f>R21</f>
        <v>30348376</v>
      </c>
      <c r="X21" s="227"/>
      <c r="Y21" s="227" t="s">
        <v>1057</v>
      </c>
      <c r="Z21" s="227">
        <f>R22</f>
        <v>1208</v>
      </c>
      <c r="AA21" s="227"/>
      <c r="AB21" s="227" t="s">
        <v>1057</v>
      </c>
      <c r="AC21" s="227">
        <f>R23</f>
        <v>508307</v>
      </c>
    </row>
    <row r="22" spans="1:29">
      <c r="B22" s="1" t="s">
        <v>625</v>
      </c>
      <c r="L22" s="1" t="s">
        <v>421</v>
      </c>
      <c r="Q22" s="1">
        <f>'EST FIN'!X22</f>
        <v>0</v>
      </c>
      <c r="R22" s="1">
        <f>'EST FIN'!O22</f>
        <v>1208</v>
      </c>
      <c r="S22" s="1">
        <f t="shared" si="1"/>
        <v>-1208</v>
      </c>
      <c r="V22" s="1" t="s">
        <v>425</v>
      </c>
      <c r="W22" s="1">
        <f>-'P, Pl y Eq 2021'!AG344/1000</f>
        <v>-1206171.733</v>
      </c>
      <c r="Y22" s="1" t="s">
        <v>425</v>
      </c>
      <c r="Z22" s="1">
        <f>-(Arrendam!I65+Arrendam!I66)/1000</f>
        <v>-1207.6061038753435</v>
      </c>
      <c r="AB22" s="1" t="s">
        <v>904</v>
      </c>
      <c r="AC22" s="1">
        <f>-'Int y Dif'!T66/1000</f>
        <v>-33609.89</v>
      </c>
    </row>
    <row r="23" spans="1:29">
      <c r="A23" s="227" t="s">
        <v>651</v>
      </c>
      <c r="L23" s="1" t="s">
        <v>134</v>
      </c>
      <c r="Q23" s="1">
        <f>'EST FIN'!X23</f>
        <v>495801</v>
      </c>
      <c r="R23" s="1">
        <f>'EST FIN'!O23</f>
        <v>508307</v>
      </c>
      <c r="S23" s="1">
        <f t="shared" si="1"/>
        <v>-12506</v>
      </c>
      <c r="V23" s="1" t="s">
        <v>1059</v>
      </c>
      <c r="W23" s="1">
        <f>+'P, Pl y Eq 2021'!AH344/1000</f>
        <v>759611.22571999999</v>
      </c>
      <c r="Y23" s="1" t="s">
        <v>1059</v>
      </c>
      <c r="Z23" s="1">
        <v>0</v>
      </c>
      <c r="AB23" s="1" t="s">
        <v>1059</v>
      </c>
      <c r="AC23" s="1">
        <f>SUM('Int y Dif'!D60:D63)/1000</f>
        <v>21103.8462</v>
      </c>
    </row>
    <row r="24" spans="1:29">
      <c r="B24" s="1" t="s">
        <v>652</v>
      </c>
      <c r="I24" s="450">
        <f>-S12</f>
        <v>176525</v>
      </c>
      <c r="V24" s="227" t="s">
        <v>1058</v>
      </c>
      <c r="W24" s="227">
        <f>Q21</f>
        <v>29901815</v>
      </c>
      <c r="X24" s="227"/>
      <c r="Y24" s="227" t="s">
        <v>1058</v>
      </c>
      <c r="Z24" s="227">
        <f>Q22</f>
        <v>0</v>
      </c>
      <c r="AA24" s="227"/>
      <c r="AB24" s="227" t="s">
        <v>1058</v>
      </c>
      <c r="AC24" s="227">
        <f>Q23</f>
        <v>495801</v>
      </c>
    </row>
    <row r="25" spans="1:29">
      <c r="B25" s="1" t="s">
        <v>653</v>
      </c>
      <c r="I25" s="450">
        <f>-S13</f>
        <v>-43329</v>
      </c>
      <c r="L25" s="227" t="s">
        <v>548</v>
      </c>
      <c r="M25" s="227"/>
      <c r="N25" s="227"/>
      <c r="O25" s="227"/>
      <c r="P25" s="227"/>
      <c r="Q25" s="227">
        <f>SUM(Q21:Q23)</f>
        <v>30397616</v>
      </c>
      <c r="R25" s="227">
        <f>SUM(R21:R23)</f>
        <v>30857891</v>
      </c>
      <c r="W25" s="1">
        <f>SUM(W21:W23)-W24</f>
        <v>0.49272000044584274</v>
      </c>
      <c r="Z25" s="1">
        <f>SUM(Z21:Z23)-Z24</f>
        <v>0.39389612465652135</v>
      </c>
      <c r="AC25" s="1">
        <f>SUM(AC21:AC23)-AC24</f>
        <v>-4.3799999984912574E-2</v>
      </c>
    </row>
    <row r="26" spans="1:29">
      <c r="B26" s="1" t="s">
        <v>654</v>
      </c>
      <c r="I26" s="450">
        <f>-S14</f>
        <v>67313</v>
      </c>
    </row>
    <row r="27" spans="1:29">
      <c r="B27" s="1" t="s">
        <v>655</v>
      </c>
      <c r="I27" s="450">
        <f>-S15</f>
        <v>-2301209</v>
      </c>
      <c r="L27" s="227" t="s">
        <v>549</v>
      </c>
      <c r="M27" s="227"/>
      <c r="N27" s="227"/>
      <c r="O27" s="227"/>
      <c r="P27" s="227"/>
      <c r="Q27" s="227">
        <f>Q17+Q25</f>
        <v>36849050</v>
      </c>
      <c r="R27" s="227">
        <f>R17+R25</f>
        <v>35493720</v>
      </c>
      <c r="V27" s="1" t="s">
        <v>1068</v>
      </c>
    </row>
    <row r="28" spans="1:29">
      <c r="B28" s="1" t="s">
        <v>656</v>
      </c>
      <c r="I28" s="450">
        <f>-S35</f>
        <v>884294</v>
      </c>
      <c r="V28" s="1" t="s">
        <v>1069</v>
      </c>
      <c r="W28" s="1">
        <v>21392</v>
      </c>
    </row>
    <row r="29" spans="1:29">
      <c r="B29" s="1" t="s">
        <v>657</v>
      </c>
      <c r="I29" s="450">
        <f>-S36</f>
        <v>-381405</v>
      </c>
      <c r="L29" s="1" t="s">
        <v>550</v>
      </c>
      <c r="V29" s="1" t="s">
        <v>814</v>
      </c>
      <c r="W29" s="1">
        <v>-19992</v>
      </c>
    </row>
    <row r="30" spans="1:29">
      <c r="B30" s="1" t="s">
        <v>658</v>
      </c>
      <c r="I30" s="450">
        <f>-S37</f>
        <v>401978</v>
      </c>
      <c r="V30" s="1" t="s">
        <v>425</v>
      </c>
      <c r="W30" s="1">
        <v>1333</v>
      </c>
    </row>
    <row r="31" spans="1:29">
      <c r="A31" s="227" t="s">
        <v>626</v>
      </c>
      <c r="I31" s="451">
        <f>SUM(I10:I30)</f>
        <v>83745.237653875258</v>
      </c>
      <c r="L31" s="1" t="s">
        <v>551</v>
      </c>
      <c r="V31" s="1" t="s">
        <v>1070</v>
      </c>
      <c r="W31" s="1">
        <v>-2733</v>
      </c>
    </row>
    <row r="32" spans="1:29" ht="16.5" thickBot="1">
      <c r="A32" s="227" t="s">
        <v>627</v>
      </c>
      <c r="I32" s="452">
        <f>SUM(I8,I31)</f>
        <v>567111.23765387526</v>
      </c>
    </row>
    <row r="33" spans="1:27" ht="16.5" thickTop="1">
      <c r="B33" s="1" t="s">
        <v>588</v>
      </c>
      <c r="L33" s="1" t="s">
        <v>1053</v>
      </c>
      <c r="Q33" s="1">
        <f>-'EST FIN'!X33</f>
        <v>-40392</v>
      </c>
      <c r="R33" s="1">
        <f>-'EST FIN'!O33</f>
        <v>-63755</v>
      </c>
      <c r="S33" s="1">
        <f t="shared" ref="S33:S37" si="2">Q33-R33</f>
        <v>23363</v>
      </c>
      <c r="V33" s="1" t="s">
        <v>136</v>
      </c>
      <c r="Y33" s="1" t="s">
        <v>449</v>
      </c>
    </row>
    <row r="34" spans="1:27">
      <c r="B34" s="1" t="s">
        <v>589</v>
      </c>
      <c r="L34" s="1" t="s">
        <v>449</v>
      </c>
      <c r="Q34" s="1">
        <f>-'EST FIN'!X34</f>
        <v>0</v>
      </c>
      <c r="R34" s="1">
        <f>-'EST FIN'!O34</f>
        <v>-9540</v>
      </c>
      <c r="S34" s="1">
        <f t="shared" si="2"/>
        <v>9540</v>
      </c>
      <c r="V34" s="227" t="s">
        <v>1057</v>
      </c>
      <c r="W34" s="1">
        <f>R33</f>
        <v>-63755</v>
      </c>
      <c r="Y34" s="227" t="s">
        <v>1057</v>
      </c>
      <c r="Z34" s="1">
        <f>R34</f>
        <v>-9540</v>
      </c>
    </row>
    <row r="35" spans="1:27">
      <c r="B35" s="1" t="s">
        <v>590</v>
      </c>
      <c r="I35" s="450">
        <f>-W37-Z37</f>
        <v>710960.4277041693</v>
      </c>
      <c r="L35" s="1" t="s">
        <v>140</v>
      </c>
      <c r="Q35" s="1">
        <f>-'EST FIN'!X35</f>
        <v>-2222593</v>
      </c>
      <c r="R35" s="1">
        <f>-'EST FIN'!O35</f>
        <v>-1338299</v>
      </c>
      <c r="S35" s="1">
        <f t="shared" si="2"/>
        <v>-884294</v>
      </c>
      <c r="V35" s="1" t="s">
        <v>467</v>
      </c>
      <c r="W35" s="1">
        <v>0</v>
      </c>
      <c r="Y35" s="1" t="s">
        <v>467</v>
      </c>
      <c r="Z35" s="1">
        <f>Arrendam!C65/1000</f>
        <v>9539.6502958310575</v>
      </c>
    </row>
    <row r="36" spans="1:27">
      <c r="B36" s="1" t="s">
        <v>591</v>
      </c>
      <c r="I36" s="450">
        <f>-'EST FIN'!X84</f>
        <v>-14202</v>
      </c>
      <c r="L36" s="1" t="s">
        <v>1054</v>
      </c>
      <c r="Q36" s="1">
        <f>-'EST FIN'!X36</f>
        <v>-135782</v>
      </c>
      <c r="R36" s="1">
        <f>-'EST FIN'!O36</f>
        <v>-517187</v>
      </c>
      <c r="S36" s="1">
        <f t="shared" si="2"/>
        <v>381405</v>
      </c>
      <c r="V36" s="1" t="s">
        <v>1065</v>
      </c>
      <c r="W36" s="1">
        <v>773816</v>
      </c>
      <c r="Y36" s="1" t="s">
        <v>1065</v>
      </c>
      <c r="Z36" s="1">
        <f>Arrendam!E65/1000</f>
        <v>496.42770416929187</v>
      </c>
    </row>
    <row r="37" spans="1:27">
      <c r="B37" s="1" t="s">
        <v>592</v>
      </c>
      <c r="L37" s="1" t="s">
        <v>611</v>
      </c>
      <c r="Q37" s="1">
        <f>-'EST FIN'!X38</f>
        <v>-1332132</v>
      </c>
      <c r="R37" s="1">
        <f>-'EST FIN'!O38</f>
        <v>-930154</v>
      </c>
      <c r="S37" s="1">
        <f t="shared" si="2"/>
        <v>-401978</v>
      </c>
      <c r="V37" s="1" t="s">
        <v>1067</v>
      </c>
      <c r="W37" s="1">
        <v>-710464</v>
      </c>
      <c r="Y37" s="1" t="s">
        <v>1067</v>
      </c>
      <c r="Z37" s="1">
        <f>-Z36</f>
        <v>-496.42770416929187</v>
      </c>
    </row>
    <row r="38" spans="1:27">
      <c r="B38" s="1" t="s">
        <v>593</v>
      </c>
      <c r="V38" s="1" t="s">
        <v>1066</v>
      </c>
      <c r="W38" s="1">
        <f>-'Pas Finan'!F64/1000</f>
        <v>-39989.008549999999</v>
      </c>
      <c r="Y38" s="1" t="s">
        <v>1066</v>
      </c>
      <c r="Z38" s="1">
        <v>0</v>
      </c>
    </row>
    <row r="39" spans="1:27" ht="16.5" thickBot="1">
      <c r="A39" s="227" t="s">
        <v>628</v>
      </c>
      <c r="I39" s="452">
        <f>SUM(I32:I38)</f>
        <v>1263869.6653580447</v>
      </c>
      <c r="L39" s="227" t="s">
        <v>554</v>
      </c>
      <c r="M39" s="227"/>
      <c r="N39" s="227"/>
      <c r="O39" s="227"/>
      <c r="P39" s="227"/>
      <c r="Q39" s="227">
        <f>SUM(Q33:Q37)</f>
        <v>-3730899</v>
      </c>
      <c r="R39" s="227">
        <f>SUM(R33:R37)</f>
        <v>-2858935</v>
      </c>
      <c r="V39" s="227" t="s">
        <v>1058</v>
      </c>
      <c r="W39" s="227">
        <f>Q33</f>
        <v>-40392</v>
      </c>
      <c r="X39" s="227"/>
      <c r="Y39" s="227" t="s">
        <v>1058</v>
      </c>
      <c r="Z39" s="227">
        <f>Q34</f>
        <v>0</v>
      </c>
      <c r="AA39" s="227"/>
    </row>
    <row r="40" spans="1:27" ht="16.5" thickTop="1">
      <c r="A40" s="227" t="s">
        <v>629</v>
      </c>
      <c r="W40" s="1">
        <f>SUM(W34:W38)-W39</f>
        <v>-8.5499999986495823E-3</v>
      </c>
      <c r="Z40" s="1">
        <f>SUM(Z34:Z38)-Z39</f>
        <v>-0.34970416894248046</v>
      </c>
    </row>
    <row r="41" spans="1:27">
      <c r="B41" s="1" t="s">
        <v>630</v>
      </c>
      <c r="L41" s="1" t="s">
        <v>555</v>
      </c>
    </row>
    <row r="42" spans="1:27">
      <c r="B42" s="1" t="s">
        <v>594</v>
      </c>
    </row>
    <row r="43" spans="1:27">
      <c r="B43" s="1" t="s">
        <v>595</v>
      </c>
      <c r="L43" s="1" t="s">
        <v>1055</v>
      </c>
      <c r="Q43" s="1">
        <f>-'EST FIN'!X44</f>
        <v>-10878896</v>
      </c>
      <c r="R43" s="1">
        <f>-'EST FIN'!O44</f>
        <v>-10878896</v>
      </c>
      <c r="S43" s="1">
        <f t="shared" ref="S43:S44" si="3">Q43-R43</f>
        <v>0</v>
      </c>
    </row>
    <row r="44" spans="1:27">
      <c r="B44" s="1" t="s">
        <v>596</v>
      </c>
      <c r="L44" s="1" t="s">
        <v>557</v>
      </c>
      <c r="Q44" s="1">
        <f>-'EST FIN'!X47</f>
        <v>-595622</v>
      </c>
      <c r="R44" s="1">
        <f>-'EST FIN'!O47</f>
        <v>-595622</v>
      </c>
      <c r="S44" s="1">
        <f t="shared" si="3"/>
        <v>0</v>
      </c>
    </row>
    <row r="45" spans="1:27">
      <c r="B45" s="1" t="s">
        <v>597</v>
      </c>
    </row>
    <row r="46" spans="1:27">
      <c r="B46" s="1" t="s">
        <v>598</v>
      </c>
      <c r="L46" s="227" t="s">
        <v>558</v>
      </c>
      <c r="M46" s="227"/>
      <c r="N46" s="227"/>
      <c r="O46" s="227"/>
      <c r="P46" s="227"/>
      <c r="Q46" s="227">
        <f>SUM(Q43:Q44)</f>
        <v>-11474518</v>
      </c>
      <c r="R46" s="227">
        <f>SUM(R43:R44)</f>
        <v>-11474518</v>
      </c>
    </row>
    <row r="47" spans="1:27">
      <c r="B47" s="1" t="s">
        <v>599</v>
      </c>
      <c r="I47" s="450">
        <f>W28</f>
        <v>21392</v>
      </c>
    </row>
    <row r="48" spans="1:27">
      <c r="B48" s="1" t="s">
        <v>600</v>
      </c>
      <c r="I48" s="450">
        <f>-S21-S22+W22+Z22-W31-W30-W28</f>
        <v>-779602.33910387533</v>
      </c>
      <c r="L48" s="227" t="s">
        <v>559</v>
      </c>
      <c r="M48" s="227"/>
      <c r="N48" s="227"/>
      <c r="O48" s="227"/>
      <c r="P48" s="227"/>
      <c r="Q48" s="227">
        <f>SUM(Q46,Q39)</f>
        <v>-15205417</v>
      </c>
      <c r="R48" s="227">
        <f>SUM(R46,R39)</f>
        <v>-14333453</v>
      </c>
    </row>
    <row r="49" spans="1:19">
      <c r="B49" s="1" t="s">
        <v>601</v>
      </c>
    </row>
    <row r="50" spans="1:19">
      <c r="B50" s="1" t="s">
        <v>602</v>
      </c>
      <c r="I50" s="450">
        <f>-S23+AC22</f>
        <v>-21103.89</v>
      </c>
      <c r="L50" s="1" t="s">
        <v>560</v>
      </c>
    </row>
    <row r="51" spans="1:19">
      <c r="B51" s="1" t="s">
        <v>603</v>
      </c>
    </row>
    <row r="52" spans="1:19">
      <c r="B52" s="1" t="s">
        <v>604</v>
      </c>
      <c r="L52" s="1" t="s">
        <v>141</v>
      </c>
      <c r="Q52" s="1">
        <f>-'EST FIN'!X55</f>
        <v>-32481759</v>
      </c>
      <c r="R52" s="1">
        <f>-'EST FIN'!O55</f>
        <v>-32481759</v>
      </c>
      <c r="S52" s="1">
        <f t="shared" ref="S52:S55" si="4">Q52-R52</f>
        <v>0</v>
      </c>
    </row>
    <row r="53" spans="1:19">
      <c r="B53" s="1" t="s">
        <v>631</v>
      </c>
      <c r="L53" s="1" t="s">
        <v>561</v>
      </c>
      <c r="Q53" s="1">
        <f>-'EST FIN'!X56</f>
        <v>-182</v>
      </c>
      <c r="R53" s="1">
        <f>-'EST FIN'!O56</f>
        <v>-182</v>
      </c>
      <c r="S53" s="1">
        <f t="shared" si="4"/>
        <v>0</v>
      </c>
    </row>
    <row r="54" spans="1:19">
      <c r="B54" s="1" t="s">
        <v>632</v>
      </c>
      <c r="L54" s="1" t="s">
        <v>562</v>
      </c>
      <c r="Q54" s="1">
        <f>-'EST FIN'!X57</f>
        <v>16160989</v>
      </c>
      <c r="R54" s="1">
        <f>-'EST FIN'!O57</f>
        <v>16644355</v>
      </c>
      <c r="S54" s="1">
        <f t="shared" si="4"/>
        <v>-483366</v>
      </c>
    </row>
    <row r="55" spans="1:19">
      <c r="B55" s="1" t="s">
        <v>633</v>
      </c>
      <c r="L55" s="1" t="s">
        <v>563</v>
      </c>
      <c r="Q55" s="1">
        <f>-'EST FIN'!X58</f>
        <v>-5322681</v>
      </c>
      <c r="R55" s="1">
        <f>-'EST FIN'!O58</f>
        <v>-5322681</v>
      </c>
      <c r="S55" s="1">
        <f t="shared" si="4"/>
        <v>0</v>
      </c>
    </row>
    <row r="56" spans="1:19">
      <c r="B56" s="1" t="s">
        <v>634</v>
      </c>
    </row>
    <row r="57" spans="1:19">
      <c r="B57" s="1" t="s">
        <v>635</v>
      </c>
      <c r="L57" s="227" t="s">
        <v>564</v>
      </c>
      <c r="M57" s="227"/>
      <c r="N57" s="227"/>
      <c r="O57" s="227"/>
      <c r="P57" s="227"/>
      <c r="Q57" s="227">
        <f>SUM(Q52:Q55)</f>
        <v>-21643633</v>
      </c>
      <c r="R57" s="227">
        <f>SUM(R52:R55)</f>
        <v>-21160267</v>
      </c>
    </row>
    <row r="58" spans="1:19">
      <c r="B58" s="1" t="s">
        <v>589</v>
      </c>
    </row>
    <row r="59" spans="1:19">
      <c r="B59" s="1" t="s">
        <v>590</v>
      </c>
      <c r="L59" s="227" t="s">
        <v>565</v>
      </c>
      <c r="M59" s="227"/>
      <c r="N59" s="227"/>
      <c r="O59" s="227"/>
      <c r="P59" s="227"/>
      <c r="Q59" s="227">
        <f>SUM(Q57,Q48)</f>
        <v>-36849050</v>
      </c>
      <c r="R59" s="227">
        <f>SUM(R57,R48)</f>
        <v>-35493720</v>
      </c>
    </row>
    <row r="60" spans="1:19">
      <c r="B60" s="1" t="s">
        <v>591</v>
      </c>
      <c r="I60" s="450">
        <f>-I36</f>
        <v>14202</v>
      </c>
    </row>
    <row r="61" spans="1:19">
      <c r="B61" s="1" t="s">
        <v>592</v>
      </c>
      <c r="Q61" s="1">
        <f>Q27+Q59</f>
        <v>0</v>
      </c>
      <c r="R61" s="1">
        <f>R27+R59</f>
        <v>0</v>
      </c>
      <c r="S61" s="1">
        <f>SUM(S5:S60)</f>
        <v>0</v>
      </c>
    </row>
    <row r="62" spans="1:19">
      <c r="B62" s="1" t="s">
        <v>593</v>
      </c>
    </row>
    <row r="63" spans="1:19" ht="16.5" thickBot="1">
      <c r="A63" s="227" t="s">
        <v>636</v>
      </c>
      <c r="I63" s="452">
        <f>SUM(I41:I62)</f>
        <v>-765112.22910387535</v>
      </c>
    </row>
    <row r="64" spans="1:19" ht="16.5" thickTop="1">
      <c r="A64" s="227" t="s">
        <v>637</v>
      </c>
    </row>
    <row r="65" spans="1:9">
      <c r="B65" s="1" t="s">
        <v>638</v>
      </c>
    </row>
    <row r="66" spans="1:9">
      <c r="B66" s="1" t="s">
        <v>639</v>
      </c>
    </row>
    <row r="67" spans="1:9">
      <c r="B67" s="1" t="s">
        <v>640</v>
      </c>
    </row>
    <row r="68" spans="1:9">
      <c r="B68" s="1" t="s">
        <v>641</v>
      </c>
    </row>
    <row r="69" spans="1:9">
      <c r="B69" s="1" t="s">
        <v>605</v>
      </c>
    </row>
    <row r="70" spans="1:9">
      <c r="B70" s="1" t="s">
        <v>606</v>
      </c>
    </row>
    <row r="71" spans="1:9">
      <c r="B71" s="1" t="s">
        <v>642</v>
      </c>
    </row>
    <row r="72" spans="1:9">
      <c r="B72" s="1" t="s">
        <v>643</v>
      </c>
    </row>
    <row r="73" spans="1:9">
      <c r="B73" s="1" t="s">
        <v>644</v>
      </c>
      <c r="I73" s="450">
        <f>-S34</f>
        <v>-9540</v>
      </c>
    </row>
    <row r="74" spans="1:9">
      <c r="B74" s="1" t="s">
        <v>631</v>
      </c>
    </row>
    <row r="75" spans="1:9">
      <c r="B75" s="1" t="s">
        <v>588</v>
      </c>
    </row>
    <row r="76" spans="1:9">
      <c r="B76" s="1" t="s">
        <v>590</v>
      </c>
      <c r="I76" s="450">
        <f>-W36-Z36</f>
        <v>-774312.4277041693</v>
      </c>
    </row>
    <row r="77" spans="1:9">
      <c r="B77" s="1" t="s">
        <v>592</v>
      </c>
    </row>
    <row r="78" spans="1:9">
      <c r="B78" s="1" t="s">
        <v>593</v>
      </c>
    </row>
    <row r="79" spans="1:9" ht="16.5" thickBot="1">
      <c r="A79" s="227" t="s">
        <v>645</v>
      </c>
      <c r="I79" s="452">
        <f>SUM(I65:I78)</f>
        <v>-783852.4277041693</v>
      </c>
    </row>
    <row r="80" spans="1:9" ht="16.5" thickTop="1"/>
    <row r="81" spans="1:9" ht="16.5" thickBot="1">
      <c r="A81" s="227" t="s">
        <v>646</v>
      </c>
      <c r="I81" s="452">
        <f>SUM(I39,I63,I79)</f>
        <v>-285094.99144999997</v>
      </c>
    </row>
    <row r="82" spans="1:9" ht="16.5" thickTop="1">
      <c r="B82" s="1" t="s">
        <v>647</v>
      </c>
      <c r="I82" s="453">
        <v>0</v>
      </c>
    </row>
    <row r="83" spans="1:9" ht="16.5" thickBot="1">
      <c r="A83" s="227" t="s">
        <v>648</v>
      </c>
      <c r="I83" s="452">
        <f>SUM(I81:I82)</f>
        <v>-285094.99144999997</v>
      </c>
    </row>
    <row r="84" spans="1:9" ht="16.5" thickTop="1">
      <c r="A84" s="449" t="s">
        <v>607</v>
      </c>
      <c r="I84" s="450">
        <f>R11</f>
        <v>1107717</v>
      </c>
    </row>
    <row r="85" spans="1:9">
      <c r="A85" s="449" t="s">
        <v>608</v>
      </c>
      <c r="I85" s="450">
        <f>Q11</f>
        <v>822622</v>
      </c>
    </row>
    <row r="86" spans="1:9">
      <c r="I86" s="450">
        <f>I85-I84</f>
        <v>-285095</v>
      </c>
    </row>
    <row r="87" spans="1:9">
      <c r="H87" s="227" t="s">
        <v>206</v>
      </c>
      <c r="I87" s="292">
        <f>I83-I86</f>
        <v>8.5500000277534127E-3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92D5-AB12-704C-8AC6-5F2B8148DCBB}">
  <dimension ref="A1:XFD38"/>
  <sheetViews>
    <sheetView topLeftCell="A16" workbookViewId="0">
      <selection activeCell="A16" sqref="A16"/>
    </sheetView>
  </sheetViews>
  <sheetFormatPr baseColWidth="10" defaultRowHeight="15"/>
  <cols>
    <col min="1" max="1" width="10.5" style="22" bestFit="1" customWidth="1"/>
    <col min="2" max="2" width="31.375" style="23" bestFit="1" customWidth="1"/>
    <col min="3" max="3" width="18" style="23" bestFit="1" customWidth="1"/>
    <col min="4" max="4" width="13.125" style="23" bestFit="1" customWidth="1"/>
    <col min="5" max="5" width="18.375" style="23" bestFit="1" customWidth="1"/>
    <col min="6" max="7" width="12" style="23" bestFit="1" customWidth="1"/>
    <col min="8" max="11" width="10.875" style="48"/>
    <col min="12" max="12" width="20.625" style="23" customWidth="1"/>
    <col min="13" max="14" width="10.875" style="48"/>
    <col min="15" max="15" width="20.625" style="23" customWidth="1"/>
    <col min="16" max="16" width="10.875" style="49"/>
    <col min="17" max="17" width="10.875" style="23"/>
    <col min="18" max="18" width="20.625" style="48" customWidth="1"/>
    <col min="19" max="20" width="20.625" style="23" customWidth="1"/>
    <col min="21" max="21" width="13.125" style="26" bestFit="1" customWidth="1"/>
    <col min="22" max="16382" width="10.875" style="23"/>
    <col min="16383" max="16383" width="15.875" style="23" bestFit="1" customWidth="1"/>
    <col min="16384" max="16384" width="4.625" style="23" bestFit="1" customWidth="1"/>
  </cols>
  <sheetData>
    <row r="1" spans="1:22 16383:16384">
      <c r="C1" s="24" t="s">
        <v>1061</v>
      </c>
      <c r="XFC1" s="27" t="s">
        <v>236</v>
      </c>
      <c r="XFD1" s="27" t="s">
        <v>4</v>
      </c>
    </row>
    <row r="2" spans="1:22 16383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237</v>
      </c>
      <c r="F2" s="24" t="s">
        <v>261</v>
      </c>
      <c r="XFC2" s="27" t="s">
        <v>238</v>
      </c>
      <c r="XFD2" s="27" t="s">
        <v>239</v>
      </c>
    </row>
    <row r="3" spans="1:22 16383:16384">
      <c r="A3" s="22">
        <v>11051000</v>
      </c>
      <c r="B3" s="23" t="s">
        <v>3</v>
      </c>
      <c r="C3" s="23">
        <v>9496910.4399999995</v>
      </c>
      <c r="D3" s="23">
        <f ca="1">SUMIF($A$10:$F$11,A3,$F$10:$F$11)-C3</f>
        <v>0</v>
      </c>
      <c r="E3" s="23" t="s">
        <v>240</v>
      </c>
      <c r="F3" s="23">
        <f>C3-'HW PYMES'!I5</f>
        <v>0</v>
      </c>
      <c r="XFC3" s="27" t="s">
        <v>241</v>
      </c>
      <c r="XFD3" s="27" t="s">
        <v>242</v>
      </c>
    </row>
    <row r="4" spans="1:22 16383:16384">
      <c r="A4" s="22">
        <v>11100502</v>
      </c>
      <c r="B4" s="23" t="s">
        <v>5</v>
      </c>
      <c r="C4" s="23">
        <v>66222066.799999997</v>
      </c>
      <c r="D4" s="23">
        <f ca="1">SUMIF($A$10:$F$11,A4,$F$10:$F$11)-C4</f>
        <v>0</v>
      </c>
      <c r="E4" s="23" t="s">
        <v>240</v>
      </c>
      <c r="F4" s="23">
        <f>C4-'HW PYMES'!I6</f>
        <v>0</v>
      </c>
      <c r="XFD4" s="27" t="s">
        <v>243</v>
      </c>
    </row>
    <row r="5" spans="1:22 16383:16384">
      <c r="C5" s="29">
        <f>SUM(C3:C4)</f>
        <v>75718977.239999995</v>
      </c>
      <c r="XFD5" s="27"/>
    </row>
    <row r="6" spans="1:22 16383:16384">
      <c r="B6" s="30" t="s">
        <v>206</v>
      </c>
      <c r="C6" s="30">
        <f>C5-F13</f>
        <v>0</v>
      </c>
    </row>
    <row r="8" spans="1:22 16383:16384" ht="45" customHeight="1">
      <c r="A8" s="474" t="s">
        <v>209</v>
      </c>
      <c r="B8" s="476" t="s">
        <v>210</v>
      </c>
      <c r="C8" s="478" t="s">
        <v>244</v>
      </c>
      <c r="D8" s="478" t="s">
        <v>245</v>
      </c>
      <c r="E8" s="478" t="s">
        <v>246</v>
      </c>
      <c r="F8" s="479" t="s">
        <v>262</v>
      </c>
      <c r="G8" s="479" t="s">
        <v>263</v>
      </c>
      <c r="H8" s="481" t="s">
        <v>247</v>
      </c>
      <c r="I8" s="482"/>
      <c r="J8" s="481" t="s">
        <v>248</v>
      </c>
      <c r="K8" s="482"/>
      <c r="L8" s="472" t="s">
        <v>249</v>
      </c>
      <c r="M8" s="483" t="s">
        <v>250</v>
      </c>
      <c r="N8" s="484"/>
      <c r="O8" s="472" t="s">
        <v>251</v>
      </c>
      <c r="P8" s="481" t="s">
        <v>252</v>
      </c>
      <c r="Q8" s="482"/>
      <c r="R8" s="472" t="s">
        <v>253</v>
      </c>
      <c r="S8" s="472" t="s">
        <v>254</v>
      </c>
      <c r="T8" s="472" t="s">
        <v>255</v>
      </c>
      <c r="U8" s="485" t="s">
        <v>221</v>
      </c>
    </row>
    <row r="9" spans="1:22 16383:16384">
      <c r="A9" s="475"/>
      <c r="B9" s="477"/>
      <c r="C9" s="472"/>
      <c r="D9" s="472"/>
      <c r="E9" s="472"/>
      <c r="F9" s="480"/>
      <c r="G9" s="480"/>
      <c r="H9" s="50" t="s">
        <v>234</v>
      </c>
      <c r="I9" s="31" t="s">
        <v>235</v>
      </c>
      <c r="J9" s="50" t="s">
        <v>234</v>
      </c>
      <c r="K9" s="31" t="s">
        <v>235</v>
      </c>
      <c r="L9" s="473"/>
      <c r="M9" s="50" t="s">
        <v>234</v>
      </c>
      <c r="N9" s="31" t="s">
        <v>235</v>
      </c>
      <c r="O9" s="473"/>
      <c r="P9" s="51" t="s">
        <v>209</v>
      </c>
      <c r="Q9" s="31" t="s">
        <v>256</v>
      </c>
      <c r="R9" s="473"/>
      <c r="S9" s="473"/>
      <c r="T9" s="473"/>
      <c r="U9" s="486"/>
    </row>
    <row r="10" spans="1:22 16383:16384">
      <c r="A10" s="22">
        <v>11051000</v>
      </c>
      <c r="B10" s="23" t="s">
        <v>3</v>
      </c>
      <c r="C10" s="52" t="s">
        <v>236</v>
      </c>
      <c r="D10" s="52" t="s">
        <v>4</v>
      </c>
      <c r="E10" s="53"/>
      <c r="F10" s="23">
        <v>9496910.4399999995</v>
      </c>
      <c r="G10" s="23">
        <v>9496910.4399999995</v>
      </c>
      <c r="H10" s="53" t="s">
        <v>257</v>
      </c>
      <c r="K10" s="53" t="s">
        <v>257</v>
      </c>
      <c r="N10" s="53" t="s">
        <v>257</v>
      </c>
      <c r="P10" s="22"/>
      <c r="R10" s="52" t="str">
        <f>IF(O10="","",IF(O10&gt;12,"SI","NO"))</f>
        <v/>
      </c>
      <c r="U10" s="38">
        <f>G10-F10</f>
        <v>0</v>
      </c>
      <c r="V10" s="29"/>
    </row>
    <row r="11" spans="1:22 16383:16384">
      <c r="A11" s="22">
        <v>11100502</v>
      </c>
      <c r="B11" s="23" t="s">
        <v>5</v>
      </c>
      <c r="C11" s="52" t="s">
        <v>241</v>
      </c>
      <c r="D11" s="52" t="s">
        <v>4</v>
      </c>
      <c r="E11" s="34" t="s">
        <v>258</v>
      </c>
      <c r="F11" s="23">
        <v>66222066.799999997</v>
      </c>
      <c r="G11" s="23">
        <v>66222066.799999997</v>
      </c>
      <c r="H11" s="53" t="s">
        <v>257</v>
      </c>
      <c r="K11" s="53" t="s">
        <v>257</v>
      </c>
      <c r="N11" s="53" t="s">
        <v>257</v>
      </c>
      <c r="P11" s="22"/>
      <c r="R11" s="52" t="str">
        <f>IF(O11="","",IF(O11&gt;12,"SI","NO"))</f>
        <v/>
      </c>
      <c r="U11" s="38">
        <f>G11-F11</f>
        <v>0</v>
      </c>
    </row>
    <row r="13" spans="1:22 16383:16384">
      <c r="B13" s="34"/>
      <c r="F13" s="40">
        <f>SUM(F10:F12)</f>
        <v>75718977.239999995</v>
      </c>
      <c r="G13" s="40">
        <f>SUM(G10:G12)</f>
        <v>75718977.239999995</v>
      </c>
    </row>
    <row r="15" spans="1:22 16383:16384">
      <c r="A15" s="41"/>
      <c r="B15" s="42"/>
      <c r="C15" s="43"/>
      <c r="D15" s="43"/>
      <c r="E15" s="43"/>
      <c r="F15" s="43"/>
      <c r="G15" s="43"/>
      <c r="H15" s="54"/>
      <c r="I15" s="54"/>
      <c r="J15" s="54"/>
      <c r="K15" s="54"/>
      <c r="L15" s="43"/>
      <c r="M15" s="54"/>
      <c r="N15" s="54"/>
      <c r="O15" s="43"/>
      <c r="P15" s="55"/>
      <c r="Q15" s="43"/>
      <c r="R15" s="54"/>
      <c r="S15" s="43"/>
      <c r="T15" s="43"/>
      <c r="U15" s="45"/>
    </row>
    <row r="16" spans="1:22 16383:16384">
      <c r="C16" s="24" t="s">
        <v>260</v>
      </c>
      <c r="XFC16" s="27"/>
      <c r="XFD16" s="27"/>
    </row>
    <row r="17" spans="1:22 16383:16384">
      <c r="A17" s="334" t="s">
        <v>201</v>
      </c>
      <c r="B17" s="24" t="s">
        <v>202</v>
      </c>
      <c r="C17" s="24" t="s">
        <v>1030</v>
      </c>
      <c r="D17" s="24" t="s">
        <v>203</v>
      </c>
      <c r="E17" s="24" t="s">
        <v>237</v>
      </c>
      <c r="F17" s="24" t="s">
        <v>261</v>
      </c>
      <c r="XFC17" s="27"/>
      <c r="XFD17" s="27"/>
    </row>
    <row r="18" spans="1:22 16383:16384">
      <c r="A18" s="22">
        <v>11051000</v>
      </c>
      <c r="B18" s="23" t="s">
        <v>3</v>
      </c>
      <c r="C18" s="23">
        <v>629979.17999999784</v>
      </c>
      <c r="D18" s="23">
        <f ca="1">SUMIF($A$30:$G$36,A18,$G$30:$G$36)-C18</f>
        <v>2.2118911147117615E-9</v>
      </c>
      <c r="E18" s="23" t="s">
        <v>240</v>
      </c>
      <c r="F18" s="23">
        <f>C18-'HW PYMES'!M5</f>
        <v>-1.862645149230957E-9</v>
      </c>
      <c r="XFC18" s="27"/>
      <c r="XFD18" s="27"/>
    </row>
    <row r="19" spans="1:22 16383:16384">
      <c r="A19" s="22">
        <v>11100502</v>
      </c>
      <c r="B19" s="23" t="s">
        <v>5</v>
      </c>
      <c r="C19" s="23">
        <v>763755774.5999999</v>
      </c>
      <c r="D19" s="23">
        <f t="shared" ref="D19:D24" ca="1" si="0">SUMIF($A$30:$G$36,A19,$G$30:$G$36)-C19</f>
        <v>0</v>
      </c>
      <c r="E19" s="23" t="s">
        <v>240</v>
      </c>
      <c r="F19" s="23">
        <f>C19-'HW PYMES'!M6</f>
        <v>0</v>
      </c>
      <c r="XFC19" s="27"/>
      <c r="XFD19" s="27"/>
    </row>
    <row r="20" spans="1:22 16383:16384">
      <c r="A20" s="22">
        <v>11200500</v>
      </c>
      <c r="B20" s="23" t="s">
        <v>6</v>
      </c>
      <c r="C20" s="23">
        <v>1398097.1099999959</v>
      </c>
      <c r="D20" s="23">
        <f t="shared" ca="1" si="0"/>
        <v>0</v>
      </c>
      <c r="E20" s="23" t="s">
        <v>240</v>
      </c>
      <c r="F20" s="23">
        <f>C20-'HW PYMES'!M7</f>
        <v>-4.1909515857696533E-9</v>
      </c>
      <c r="XFC20" s="27"/>
      <c r="XFD20" s="27"/>
    </row>
    <row r="21" spans="1:22 16383:16384">
      <c r="A21" s="22">
        <v>11200501</v>
      </c>
      <c r="B21" s="23" t="s">
        <v>705</v>
      </c>
      <c r="C21" s="23">
        <v>4357.74</v>
      </c>
      <c r="D21" s="23">
        <f t="shared" ca="1" si="0"/>
        <v>0</v>
      </c>
      <c r="E21" s="23" t="s">
        <v>240</v>
      </c>
      <c r="F21" s="23">
        <f>C21-'HW PYMES'!M8</f>
        <v>0</v>
      </c>
      <c r="XFC21" s="27"/>
      <c r="XFD21" s="27"/>
    </row>
    <row r="22" spans="1:22 16383:16384">
      <c r="A22" s="22">
        <v>11200502</v>
      </c>
      <c r="B22" s="23" t="s">
        <v>706</v>
      </c>
      <c r="C22" s="23">
        <v>474695.38000000006</v>
      </c>
      <c r="D22" s="23">
        <f t="shared" ca="1" si="0"/>
        <v>0</v>
      </c>
      <c r="E22" s="23" t="s">
        <v>240</v>
      </c>
      <c r="F22" s="23">
        <f>C22-'HW PYMES'!M9</f>
        <v>0</v>
      </c>
      <c r="XFC22" s="27"/>
      <c r="XFD22" s="27"/>
    </row>
    <row r="23" spans="1:22 16383:16384">
      <c r="A23" s="22">
        <v>11200503</v>
      </c>
      <c r="B23" s="23" t="s">
        <v>707</v>
      </c>
      <c r="C23" s="23">
        <v>2197898.94</v>
      </c>
      <c r="D23" s="23">
        <f t="shared" ca="1" si="0"/>
        <v>0</v>
      </c>
      <c r="E23" s="23" t="s">
        <v>240</v>
      </c>
      <c r="F23" s="23">
        <f>C23-'HW PYMES'!M10</f>
        <v>0</v>
      </c>
      <c r="XFC23" s="27"/>
      <c r="XFD23" s="27"/>
    </row>
    <row r="24" spans="1:22 16383:16384">
      <c r="A24" s="22">
        <v>11200504</v>
      </c>
      <c r="B24" s="23" t="s">
        <v>708</v>
      </c>
      <c r="C24" s="23">
        <v>1983409.2899999998</v>
      </c>
      <c r="D24" s="23">
        <f t="shared" ca="1" si="0"/>
        <v>0</v>
      </c>
      <c r="E24" s="23" t="s">
        <v>240</v>
      </c>
      <c r="F24" s="23">
        <f>C24-'HW PYMES'!M11</f>
        <v>0</v>
      </c>
      <c r="XFD24" s="27"/>
    </row>
    <row r="25" spans="1:22 16383:16384">
      <c r="C25" s="29">
        <f>SUM(C18:C24)</f>
        <v>770444212.23999989</v>
      </c>
      <c r="XFD25" s="27"/>
    </row>
    <row r="26" spans="1:22 16383:16384">
      <c r="B26" s="30" t="s">
        <v>206</v>
      </c>
      <c r="C26" s="30">
        <f>C25-F38</f>
        <v>0</v>
      </c>
    </row>
    <row r="28" spans="1:22 16383:16384" ht="45" customHeight="1">
      <c r="A28" s="474" t="s">
        <v>209</v>
      </c>
      <c r="B28" s="476" t="s">
        <v>210</v>
      </c>
      <c r="C28" s="478" t="s">
        <v>244</v>
      </c>
      <c r="D28" s="478" t="s">
        <v>245</v>
      </c>
      <c r="E28" s="478" t="s">
        <v>246</v>
      </c>
      <c r="F28" s="479" t="s">
        <v>262</v>
      </c>
      <c r="G28" s="479" t="s">
        <v>263</v>
      </c>
      <c r="H28" s="481" t="s">
        <v>247</v>
      </c>
      <c r="I28" s="482"/>
      <c r="J28" s="481" t="s">
        <v>248</v>
      </c>
      <c r="K28" s="482"/>
      <c r="L28" s="472" t="s">
        <v>249</v>
      </c>
      <c r="M28" s="483" t="s">
        <v>250</v>
      </c>
      <c r="N28" s="484"/>
      <c r="O28" s="472" t="s">
        <v>251</v>
      </c>
      <c r="P28" s="481" t="s">
        <v>252</v>
      </c>
      <c r="Q28" s="482"/>
      <c r="R28" s="472" t="s">
        <v>253</v>
      </c>
      <c r="S28" s="472" t="s">
        <v>254</v>
      </c>
      <c r="T28" s="472" t="s">
        <v>255</v>
      </c>
      <c r="U28" s="485" t="s">
        <v>221</v>
      </c>
    </row>
    <row r="29" spans="1:22 16383:16384">
      <c r="A29" s="475"/>
      <c r="B29" s="477"/>
      <c r="C29" s="472"/>
      <c r="D29" s="472"/>
      <c r="E29" s="472"/>
      <c r="F29" s="480"/>
      <c r="G29" s="480"/>
      <c r="H29" s="50" t="s">
        <v>234</v>
      </c>
      <c r="I29" s="333" t="s">
        <v>235</v>
      </c>
      <c r="J29" s="50" t="s">
        <v>234</v>
      </c>
      <c r="K29" s="333" t="s">
        <v>235</v>
      </c>
      <c r="L29" s="473"/>
      <c r="M29" s="50" t="s">
        <v>234</v>
      </c>
      <c r="N29" s="333" t="s">
        <v>235</v>
      </c>
      <c r="O29" s="473"/>
      <c r="P29" s="51" t="s">
        <v>209</v>
      </c>
      <c r="Q29" s="333" t="s">
        <v>256</v>
      </c>
      <c r="R29" s="473"/>
      <c r="S29" s="473"/>
      <c r="T29" s="473"/>
      <c r="U29" s="486"/>
    </row>
    <row r="30" spans="1:22 16383:16384">
      <c r="A30" s="22">
        <v>11051000</v>
      </c>
      <c r="B30" s="23" t="s">
        <v>3</v>
      </c>
      <c r="C30" s="52" t="s">
        <v>236</v>
      </c>
      <c r="D30" s="52" t="s">
        <v>4</v>
      </c>
      <c r="E30" s="53"/>
      <c r="F30" s="23">
        <v>629979.17999999784</v>
      </c>
      <c r="G30" s="23">
        <v>629979.18000000005</v>
      </c>
      <c r="H30" s="53" t="s">
        <v>257</v>
      </c>
      <c r="K30" s="53" t="s">
        <v>257</v>
      </c>
      <c r="N30" s="53" t="s">
        <v>257</v>
      </c>
      <c r="P30" s="22"/>
      <c r="R30" s="52" t="str">
        <f t="shared" ref="R30:R36" si="1">IF(O30="","",IF(O30&gt;12,"SI","NO"))</f>
        <v/>
      </c>
      <c r="U30" s="38">
        <f>G30-F30</f>
        <v>2.2118911147117615E-9</v>
      </c>
      <c r="V30" s="29"/>
    </row>
    <row r="31" spans="1:22 16383:16384">
      <c r="A31" s="22">
        <v>11100502</v>
      </c>
      <c r="B31" s="23" t="s">
        <v>5</v>
      </c>
      <c r="C31" s="52" t="s">
        <v>241</v>
      </c>
      <c r="D31" s="52" t="s">
        <v>4</v>
      </c>
      <c r="E31" s="34" t="s">
        <v>258</v>
      </c>
      <c r="F31" s="23">
        <v>763755774.5999999</v>
      </c>
      <c r="G31" s="23">
        <v>763755774.5999999</v>
      </c>
      <c r="H31" s="53" t="s">
        <v>257</v>
      </c>
      <c r="K31" s="53" t="s">
        <v>257</v>
      </c>
      <c r="N31" s="53" t="s">
        <v>257</v>
      </c>
      <c r="P31" s="22"/>
      <c r="R31" s="52" t="str">
        <f t="shared" si="1"/>
        <v/>
      </c>
      <c r="U31" s="38">
        <f t="shared" ref="U31:U36" si="2">G31-F31</f>
        <v>0</v>
      </c>
      <c r="V31" s="29"/>
    </row>
    <row r="32" spans="1:22 16383:16384">
      <c r="A32" s="22">
        <v>11200500</v>
      </c>
      <c r="B32" s="23" t="s">
        <v>6</v>
      </c>
      <c r="C32" s="52" t="s">
        <v>238</v>
      </c>
      <c r="D32" s="52" t="s">
        <v>4</v>
      </c>
      <c r="E32" s="34" t="s">
        <v>748</v>
      </c>
      <c r="F32" s="23">
        <v>1398097.1099999959</v>
      </c>
      <c r="G32" s="23">
        <v>1398097.1099999959</v>
      </c>
      <c r="H32" s="53" t="s">
        <v>257</v>
      </c>
      <c r="K32" s="53" t="s">
        <v>257</v>
      </c>
      <c r="N32" s="53" t="s">
        <v>257</v>
      </c>
      <c r="P32" s="22"/>
      <c r="R32" s="52" t="str">
        <f t="shared" si="1"/>
        <v/>
      </c>
      <c r="U32" s="38">
        <f t="shared" si="2"/>
        <v>0</v>
      </c>
      <c r="V32" s="29"/>
    </row>
    <row r="33" spans="1:22">
      <c r="A33" s="22">
        <v>11200501</v>
      </c>
      <c r="B33" s="23" t="s">
        <v>705</v>
      </c>
      <c r="C33" s="52" t="s">
        <v>238</v>
      </c>
      <c r="D33" s="52" t="s">
        <v>4</v>
      </c>
      <c r="E33" s="34" t="s">
        <v>259</v>
      </c>
      <c r="F33" s="23">
        <v>4357.74</v>
      </c>
      <c r="G33" s="23">
        <v>4357.74</v>
      </c>
      <c r="H33" s="53" t="s">
        <v>257</v>
      </c>
      <c r="K33" s="53" t="s">
        <v>257</v>
      </c>
      <c r="N33" s="53" t="s">
        <v>257</v>
      </c>
      <c r="P33" s="22"/>
      <c r="R33" s="52" t="str">
        <f t="shared" si="1"/>
        <v/>
      </c>
      <c r="U33" s="38">
        <f t="shared" si="2"/>
        <v>0</v>
      </c>
      <c r="V33" s="29"/>
    </row>
    <row r="34" spans="1:22">
      <c r="A34" s="22">
        <v>11200502</v>
      </c>
      <c r="B34" s="23" t="s">
        <v>706</v>
      </c>
      <c r="C34" s="52" t="s">
        <v>238</v>
      </c>
      <c r="D34" s="52" t="s">
        <v>4</v>
      </c>
      <c r="E34" s="34" t="s">
        <v>259</v>
      </c>
      <c r="F34" s="23">
        <v>474695.38000000006</v>
      </c>
      <c r="G34" s="23">
        <v>474695.38000000006</v>
      </c>
      <c r="H34" s="53" t="s">
        <v>257</v>
      </c>
      <c r="K34" s="53" t="s">
        <v>257</v>
      </c>
      <c r="N34" s="53" t="s">
        <v>257</v>
      </c>
      <c r="P34" s="22"/>
      <c r="R34" s="52" t="str">
        <f t="shared" si="1"/>
        <v/>
      </c>
      <c r="U34" s="38">
        <f t="shared" si="2"/>
        <v>0</v>
      </c>
      <c r="V34" s="29"/>
    </row>
    <row r="35" spans="1:22">
      <c r="A35" s="22">
        <v>11200503</v>
      </c>
      <c r="B35" s="23" t="s">
        <v>707</v>
      </c>
      <c r="C35" s="52" t="s">
        <v>238</v>
      </c>
      <c r="D35" s="52" t="s">
        <v>4</v>
      </c>
      <c r="E35" s="34" t="s">
        <v>259</v>
      </c>
      <c r="F35" s="23">
        <v>2197898.94</v>
      </c>
      <c r="G35" s="23">
        <v>2197898.94</v>
      </c>
      <c r="H35" s="53" t="s">
        <v>257</v>
      </c>
      <c r="K35" s="53" t="s">
        <v>257</v>
      </c>
      <c r="N35" s="53" t="s">
        <v>257</v>
      </c>
      <c r="P35" s="22"/>
      <c r="R35" s="52" t="str">
        <f t="shared" si="1"/>
        <v/>
      </c>
      <c r="U35" s="38">
        <f t="shared" si="2"/>
        <v>0</v>
      </c>
      <c r="V35" s="29"/>
    </row>
    <row r="36" spans="1:22">
      <c r="A36" s="22">
        <v>11200504</v>
      </c>
      <c r="B36" s="23" t="s">
        <v>708</v>
      </c>
      <c r="C36" s="52" t="s">
        <v>238</v>
      </c>
      <c r="D36" s="52" t="s">
        <v>4</v>
      </c>
      <c r="E36" s="34" t="s">
        <v>259</v>
      </c>
      <c r="F36" s="23">
        <v>1983409.2899999998</v>
      </c>
      <c r="G36" s="23">
        <v>1983409.2899999998</v>
      </c>
      <c r="H36" s="53" t="s">
        <v>257</v>
      </c>
      <c r="K36" s="53" t="s">
        <v>257</v>
      </c>
      <c r="N36" s="53" t="s">
        <v>257</v>
      </c>
      <c r="P36" s="22"/>
      <c r="R36" s="52" t="str">
        <f t="shared" si="1"/>
        <v/>
      </c>
      <c r="U36" s="38">
        <f t="shared" si="2"/>
        <v>0</v>
      </c>
    </row>
    <row r="38" spans="1:22">
      <c r="B38" s="34"/>
      <c r="F38" s="40">
        <f>SUM(F30:F37)</f>
        <v>770444212.23999989</v>
      </c>
      <c r="G38" s="40">
        <f>SUM(G30:G37)</f>
        <v>770444212.23999989</v>
      </c>
    </row>
  </sheetData>
  <mergeCells count="34">
    <mergeCell ref="T28:T29"/>
    <mergeCell ref="U28:U29"/>
    <mergeCell ref="M28:N28"/>
    <mergeCell ref="O28:O29"/>
    <mergeCell ref="P28:Q28"/>
    <mergeCell ref="R28:R29"/>
    <mergeCell ref="S28:S29"/>
    <mergeCell ref="F28:F29"/>
    <mergeCell ref="G28:G29"/>
    <mergeCell ref="H28:I28"/>
    <mergeCell ref="J28:K28"/>
    <mergeCell ref="L28:L29"/>
    <mergeCell ref="A28:A29"/>
    <mergeCell ref="B28:B29"/>
    <mergeCell ref="C28:C29"/>
    <mergeCell ref="D28:D29"/>
    <mergeCell ref="E28:E29"/>
    <mergeCell ref="P8:Q8"/>
    <mergeCell ref="R8:R9"/>
    <mergeCell ref="S8:S9"/>
    <mergeCell ref="T8:T9"/>
    <mergeCell ref="U8:U9"/>
    <mergeCell ref="O8:O9"/>
    <mergeCell ref="A8:A9"/>
    <mergeCell ref="B8:B9"/>
    <mergeCell ref="C8:C9"/>
    <mergeCell ref="D8:D9"/>
    <mergeCell ref="E8:E9"/>
    <mergeCell ref="F8:F9"/>
    <mergeCell ref="G8:G9"/>
    <mergeCell ref="H8:I8"/>
    <mergeCell ref="J8:K8"/>
    <mergeCell ref="L8:L9"/>
    <mergeCell ref="M8:N8"/>
  </mergeCells>
  <dataValidations count="2">
    <dataValidation type="list" allowBlank="1" showInputMessage="1" showErrorMessage="1" sqref="C30:C36 C10:C11" xr:uid="{97706F90-B35B-AB4F-A092-A8A0E5E4B5A1}">
      <formula1>$XFC$1:$XFC$3</formula1>
    </dataValidation>
    <dataValidation type="list" allowBlank="1" showInputMessage="1" showErrorMessage="1" sqref="D10:D11 D30:D36" xr:uid="{E6AC5D05-8980-804C-9742-6658022E53DA}">
      <formula1>$XFD$1:$XFD$4</formula1>
    </dataValidation>
  </dataValidation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E4685-42DB-694E-8719-ABFBF06C30E4}">
  <dimension ref="A1:XFD25"/>
  <sheetViews>
    <sheetView workbookViewId="0">
      <selection activeCell="A21" sqref="A21:A22"/>
    </sheetView>
  </sheetViews>
  <sheetFormatPr baseColWidth="10" defaultRowHeight="15"/>
  <cols>
    <col min="1" max="1" width="9" style="22" bestFit="1" customWidth="1"/>
    <col min="2" max="2" width="36.625" style="23" bestFit="1" customWidth="1"/>
    <col min="3" max="3" width="22.375" style="23" bestFit="1" customWidth="1"/>
    <col min="4" max="4" width="10.625" style="23" customWidth="1"/>
    <col min="5" max="5" width="11.375" style="23" customWidth="1"/>
    <col min="6" max="6" width="29" style="23" bestFit="1" customWidth="1"/>
    <col min="7" max="8" width="12.625" style="23" bestFit="1" customWidth="1"/>
    <col min="9" max="9" width="11.625" style="23" customWidth="1"/>
    <col min="10" max="11" width="11.875" style="23" customWidth="1"/>
    <col min="12" max="12" width="27.625" style="23" bestFit="1" customWidth="1"/>
    <col min="13" max="13" width="27.375" style="23" bestFit="1" customWidth="1"/>
    <col min="14" max="14" width="23.875" style="23" bestFit="1" customWidth="1"/>
    <col min="15" max="15" width="11.5" style="26" bestFit="1" customWidth="1"/>
    <col min="16" max="16" width="49.625" style="23" bestFit="1" customWidth="1"/>
    <col min="17" max="16380" width="10.875" style="23"/>
    <col min="16381" max="16381" width="35.5" style="23" bestFit="1" customWidth="1"/>
    <col min="16382" max="16382" width="27.375" style="23" bestFit="1" customWidth="1"/>
    <col min="16383" max="16383" width="30.5" style="23" bestFit="1" customWidth="1"/>
    <col min="16384" max="16384" width="8.875" style="23" bestFit="1" customWidth="1"/>
  </cols>
  <sheetData>
    <row r="1" spans="1:16 16381:16384">
      <c r="C1" s="24" t="s">
        <v>1061</v>
      </c>
      <c r="XFA1" s="27" t="s">
        <v>319</v>
      </c>
      <c r="XFB1" s="27" t="s">
        <v>320</v>
      </c>
      <c r="XFC1" s="27" t="s">
        <v>321</v>
      </c>
      <c r="XFD1" s="27" t="s">
        <v>322</v>
      </c>
    </row>
    <row r="2" spans="1:16 16381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XFA2" s="27" t="s">
        <v>323</v>
      </c>
      <c r="XFB2" s="27" t="s">
        <v>324</v>
      </c>
      <c r="XFC2" s="27" t="s">
        <v>325</v>
      </c>
      <c r="XFD2" s="27" t="s">
        <v>326</v>
      </c>
    </row>
    <row r="3" spans="1:16 16381:16384">
      <c r="A3" s="22">
        <v>13801500</v>
      </c>
      <c r="B3" s="23" t="s">
        <v>189</v>
      </c>
      <c r="C3" s="23">
        <v>1031998369.75</v>
      </c>
      <c r="D3" s="23">
        <f ca="1">SUMIF($A$10:$G$11,A3,$G$10:$G$11)-C3</f>
        <v>0</v>
      </c>
      <c r="E3" s="23">
        <f>C3-'HW PYMES'!I18</f>
        <v>0</v>
      </c>
      <c r="XFA3" s="27" t="s">
        <v>331</v>
      </c>
      <c r="XFB3" s="27" t="s">
        <v>328</v>
      </c>
      <c r="XFC3" s="27" t="s">
        <v>329</v>
      </c>
      <c r="XFD3" s="27" t="s">
        <v>330</v>
      </c>
    </row>
    <row r="4" spans="1:16 16381:16384">
      <c r="C4" s="29">
        <f>SUM(C3:C3)</f>
        <v>1031998369.75</v>
      </c>
      <c r="XFA4" s="27" t="s">
        <v>334</v>
      </c>
      <c r="XFB4" s="27" t="s">
        <v>332</v>
      </c>
      <c r="XFC4" s="27" t="s">
        <v>333</v>
      </c>
    </row>
    <row r="5" spans="1:16 16381:16384">
      <c r="B5" s="30" t="s">
        <v>206</v>
      </c>
      <c r="C5" s="30">
        <f>C4-G12</f>
        <v>0</v>
      </c>
      <c r="XFC5" s="27" t="s">
        <v>335</v>
      </c>
    </row>
    <row r="6" spans="1:16 16381:16384">
      <c r="B6" s="30"/>
      <c r="C6" s="30"/>
    </row>
    <row r="7" spans="1:16 16381:16384" ht="15" customHeight="1"/>
    <row r="8" spans="1:16 16381:16384" ht="45" customHeight="1">
      <c r="A8" s="474" t="s">
        <v>209</v>
      </c>
      <c r="B8" s="476" t="s">
        <v>210</v>
      </c>
      <c r="C8" s="478" t="s">
        <v>336</v>
      </c>
      <c r="D8" s="478" t="s">
        <v>337</v>
      </c>
      <c r="E8" s="478" t="s">
        <v>338</v>
      </c>
      <c r="F8" s="478" t="s">
        <v>339</v>
      </c>
      <c r="G8" s="487" t="s">
        <v>344</v>
      </c>
      <c r="H8" s="489" t="s">
        <v>345</v>
      </c>
      <c r="I8" s="472" t="s">
        <v>340</v>
      </c>
      <c r="J8" s="472" t="s">
        <v>341</v>
      </c>
      <c r="K8" s="472" t="s">
        <v>217</v>
      </c>
      <c r="L8" s="472" t="s">
        <v>342</v>
      </c>
      <c r="M8" s="472" t="s">
        <v>219</v>
      </c>
      <c r="N8" s="472" t="s">
        <v>343</v>
      </c>
      <c r="O8" s="485" t="s">
        <v>221</v>
      </c>
      <c r="P8" s="472" t="s">
        <v>222</v>
      </c>
    </row>
    <row r="9" spans="1:16 16381:16384">
      <c r="A9" s="475"/>
      <c r="B9" s="477"/>
      <c r="C9" s="472"/>
      <c r="D9" s="472"/>
      <c r="E9" s="472"/>
      <c r="F9" s="472"/>
      <c r="G9" s="488"/>
      <c r="H9" s="490"/>
      <c r="I9" s="473"/>
      <c r="J9" s="473"/>
      <c r="K9" s="473"/>
      <c r="L9" s="473"/>
      <c r="M9" s="473"/>
      <c r="N9" s="473"/>
      <c r="O9" s="486"/>
      <c r="P9" s="473"/>
      <c r="XFA9" s="73"/>
    </row>
    <row r="10" spans="1:16 16381:16384" s="73" customFormat="1" ht="30">
      <c r="A10" s="72">
        <v>13801500</v>
      </c>
      <c r="B10" s="73" t="s">
        <v>189</v>
      </c>
      <c r="C10" s="74" t="s">
        <v>258</v>
      </c>
      <c r="D10" s="36" t="s">
        <v>330</v>
      </c>
      <c r="E10" s="75"/>
      <c r="F10" s="36" t="s">
        <v>321</v>
      </c>
      <c r="G10" s="73">
        <v>1031998369.75</v>
      </c>
      <c r="H10" s="73">
        <f>406169.906214*2540.804609</f>
        <v>1031998369.745629</v>
      </c>
      <c r="I10" s="76">
        <v>43812</v>
      </c>
      <c r="J10" s="77"/>
      <c r="K10" s="71"/>
      <c r="L10" s="259" t="s">
        <v>346</v>
      </c>
      <c r="M10" s="342" t="s">
        <v>332</v>
      </c>
      <c r="N10" s="342" t="s">
        <v>334</v>
      </c>
      <c r="O10" s="259">
        <f>H10-G10</f>
        <v>-4.3710470199584961E-3</v>
      </c>
      <c r="P10" s="62"/>
      <c r="XFA10" s="23"/>
    </row>
    <row r="11" spans="1:16 16381:16384">
      <c r="I11" s="37"/>
      <c r="J11" s="37"/>
    </row>
    <row r="12" spans="1:16 16381:16384">
      <c r="B12" s="34"/>
      <c r="G12" s="40">
        <f>SUM(G10:G11)</f>
        <v>1031998369.75</v>
      </c>
      <c r="J12" s="37"/>
    </row>
    <row r="13" spans="1:16 16381:16384">
      <c r="A13" s="41"/>
      <c r="B13" s="42"/>
      <c r="C13" s="43"/>
      <c r="D13" s="43"/>
      <c r="E13" s="43"/>
      <c r="F13" s="43"/>
      <c r="G13" s="341"/>
      <c r="H13" s="43"/>
      <c r="I13" s="43"/>
      <c r="J13" s="267"/>
      <c r="K13" s="43"/>
      <c r="L13" s="43"/>
      <c r="M13" s="43"/>
      <c r="N13" s="43"/>
      <c r="O13" s="45"/>
      <c r="P13" s="43"/>
      <c r="XFA13" s="27" t="s">
        <v>319</v>
      </c>
    </row>
    <row r="14" spans="1:16 16381:16384">
      <c r="C14" s="24" t="s">
        <v>260</v>
      </c>
      <c r="XFA14" s="27" t="s">
        <v>323</v>
      </c>
      <c r="XFB14" s="27" t="s">
        <v>320</v>
      </c>
      <c r="XFC14" s="27" t="s">
        <v>321</v>
      </c>
      <c r="XFD14" s="27" t="s">
        <v>322</v>
      </c>
    </row>
    <row r="15" spans="1:16 16381:16384">
      <c r="A15" s="337" t="s">
        <v>201</v>
      </c>
      <c r="B15" s="24" t="s">
        <v>202</v>
      </c>
      <c r="C15" s="24" t="s">
        <v>1030</v>
      </c>
      <c r="D15" s="24" t="s">
        <v>203</v>
      </c>
      <c r="E15" s="24" t="s">
        <v>261</v>
      </c>
      <c r="XFA15" s="27" t="s">
        <v>327</v>
      </c>
      <c r="XFB15" s="27" t="s">
        <v>324</v>
      </c>
      <c r="XFC15" s="27" t="s">
        <v>325</v>
      </c>
      <c r="XFD15" s="27" t="s">
        <v>326</v>
      </c>
    </row>
    <row r="16" spans="1:16 16381:16384">
      <c r="A16" s="22">
        <v>13801500</v>
      </c>
      <c r="B16" s="23" t="s">
        <v>709</v>
      </c>
      <c r="C16" s="23">
        <v>52177973.200000003</v>
      </c>
      <c r="D16" s="23">
        <f ca="1">SUMIF($A$23:$G$24,A16,$G$23:$G$24)-C16</f>
        <v>0</v>
      </c>
      <c r="E16" s="23">
        <f>C16-'HW PYMES'!M18</f>
        <v>0</v>
      </c>
      <c r="XFA16" s="27" t="s">
        <v>331</v>
      </c>
      <c r="XFB16" s="27" t="s">
        <v>328</v>
      </c>
      <c r="XFC16" s="27" t="s">
        <v>329</v>
      </c>
      <c r="XFD16" s="27" t="s">
        <v>330</v>
      </c>
    </row>
    <row r="17" spans="1:16 16381:16383">
      <c r="C17" s="29">
        <f>SUM(C16:C16)</f>
        <v>52177973.200000003</v>
      </c>
      <c r="XFA17" s="27" t="s">
        <v>334</v>
      </c>
      <c r="XFB17" s="27" t="s">
        <v>332</v>
      </c>
      <c r="XFC17" s="27" t="s">
        <v>333</v>
      </c>
    </row>
    <row r="18" spans="1:16 16381:16383">
      <c r="B18" s="30" t="s">
        <v>206</v>
      </c>
      <c r="C18" s="30">
        <f>C17-G25</f>
        <v>0</v>
      </c>
      <c r="XFC18" s="27" t="s">
        <v>335</v>
      </c>
    </row>
    <row r="19" spans="1:16 16381:16383">
      <c r="B19" s="30"/>
      <c r="C19" s="30"/>
    </row>
    <row r="20" spans="1:16 16381:16383" ht="15" customHeight="1"/>
    <row r="21" spans="1:16 16381:16383" ht="45" customHeight="1">
      <c r="A21" s="474" t="s">
        <v>209</v>
      </c>
      <c r="B21" s="476" t="s">
        <v>210</v>
      </c>
      <c r="C21" s="478" t="s">
        <v>336</v>
      </c>
      <c r="D21" s="478" t="s">
        <v>337</v>
      </c>
      <c r="E21" s="478" t="s">
        <v>338</v>
      </c>
      <c r="F21" s="478" t="s">
        <v>339</v>
      </c>
      <c r="G21" s="487" t="s">
        <v>344</v>
      </c>
      <c r="H21" s="489" t="s">
        <v>345</v>
      </c>
      <c r="I21" s="472" t="s">
        <v>340</v>
      </c>
      <c r="J21" s="472" t="s">
        <v>341</v>
      </c>
      <c r="K21" s="472" t="s">
        <v>217</v>
      </c>
      <c r="L21" s="472" t="s">
        <v>342</v>
      </c>
      <c r="M21" s="472" t="s">
        <v>219</v>
      </c>
      <c r="N21" s="472" t="s">
        <v>343</v>
      </c>
      <c r="O21" s="485" t="s">
        <v>221</v>
      </c>
      <c r="P21" s="472" t="s">
        <v>222</v>
      </c>
    </row>
    <row r="22" spans="1:16 16381:16383">
      <c r="A22" s="475"/>
      <c r="B22" s="477"/>
      <c r="C22" s="472"/>
      <c r="D22" s="472"/>
      <c r="E22" s="472"/>
      <c r="F22" s="472"/>
      <c r="G22" s="488"/>
      <c r="H22" s="490"/>
      <c r="I22" s="473"/>
      <c r="J22" s="473"/>
      <c r="K22" s="473"/>
      <c r="L22" s="473"/>
      <c r="M22" s="473"/>
      <c r="N22" s="473"/>
      <c r="O22" s="486"/>
      <c r="P22" s="473"/>
      <c r="XFA22" s="73"/>
    </row>
    <row r="23" spans="1:16 16381:16383" s="73" customFormat="1" ht="30">
      <c r="A23" s="72">
        <v>13801500</v>
      </c>
      <c r="B23" s="73" t="s">
        <v>709</v>
      </c>
      <c r="C23" s="74" t="s">
        <v>258</v>
      </c>
      <c r="D23" s="36" t="s">
        <v>330</v>
      </c>
      <c r="E23" s="75"/>
      <c r="F23" s="36" t="s">
        <v>321</v>
      </c>
      <c r="G23" s="73">
        <v>52177973.200000003</v>
      </c>
      <c r="H23" s="73">
        <v>52177973.200000003</v>
      </c>
      <c r="I23" s="76">
        <v>43812</v>
      </c>
      <c r="J23" s="77"/>
      <c r="K23" s="71"/>
      <c r="L23" s="259" t="s">
        <v>346</v>
      </c>
      <c r="M23" s="342" t="s">
        <v>332</v>
      </c>
      <c r="N23" s="342" t="s">
        <v>334</v>
      </c>
      <c r="O23" s="259">
        <f>H23-G23</f>
        <v>0</v>
      </c>
      <c r="P23" s="62"/>
      <c r="XFA23" s="23"/>
    </row>
    <row r="24" spans="1:16 16381:16383">
      <c r="I24" s="37"/>
      <c r="J24" s="37"/>
    </row>
    <row r="25" spans="1:16 16381:16383">
      <c r="B25" s="34"/>
      <c r="G25" s="40">
        <f>SUM(G23:G24)</f>
        <v>52177973.200000003</v>
      </c>
      <c r="J25" s="37"/>
    </row>
  </sheetData>
  <mergeCells count="32">
    <mergeCell ref="P21:P22"/>
    <mergeCell ref="K21:K22"/>
    <mergeCell ref="L21:L22"/>
    <mergeCell ref="M21:M22"/>
    <mergeCell ref="N21:N22"/>
    <mergeCell ref="O21:O22"/>
    <mergeCell ref="F21:F22"/>
    <mergeCell ref="G21:G22"/>
    <mergeCell ref="H21:H22"/>
    <mergeCell ref="I21:I22"/>
    <mergeCell ref="J21:J22"/>
    <mergeCell ref="A21:A22"/>
    <mergeCell ref="B21:B22"/>
    <mergeCell ref="C21:C22"/>
    <mergeCell ref="D21:D22"/>
    <mergeCell ref="E21:E22"/>
    <mergeCell ref="M8:M9"/>
    <mergeCell ref="N8:N9"/>
    <mergeCell ref="O8:O9"/>
    <mergeCell ref="P8:P9"/>
    <mergeCell ref="G8:G9"/>
    <mergeCell ref="H8:H9"/>
    <mergeCell ref="I8:I9"/>
    <mergeCell ref="J8:J9"/>
    <mergeCell ref="K8:K9"/>
    <mergeCell ref="L8:L9"/>
    <mergeCell ref="F8:F9"/>
    <mergeCell ref="A8:A9"/>
    <mergeCell ref="B8:B9"/>
    <mergeCell ref="C8:C9"/>
    <mergeCell ref="D8:D9"/>
    <mergeCell ref="E8:E9"/>
  </mergeCells>
  <dataValidations count="4">
    <dataValidation type="list" allowBlank="1" showInputMessage="1" showErrorMessage="1" sqref="F10 F23" xr:uid="{40CEA04C-7270-3145-9D36-2F0A9430B153}">
      <formula1>$XFC$1:$XFC$5</formula1>
    </dataValidation>
    <dataValidation type="list" allowBlank="1" showInputMessage="1" showErrorMessage="1" sqref="M10 M23" xr:uid="{A028DFE2-C9A8-DC41-A351-DBEC215026CD}">
      <formula1>$XFB$1:$XFB$4</formula1>
    </dataValidation>
    <dataValidation type="list" allowBlank="1" showInputMessage="1" showErrorMessage="1" sqref="D10 D23" xr:uid="{7D73A916-3C9A-5D42-89E4-ED08F02D1F49}">
      <formula1>$XFD$1:$XFD$3</formula1>
    </dataValidation>
    <dataValidation type="list" allowBlank="1" showInputMessage="1" showErrorMessage="1" sqref="N10 N23" xr:uid="{8BB01EBA-0445-ED46-AF5F-F13E00A19CCE}">
      <formula1>$XFA$1:$XFA$4</formula1>
    </dataValidation>
  </dataValidations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25152-6160-2D41-B1CF-04C03EFE0E72}">
  <dimension ref="A1:XFD69"/>
  <sheetViews>
    <sheetView workbookViewId="0"/>
  </sheetViews>
  <sheetFormatPr baseColWidth="10" defaultRowHeight="15"/>
  <cols>
    <col min="1" max="1" width="9.125" style="22" bestFit="1" customWidth="1"/>
    <col min="2" max="2" width="21.375" style="23" bestFit="1" customWidth="1"/>
    <col min="3" max="3" width="16.5" style="23" bestFit="1" customWidth="1"/>
    <col min="4" max="4" width="13.625" style="23" bestFit="1" customWidth="1"/>
    <col min="5" max="5" width="17.5" style="25" bestFit="1" customWidth="1"/>
    <col min="6" max="6" width="23" style="23" bestFit="1" customWidth="1"/>
    <col min="7" max="7" width="13.625" style="23" bestFit="1" customWidth="1"/>
    <col min="8" max="8" width="12.625" style="23" bestFit="1" customWidth="1"/>
    <col min="9" max="9" width="12.125" style="23" customWidth="1"/>
    <col min="10" max="10" width="12.375" style="23" customWidth="1"/>
    <col min="11" max="11" width="11.875" style="23" customWidth="1"/>
    <col min="12" max="12" width="12.375" style="23" bestFit="1" customWidth="1"/>
    <col min="13" max="13" width="24.125" style="23" bestFit="1" customWidth="1"/>
    <col min="14" max="14" width="24.375" style="23" bestFit="1" customWidth="1"/>
    <col min="15" max="15" width="10.875" style="26"/>
    <col min="16" max="16" width="52" style="23" bestFit="1" customWidth="1"/>
    <col min="17" max="17" width="11.875" style="23" bestFit="1" customWidth="1"/>
    <col min="18" max="18" width="10.875" style="23"/>
    <col min="19" max="19" width="28.875" style="23" bestFit="1" customWidth="1"/>
    <col min="20" max="20" width="22" style="23" bestFit="1" customWidth="1"/>
    <col min="21" max="21" width="12.875" style="23" bestFit="1" customWidth="1"/>
    <col min="22" max="22" width="11.5" style="23" bestFit="1" customWidth="1"/>
    <col min="23" max="23" width="11.625" style="23" bestFit="1" customWidth="1"/>
    <col min="24" max="24" width="11.5" style="23" bestFit="1" customWidth="1"/>
    <col min="25" max="25" width="10.625" style="23" bestFit="1" customWidth="1"/>
    <col min="26" max="27" width="11.625" style="23" bestFit="1" customWidth="1"/>
    <col min="28" max="28" width="14.375" style="23" bestFit="1" customWidth="1"/>
    <col min="29" max="34" width="11" style="23" bestFit="1" customWidth="1"/>
    <col min="35" max="38" width="11.125" style="23" bestFit="1" customWidth="1"/>
    <col min="39" max="39" width="12.625" style="23" bestFit="1" customWidth="1"/>
    <col min="40" max="16381" width="10.875" style="23"/>
    <col min="16382" max="16383" width="11.375" style="23" customWidth="1"/>
    <col min="16384" max="16384" width="29.375" style="23" bestFit="1" customWidth="1"/>
  </cols>
  <sheetData>
    <row r="1" spans="1:30 16384:16384">
      <c r="C1" s="24" t="s">
        <v>1061</v>
      </c>
      <c r="XFD1" s="27" t="s">
        <v>200</v>
      </c>
    </row>
    <row r="2" spans="1:30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XFD2" s="27" t="s">
        <v>204</v>
      </c>
    </row>
    <row r="3" spans="1:30 16384:16384">
      <c r="A3" s="22">
        <v>13050500</v>
      </c>
      <c r="B3" s="23" t="s">
        <v>7</v>
      </c>
      <c r="C3" s="23">
        <v>1965882887.0100002</v>
      </c>
      <c r="D3" s="23">
        <f ca="1">SUMIF($A$10:$G$24,A3,$G$10:$G$24)-C3</f>
        <v>0</v>
      </c>
      <c r="E3" s="23">
        <f>C3-'HW PYMES'!I12</f>
        <v>0</v>
      </c>
      <c r="XFD3" s="27" t="s">
        <v>205</v>
      </c>
    </row>
    <row r="4" spans="1:30 16384:16384">
      <c r="C4" s="29">
        <f>SUM(C3:C3)</f>
        <v>1965882887.0100002</v>
      </c>
      <c r="XFD4" s="27" t="s">
        <v>224</v>
      </c>
    </row>
    <row r="5" spans="1:30 16384:16384">
      <c r="B5" s="30" t="s">
        <v>206</v>
      </c>
      <c r="C5" s="30">
        <f>C4-G25</f>
        <v>0</v>
      </c>
      <c r="XFD5" s="27" t="s">
        <v>207</v>
      </c>
    </row>
    <row r="6" spans="1:30 16384:16384">
      <c r="B6" s="30"/>
      <c r="C6" s="30"/>
      <c r="N6" s="31" t="s">
        <v>208</v>
      </c>
      <c r="XFD6" s="27" t="s">
        <v>129</v>
      </c>
    </row>
    <row r="7" spans="1:30 16384:16384">
      <c r="L7" s="32">
        <v>44196</v>
      </c>
      <c r="N7" s="33">
        <v>30</v>
      </c>
      <c r="XFD7" s="27" t="s">
        <v>225</v>
      </c>
    </row>
    <row r="8" spans="1:30 16384:16384" ht="15" customHeight="1">
      <c r="A8" s="474" t="s">
        <v>209</v>
      </c>
      <c r="B8" s="476" t="s">
        <v>210</v>
      </c>
      <c r="C8" s="478" t="s">
        <v>211</v>
      </c>
      <c r="D8" s="478" t="s">
        <v>212</v>
      </c>
      <c r="E8" s="491" t="s">
        <v>213</v>
      </c>
      <c r="F8" s="478" t="s">
        <v>214</v>
      </c>
      <c r="G8" s="479" t="s">
        <v>262</v>
      </c>
      <c r="H8" s="479" t="s">
        <v>263</v>
      </c>
      <c r="I8" s="472" t="s">
        <v>215</v>
      </c>
      <c r="J8" s="472" t="s">
        <v>216</v>
      </c>
      <c r="K8" s="472" t="s">
        <v>217</v>
      </c>
      <c r="L8" s="472" t="s">
        <v>218</v>
      </c>
      <c r="M8" s="472" t="s">
        <v>219</v>
      </c>
      <c r="N8" s="472" t="s">
        <v>220</v>
      </c>
      <c r="O8" s="485" t="s">
        <v>221</v>
      </c>
      <c r="P8" s="472" t="s">
        <v>222</v>
      </c>
      <c r="Q8" s="472" t="s">
        <v>0</v>
      </c>
      <c r="XFD8" s="27" t="s">
        <v>264</v>
      </c>
    </row>
    <row r="9" spans="1:30 16384:16384" s="56" customFormat="1" ht="45" customHeight="1">
      <c r="A9" s="475"/>
      <c r="B9" s="477"/>
      <c r="C9" s="472"/>
      <c r="D9" s="472"/>
      <c r="E9" s="492"/>
      <c r="F9" s="472"/>
      <c r="G9" s="480"/>
      <c r="H9" s="480"/>
      <c r="I9" s="473"/>
      <c r="J9" s="473"/>
      <c r="K9" s="473"/>
      <c r="L9" s="473"/>
      <c r="M9" s="473"/>
      <c r="N9" s="473"/>
      <c r="O9" s="486"/>
      <c r="P9" s="473"/>
      <c r="Q9" s="47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</row>
    <row r="10" spans="1:30 16384:16384">
      <c r="A10" s="22">
        <v>13050500</v>
      </c>
      <c r="B10" s="23" t="s">
        <v>223</v>
      </c>
      <c r="C10" s="34" t="s">
        <v>911</v>
      </c>
      <c r="D10" s="34"/>
      <c r="E10" s="35"/>
      <c r="F10" s="36" t="s">
        <v>264</v>
      </c>
      <c r="G10" s="23">
        <v>87456161.879999995</v>
      </c>
      <c r="H10" s="23">
        <v>87456161.879999995</v>
      </c>
      <c r="I10" s="37">
        <v>43757</v>
      </c>
      <c r="J10" s="37">
        <f>I10+365</f>
        <v>44122</v>
      </c>
      <c r="K10" s="38">
        <f>IF(J10-I10&lt;0,"Error",J10-I10)</f>
        <v>365</v>
      </c>
      <c r="L10" s="38">
        <f>IF($L$7-J10&lt;0,0,$L$7-J10)</f>
        <v>74</v>
      </c>
      <c r="M10" s="38" t="str">
        <f>IF(L10="","",IF(K10&gt;365,"Medir al costo amortizado","Dejar al valor nominal"))</f>
        <v>Dejar al valor nominal</v>
      </c>
      <c r="N10" s="38" t="str">
        <f>IF(L10&gt;$N$7,"Indicio de deterioro de valor","No presenta deterioro de valor")</f>
        <v>Indicio de deterioro de valor</v>
      </c>
      <c r="O10" s="38">
        <f>H10-G10</f>
        <v>0</v>
      </c>
      <c r="P10" s="39" t="s">
        <v>230</v>
      </c>
      <c r="Q10" s="29" t="s">
        <v>226</v>
      </c>
    </row>
    <row r="11" spans="1:30 16384:16384" ht="30">
      <c r="A11" s="22">
        <v>13050500</v>
      </c>
      <c r="B11" s="23" t="s">
        <v>223</v>
      </c>
      <c r="C11" s="34" t="s">
        <v>912</v>
      </c>
      <c r="D11" s="34"/>
      <c r="E11" s="35"/>
      <c r="F11" s="36" t="s">
        <v>129</v>
      </c>
      <c r="G11" s="23">
        <v>59561.47</v>
      </c>
      <c r="H11" s="23">
        <v>59561.47</v>
      </c>
      <c r="I11" s="37">
        <v>44174</v>
      </c>
      <c r="J11" s="37">
        <f>I11+365</f>
        <v>44539</v>
      </c>
      <c r="K11" s="38">
        <f t="shared" ref="K11:K23" si="0">IF(J11-I11&lt;0,"Error",J11-I11)</f>
        <v>365</v>
      </c>
      <c r="L11" s="38">
        <f t="shared" ref="L11:L23" si="1">IF($L$7-J11&lt;0,0,$L$7-J11)</f>
        <v>0</v>
      </c>
      <c r="M11" s="38" t="str">
        <f t="shared" ref="M11:M23" si="2">IF(L11="","",IF(K11&gt;365,"Medir al costo amortizado","Dejar al valor nominal"))</f>
        <v>Dejar al valor nominal</v>
      </c>
      <c r="N11" s="38" t="str">
        <f t="shared" ref="N11:N23" si="3">IF(L11&gt;$N$7,"Indicio de deterioro de valor","No presenta deterioro de valor")</f>
        <v>No presenta deterioro de valor</v>
      </c>
      <c r="O11" s="38">
        <f t="shared" ref="O11:O23" si="4">H11-G11</f>
        <v>0</v>
      </c>
      <c r="P11" s="39" t="s">
        <v>233</v>
      </c>
      <c r="Q11" s="29"/>
    </row>
    <row r="12" spans="1:30 16384:16384" ht="30">
      <c r="A12" s="22">
        <v>13050500</v>
      </c>
      <c r="B12" s="23" t="s">
        <v>223</v>
      </c>
      <c r="C12" s="34" t="s">
        <v>913</v>
      </c>
      <c r="D12" s="34"/>
      <c r="E12" s="35"/>
      <c r="F12" s="36" t="s">
        <v>205</v>
      </c>
      <c r="G12" s="23">
        <v>89390313</v>
      </c>
      <c r="H12" s="23">
        <v>89390313</v>
      </c>
      <c r="I12" s="37">
        <v>44182</v>
      </c>
      <c r="J12" s="37">
        <f>I12+90</f>
        <v>44272</v>
      </c>
      <c r="K12" s="38">
        <f t="shared" si="0"/>
        <v>90</v>
      </c>
      <c r="L12" s="38">
        <f t="shared" si="1"/>
        <v>0</v>
      </c>
      <c r="M12" s="38" t="str">
        <f t="shared" si="2"/>
        <v>Dejar al valor nominal</v>
      </c>
      <c r="N12" s="38" t="str">
        <f t="shared" si="3"/>
        <v>No presenta deterioro de valor</v>
      </c>
      <c r="O12" s="38">
        <f t="shared" si="4"/>
        <v>0</v>
      </c>
      <c r="P12" s="39" t="s">
        <v>232</v>
      </c>
      <c r="Q12" s="29"/>
    </row>
    <row r="13" spans="1:30 16384:16384" ht="30">
      <c r="A13" s="22">
        <v>13050500</v>
      </c>
      <c r="B13" s="23" t="s">
        <v>223</v>
      </c>
      <c r="C13" s="34" t="s">
        <v>913</v>
      </c>
      <c r="D13" s="34"/>
      <c r="E13" s="35"/>
      <c r="F13" s="36" t="s">
        <v>264</v>
      </c>
      <c r="G13" s="23">
        <v>206864974.53</v>
      </c>
      <c r="H13" s="23">
        <v>206864974.53</v>
      </c>
      <c r="I13" s="37">
        <v>44080</v>
      </c>
      <c r="J13" s="37">
        <f t="shared" ref="J13" si="5">I13+365</f>
        <v>44445</v>
      </c>
      <c r="K13" s="38">
        <f t="shared" si="0"/>
        <v>365</v>
      </c>
      <c r="L13" s="38">
        <f t="shared" si="1"/>
        <v>0</v>
      </c>
      <c r="M13" s="38" t="str">
        <f t="shared" si="2"/>
        <v>Dejar al valor nominal</v>
      </c>
      <c r="N13" s="38" t="str">
        <f t="shared" si="3"/>
        <v>No presenta deterioro de valor</v>
      </c>
      <c r="O13" s="38">
        <f t="shared" si="4"/>
        <v>0</v>
      </c>
      <c r="P13" s="39" t="s">
        <v>228</v>
      </c>
      <c r="Q13" s="29" t="s">
        <v>226</v>
      </c>
    </row>
    <row r="14" spans="1:30 16384:16384" ht="30">
      <c r="A14" s="22">
        <v>13050500</v>
      </c>
      <c r="B14" s="23" t="s">
        <v>223</v>
      </c>
      <c r="C14" s="34" t="s">
        <v>914</v>
      </c>
      <c r="D14" s="34"/>
      <c r="E14" s="35"/>
      <c r="F14" s="36" t="s">
        <v>205</v>
      </c>
      <c r="G14" s="23">
        <v>776058756.37000012</v>
      </c>
      <c r="H14" s="23">
        <v>776058756.37000012</v>
      </c>
      <c r="I14" s="37">
        <v>44135</v>
      </c>
      <c r="J14" s="37">
        <f>I14+90</f>
        <v>44225</v>
      </c>
      <c r="K14" s="38">
        <f t="shared" si="0"/>
        <v>90</v>
      </c>
      <c r="L14" s="38">
        <f t="shared" si="1"/>
        <v>0</v>
      </c>
      <c r="M14" s="38" t="str">
        <f t="shared" si="2"/>
        <v>Dejar al valor nominal</v>
      </c>
      <c r="N14" s="38" t="str">
        <f t="shared" si="3"/>
        <v>No presenta deterioro de valor</v>
      </c>
      <c r="O14" s="38">
        <f t="shared" si="4"/>
        <v>0</v>
      </c>
      <c r="P14" s="39" t="s">
        <v>930</v>
      </c>
      <c r="Q14" s="34"/>
    </row>
    <row r="15" spans="1:30 16384:16384" ht="30">
      <c r="A15" s="22">
        <v>13050500</v>
      </c>
      <c r="B15" s="23" t="s">
        <v>223</v>
      </c>
      <c r="C15" s="34" t="s">
        <v>914</v>
      </c>
      <c r="D15" s="34"/>
      <c r="E15" s="35"/>
      <c r="F15" s="36" t="s">
        <v>264</v>
      </c>
      <c r="G15" s="23">
        <v>183404464.09999999</v>
      </c>
      <c r="H15" s="23">
        <v>183404464.09999999</v>
      </c>
      <c r="I15" s="37">
        <v>43869</v>
      </c>
      <c r="J15" s="37">
        <f>I15+365</f>
        <v>44234</v>
      </c>
      <c r="K15" s="38">
        <f t="shared" si="0"/>
        <v>365</v>
      </c>
      <c r="L15" s="38">
        <f t="shared" si="1"/>
        <v>0</v>
      </c>
      <c r="M15" s="38" t="str">
        <f t="shared" si="2"/>
        <v>Dejar al valor nominal</v>
      </c>
      <c r="N15" s="38" t="str">
        <f t="shared" si="3"/>
        <v>No presenta deterioro de valor</v>
      </c>
      <c r="O15" s="38">
        <f t="shared" si="4"/>
        <v>0</v>
      </c>
      <c r="P15" s="39" t="s">
        <v>228</v>
      </c>
      <c r="Q15" s="29" t="s">
        <v>226</v>
      </c>
    </row>
    <row r="16" spans="1:30 16384:16384">
      <c r="A16" s="22">
        <v>13050500</v>
      </c>
      <c r="B16" s="23" t="s">
        <v>223</v>
      </c>
      <c r="C16" s="34" t="s">
        <v>915</v>
      </c>
      <c r="D16" s="34"/>
      <c r="E16" s="35"/>
      <c r="F16" s="36" t="s">
        <v>264</v>
      </c>
      <c r="G16" s="23">
        <v>255706146.59000003</v>
      </c>
      <c r="H16" s="23">
        <v>255706146.59000003</v>
      </c>
      <c r="I16" s="37">
        <v>43586</v>
      </c>
      <c r="J16" s="37">
        <f t="shared" ref="J16:J17" si="6">I16+365</f>
        <v>43951</v>
      </c>
      <c r="K16" s="38">
        <f t="shared" si="0"/>
        <v>365</v>
      </c>
      <c r="L16" s="38">
        <f t="shared" si="1"/>
        <v>245</v>
      </c>
      <c r="M16" s="38" t="str">
        <f t="shared" si="2"/>
        <v>Dejar al valor nominal</v>
      </c>
      <c r="N16" s="38" t="str">
        <f t="shared" si="3"/>
        <v>Indicio de deterioro de valor</v>
      </c>
      <c r="O16" s="38">
        <f t="shared" si="4"/>
        <v>0</v>
      </c>
      <c r="P16" s="39" t="s">
        <v>230</v>
      </c>
      <c r="Q16" s="29" t="s">
        <v>226</v>
      </c>
    </row>
    <row r="17" spans="1:17">
      <c r="A17" s="22">
        <v>13050500</v>
      </c>
      <c r="B17" s="23" t="s">
        <v>223</v>
      </c>
      <c r="C17" s="34" t="s">
        <v>916</v>
      </c>
      <c r="D17" s="34"/>
      <c r="E17" s="35"/>
      <c r="F17" s="36" t="s">
        <v>264</v>
      </c>
      <c r="G17" s="23">
        <v>74708180.420000002</v>
      </c>
      <c r="H17" s="23">
        <v>74708180.420000002</v>
      </c>
      <c r="I17" s="37">
        <v>43778</v>
      </c>
      <c r="J17" s="37">
        <f t="shared" si="6"/>
        <v>44143</v>
      </c>
      <c r="K17" s="38">
        <f t="shared" si="0"/>
        <v>365</v>
      </c>
      <c r="L17" s="38">
        <f t="shared" si="1"/>
        <v>53</v>
      </c>
      <c r="M17" s="38" t="str">
        <f t="shared" si="2"/>
        <v>Dejar al valor nominal</v>
      </c>
      <c r="N17" s="38" t="str">
        <f t="shared" si="3"/>
        <v>Indicio de deterioro de valor</v>
      </c>
      <c r="O17" s="38">
        <f t="shared" si="4"/>
        <v>0</v>
      </c>
      <c r="P17" s="39" t="s">
        <v>230</v>
      </c>
      <c r="Q17" s="29" t="s">
        <v>226</v>
      </c>
    </row>
    <row r="18" spans="1:17" ht="30">
      <c r="A18" s="22">
        <v>13050500</v>
      </c>
      <c r="B18" s="23" t="s">
        <v>223</v>
      </c>
      <c r="C18" s="34" t="s">
        <v>917</v>
      </c>
      <c r="D18" s="34"/>
      <c r="E18" s="35"/>
      <c r="F18" s="36" t="s">
        <v>205</v>
      </c>
      <c r="G18" s="23">
        <v>24647607.93</v>
      </c>
      <c r="H18" s="23">
        <v>24647607.93</v>
      </c>
      <c r="I18" s="37">
        <v>44091</v>
      </c>
      <c r="J18" s="37">
        <f>I18+90</f>
        <v>44181</v>
      </c>
      <c r="K18" s="38">
        <f t="shared" si="0"/>
        <v>90</v>
      </c>
      <c r="L18" s="38">
        <f t="shared" si="1"/>
        <v>15</v>
      </c>
      <c r="M18" s="38" t="str">
        <f t="shared" si="2"/>
        <v>Dejar al valor nominal</v>
      </c>
      <c r="N18" s="38" t="str">
        <f t="shared" si="3"/>
        <v>No presenta deterioro de valor</v>
      </c>
      <c r="O18" s="38">
        <f t="shared" si="4"/>
        <v>0</v>
      </c>
      <c r="P18" s="39" t="s">
        <v>931</v>
      </c>
      <c r="Q18" s="34"/>
    </row>
    <row r="19" spans="1:17" ht="30">
      <c r="A19" s="22">
        <v>13050500</v>
      </c>
      <c r="B19" s="23" t="s">
        <v>223</v>
      </c>
      <c r="C19" s="34" t="s">
        <v>917</v>
      </c>
      <c r="D19" s="34"/>
      <c r="E19" s="35"/>
      <c r="F19" s="36" t="s">
        <v>264</v>
      </c>
      <c r="G19" s="23">
        <v>12233602.91</v>
      </c>
      <c r="H19" s="23">
        <v>12233602.91</v>
      </c>
      <c r="I19" s="37">
        <v>44196</v>
      </c>
      <c r="J19" s="37">
        <f>I19+365</f>
        <v>44561</v>
      </c>
      <c r="K19" s="38">
        <f t="shared" si="0"/>
        <v>365</v>
      </c>
      <c r="L19" s="38">
        <f t="shared" si="1"/>
        <v>0</v>
      </c>
      <c r="M19" s="38" t="str">
        <f t="shared" si="2"/>
        <v>Dejar al valor nominal</v>
      </c>
      <c r="N19" s="38" t="str">
        <f t="shared" si="3"/>
        <v>No presenta deterioro de valor</v>
      </c>
      <c r="O19" s="38">
        <f t="shared" si="4"/>
        <v>0</v>
      </c>
      <c r="P19" s="39" t="s">
        <v>228</v>
      </c>
      <c r="Q19" s="29" t="s">
        <v>226</v>
      </c>
    </row>
    <row r="20" spans="1:17" ht="30">
      <c r="A20" s="22">
        <v>13050500</v>
      </c>
      <c r="B20" s="23" t="s">
        <v>223</v>
      </c>
      <c r="C20" s="34" t="s">
        <v>918</v>
      </c>
      <c r="D20" s="34"/>
      <c r="E20" s="35"/>
      <c r="F20" s="36" t="s">
        <v>264</v>
      </c>
      <c r="G20" s="23">
        <v>40621551.509999998</v>
      </c>
      <c r="H20" s="23">
        <v>40621551.509999998</v>
      </c>
      <c r="I20" s="37">
        <v>44196</v>
      </c>
      <c r="J20" s="37">
        <f>I20+365</f>
        <v>44561</v>
      </c>
      <c r="K20" s="38">
        <f t="shared" si="0"/>
        <v>365</v>
      </c>
      <c r="L20" s="38">
        <f t="shared" si="1"/>
        <v>0</v>
      </c>
      <c r="M20" s="38" t="str">
        <f t="shared" si="2"/>
        <v>Dejar al valor nominal</v>
      </c>
      <c r="N20" s="38" t="str">
        <f t="shared" si="3"/>
        <v>No presenta deterioro de valor</v>
      </c>
      <c r="O20" s="38">
        <f t="shared" si="4"/>
        <v>0</v>
      </c>
      <c r="P20" s="39" t="s">
        <v>228</v>
      </c>
      <c r="Q20" s="29" t="s">
        <v>226</v>
      </c>
    </row>
    <row r="21" spans="1:17" ht="30">
      <c r="A21" s="22">
        <v>13050500</v>
      </c>
      <c r="B21" s="23" t="s">
        <v>223</v>
      </c>
      <c r="C21" s="34" t="s">
        <v>919</v>
      </c>
      <c r="D21" s="34"/>
      <c r="E21" s="35"/>
      <c r="F21" s="36" t="s">
        <v>264</v>
      </c>
      <c r="G21" s="23">
        <v>52053650.590000004</v>
      </c>
      <c r="H21" s="23">
        <v>52053650.590000004</v>
      </c>
      <c r="I21" s="37">
        <v>44013</v>
      </c>
      <c r="J21" s="37">
        <f>I21+365</f>
        <v>44378</v>
      </c>
      <c r="K21" s="38">
        <f t="shared" si="0"/>
        <v>365</v>
      </c>
      <c r="L21" s="38">
        <f t="shared" si="1"/>
        <v>0</v>
      </c>
      <c r="M21" s="38" t="str">
        <f t="shared" si="2"/>
        <v>Dejar al valor nominal</v>
      </c>
      <c r="N21" s="38" t="str">
        <f t="shared" si="3"/>
        <v>No presenta deterioro de valor</v>
      </c>
      <c r="O21" s="38">
        <f t="shared" si="4"/>
        <v>0</v>
      </c>
      <c r="P21" s="39" t="s">
        <v>228</v>
      </c>
      <c r="Q21" s="29" t="s">
        <v>226</v>
      </c>
    </row>
    <row r="22" spans="1:17" ht="30">
      <c r="A22" s="22">
        <v>13050500</v>
      </c>
      <c r="B22" s="23" t="s">
        <v>223</v>
      </c>
      <c r="C22" s="34" t="s">
        <v>920</v>
      </c>
      <c r="D22" s="34"/>
      <c r="E22" s="35"/>
      <c r="F22" s="36" t="s">
        <v>205</v>
      </c>
      <c r="G22" s="23">
        <v>139258609.94999999</v>
      </c>
      <c r="H22" s="23">
        <v>139258609.94999999</v>
      </c>
      <c r="I22" s="37">
        <v>44174</v>
      </c>
      <c r="J22" s="37">
        <f>I22+90</f>
        <v>44264</v>
      </c>
      <c r="K22" s="38">
        <f t="shared" si="0"/>
        <v>90</v>
      </c>
      <c r="L22" s="38">
        <f t="shared" si="1"/>
        <v>0</v>
      </c>
      <c r="M22" s="38" t="str">
        <f t="shared" si="2"/>
        <v>Dejar al valor nominal</v>
      </c>
      <c r="N22" s="38" t="str">
        <f t="shared" si="3"/>
        <v>No presenta deterioro de valor</v>
      </c>
      <c r="O22" s="38">
        <f t="shared" si="4"/>
        <v>0</v>
      </c>
      <c r="P22" s="39" t="s">
        <v>932</v>
      </c>
      <c r="Q22" s="34"/>
    </row>
    <row r="23" spans="1:17" ht="30">
      <c r="A23" s="22">
        <v>13050500</v>
      </c>
      <c r="B23" s="23" t="s">
        <v>223</v>
      </c>
      <c r="C23" s="34" t="s">
        <v>920</v>
      </c>
      <c r="D23" s="34"/>
      <c r="E23" s="35"/>
      <c r="F23" s="36" t="s">
        <v>264</v>
      </c>
      <c r="G23" s="23">
        <v>23419305.759999998</v>
      </c>
      <c r="H23" s="23">
        <v>23419305.759999998</v>
      </c>
      <c r="I23" s="37">
        <v>44162</v>
      </c>
      <c r="J23" s="37">
        <f>I23+365</f>
        <v>44527</v>
      </c>
      <c r="K23" s="38">
        <f t="shared" si="0"/>
        <v>365</v>
      </c>
      <c r="L23" s="38">
        <f t="shared" si="1"/>
        <v>0</v>
      </c>
      <c r="M23" s="38" t="str">
        <f t="shared" si="2"/>
        <v>Dejar al valor nominal</v>
      </c>
      <c r="N23" s="38" t="str">
        <f t="shared" si="3"/>
        <v>No presenta deterioro de valor</v>
      </c>
      <c r="O23" s="38">
        <f t="shared" si="4"/>
        <v>0</v>
      </c>
      <c r="P23" s="39" t="s">
        <v>228</v>
      </c>
      <c r="Q23" s="29" t="s">
        <v>226</v>
      </c>
    </row>
    <row r="24" spans="1:17">
      <c r="C24" s="34"/>
      <c r="D24" s="34"/>
      <c r="E24" s="35"/>
      <c r="F24" s="46"/>
      <c r="I24" s="37"/>
      <c r="J24" s="37"/>
      <c r="K24" s="47"/>
      <c r="L24" s="47"/>
      <c r="M24" s="47"/>
      <c r="N24" s="47"/>
      <c r="O24" s="47"/>
      <c r="P24" s="39"/>
      <c r="Q24" s="29"/>
    </row>
    <row r="25" spans="1:17">
      <c r="B25" s="34"/>
      <c r="G25" s="40">
        <f>SUM(G10:G24)</f>
        <v>1965882887.0100002</v>
      </c>
    </row>
    <row r="27" spans="1:17" ht="15.75">
      <c r="A27" s="29" t="s">
        <v>231</v>
      </c>
    </row>
    <row r="28" spans="1:17">
      <c r="A28" s="41"/>
      <c r="B28" s="42"/>
      <c r="C28" s="43"/>
      <c r="D28" s="43"/>
      <c r="E28" s="44"/>
      <c r="F28" s="43"/>
      <c r="G28" s="43"/>
      <c r="H28" s="43"/>
      <c r="I28" s="43"/>
      <c r="J28" s="43"/>
      <c r="K28" s="43"/>
      <c r="L28" s="43"/>
      <c r="M28" s="43"/>
      <c r="N28" s="43"/>
      <c r="O28" s="45"/>
      <c r="P28" s="43"/>
    </row>
    <row r="37" spans="1:16384">
      <c r="C37" s="24" t="s">
        <v>260</v>
      </c>
      <c r="XFD37" s="27" t="s">
        <v>200</v>
      </c>
    </row>
    <row r="38" spans="1:16384">
      <c r="A38" s="334" t="s">
        <v>201</v>
      </c>
      <c r="B38" s="24" t="s">
        <v>202</v>
      </c>
      <c r="C38" s="24" t="s">
        <v>1030</v>
      </c>
      <c r="D38" s="24" t="s">
        <v>203</v>
      </c>
      <c r="E38" s="24" t="s">
        <v>261</v>
      </c>
      <c r="XFD38" s="27" t="s">
        <v>204</v>
      </c>
    </row>
    <row r="39" spans="1:16384">
      <c r="A39" s="22">
        <v>13050500</v>
      </c>
      <c r="B39" s="23" t="s">
        <v>7</v>
      </c>
      <c r="C39" s="23">
        <v>1789358481.3</v>
      </c>
      <c r="D39" s="23">
        <f ca="1">SUMIF($A$46:$H$65,A39,$H$46:$H$65)-C39</f>
        <v>-0.4999997615814209</v>
      </c>
      <c r="E39" s="23">
        <f>C39-'HW PYMES'!M12</f>
        <v>0</v>
      </c>
      <c r="XFD39" s="27" t="s">
        <v>205</v>
      </c>
    </row>
    <row r="40" spans="1:16384">
      <c r="C40" s="29">
        <f>SUM(C39:C39)</f>
        <v>1789358481.3</v>
      </c>
      <c r="XFD40" s="27" t="s">
        <v>224</v>
      </c>
    </row>
    <row r="41" spans="1:16384">
      <c r="B41" s="30" t="s">
        <v>206</v>
      </c>
      <c r="C41" s="30">
        <f>C40-G66</f>
        <v>0.4999997615814209</v>
      </c>
      <c r="XFD41" s="27" t="s">
        <v>207</v>
      </c>
    </row>
    <row r="42" spans="1:16384">
      <c r="B42" s="30"/>
      <c r="C42" s="30"/>
      <c r="N42" s="333" t="s">
        <v>208</v>
      </c>
      <c r="XFD42" s="27" t="s">
        <v>129</v>
      </c>
    </row>
    <row r="43" spans="1:16384">
      <c r="L43" s="32">
        <v>44196</v>
      </c>
      <c r="N43" s="33">
        <v>30</v>
      </c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6"/>
      <c r="DM43" s="56"/>
      <c r="DN43" s="56"/>
      <c r="DO43" s="56"/>
      <c r="DP43" s="56"/>
      <c r="DQ43" s="56"/>
      <c r="DR43" s="56"/>
      <c r="DS43" s="56"/>
      <c r="DT43" s="56"/>
      <c r="DU43" s="56"/>
      <c r="DV43" s="56"/>
      <c r="DW43" s="56"/>
      <c r="DX43" s="56"/>
      <c r="DY43" s="56"/>
      <c r="DZ43" s="56"/>
      <c r="EA43" s="56"/>
      <c r="EB43" s="56"/>
      <c r="EC43" s="56"/>
      <c r="ED43" s="56"/>
      <c r="EE43" s="56"/>
      <c r="EF43" s="56"/>
      <c r="EG43" s="56"/>
      <c r="EH43" s="56"/>
      <c r="EI43" s="56"/>
      <c r="EJ43" s="56"/>
      <c r="EK43" s="56"/>
      <c r="EL43" s="56"/>
      <c r="EM43" s="56"/>
      <c r="EN43" s="56"/>
      <c r="EO43" s="56"/>
      <c r="EP43" s="56"/>
      <c r="EQ43" s="56"/>
      <c r="ER43" s="56"/>
      <c r="ES43" s="56"/>
      <c r="ET43" s="56"/>
      <c r="EU43" s="56"/>
      <c r="EV43" s="56"/>
      <c r="EW43" s="56"/>
      <c r="EX43" s="56"/>
      <c r="EY43" s="56"/>
      <c r="EZ43" s="56"/>
      <c r="FA43" s="56"/>
      <c r="FB43" s="56"/>
      <c r="FC43" s="56"/>
      <c r="FD43" s="56"/>
      <c r="FE43" s="56"/>
      <c r="FF43" s="56"/>
      <c r="FG43" s="56"/>
      <c r="FH43" s="56"/>
      <c r="FI43" s="56"/>
      <c r="FJ43" s="56"/>
      <c r="FK43" s="56"/>
      <c r="FL43" s="56"/>
      <c r="FM43" s="56"/>
      <c r="FN43" s="56"/>
      <c r="FO43" s="56"/>
      <c r="FP43" s="56"/>
      <c r="FQ43" s="56"/>
      <c r="FR43" s="56"/>
      <c r="FS43" s="56"/>
      <c r="FT43" s="56"/>
      <c r="FU43" s="56"/>
      <c r="FV43" s="56"/>
      <c r="FW43" s="56"/>
      <c r="FX43" s="56"/>
      <c r="FY43" s="56"/>
      <c r="FZ43" s="56"/>
      <c r="GA43" s="56"/>
      <c r="GB43" s="56"/>
      <c r="GC43" s="56"/>
      <c r="GD43" s="56"/>
      <c r="GE43" s="56"/>
      <c r="GF43" s="56"/>
      <c r="GG43" s="56"/>
      <c r="GH43" s="56"/>
      <c r="GI43" s="56"/>
      <c r="GJ43" s="56"/>
      <c r="GK43" s="56"/>
      <c r="GL43" s="56"/>
      <c r="GM43" s="56"/>
      <c r="GN43" s="56"/>
      <c r="GO43" s="56"/>
      <c r="GP43" s="56"/>
      <c r="GQ43" s="56"/>
      <c r="GR43" s="56"/>
      <c r="GS43" s="56"/>
      <c r="GT43" s="56"/>
      <c r="GU43" s="56"/>
      <c r="GV43" s="56"/>
      <c r="GW43" s="56"/>
      <c r="GX43" s="56"/>
      <c r="GY43" s="56"/>
      <c r="GZ43" s="56"/>
      <c r="HA43" s="56"/>
      <c r="HB43" s="56"/>
      <c r="HC43" s="56"/>
      <c r="HD43" s="56"/>
      <c r="HE43" s="56"/>
      <c r="HF43" s="56"/>
      <c r="HG43" s="56"/>
      <c r="HH43" s="56"/>
      <c r="HI43" s="56"/>
      <c r="HJ43" s="56"/>
      <c r="HK43" s="56"/>
      <c r="HL43" s="56"/>
      <c r="HM43" s="56"/>
      <c r="HN43" s="56"/>
      <c r="HO43" s="56"/>
      <c r="HP43" s="56"/>
      <c r="HQ43" s="56"/>
      <c r="HR43" s="56"/>
      <c r="HS43" s="56"/>
      <c r="HT43" s="56"/>
      <c r="HU43" s="56"/>
      <c r="HV43" s="56"/>
      <c r="HW43" s="56"/>
      <c r="HX43" s="56"/>
      <c r="HY43" s="56"/>
      <c r="HZ43" s="56"/>
      <c r="IA43" s="56"/>
      <c r="IB43" s="56"/>
      <c r="IC43" s="56"/>
      <c r="ID43" s="56"/>
      <c r="IE43" s="56"/>
      <c r="IF43" s="56"/>
      <c r="IG43" s="56"/>
      <c r="IH43" s="56"/>
      <c r="II43" s="56"/>
      <c r="IJ43" s="56"/>
      <c r="IK43" s="56"/>
      <c r="IL43" s="56"/>
      <c r="IM43" s="56"/>
      <c r="IN43" s="56"/>
      <c r="IO43" s="56"/>
      <c r="IP43" s="56"/>
      <c r="IQ43" s="56"/>
      <c r="IR43" s="56"/>
      <c r="IS43" s="56"/>
      <c r="IT43" s="56"/>
      <c r="IU43" s="56"/>
      <c r="IV43" s="56"/>
      <c r="IW43" s="56"/>
      <c r="IX43" s="56"/>
      <c r="IY43" s="56"/>
      <c r="IZ43" s="56"/>
      <c r="JA43" s="56"/>
      <c r="JB43" s="56"/>
      <c r="JC43" s="56"/>
      <c r="JD43" s="56"/>
      <c r="JE43" s="56"/>
      <c r="JF43" s="56"/>
      <c r="JG43" s="56"/>
      <c r="JH43" s="56"/>
      <c r="JI43" s="56"/>
      <c r="JJ43" s="56"/>
      <c r="JK43" s="56"/>
      <c r="JL43" s="56"/>
      <c r="JM43" s="56"/>
      <c r="JN43" s="56"/>
      <c r="JO43" s="56"/>
      <c r="JP43" s="56"/>
      <c r="JQ43" s="56"/>
      <c r="JR43" s="56"/>
      <c r="JS43" s="56"/>
      <c r="JT43" s="56"/>
      <c r="JU43" s="56"/>
      <c r="JV43" s="56"/>
      <c r="JW43" s="56"/>
      <c r="JX43" s="56"/>
      <c r="JY43" s="56"/>
      <c r="JZ43" s="56"/>
      <c r="KA43" s="56"/>
      <c r="KB43" s="56"/>
      <c r="KC43" s="56"/>
      <c r="KD43" s="56"/>
      <c r="KE43" s="56"/>
      <c r="KF43" s="56"/>
      <c r="KG43" s="56"/>
      <c r="KH43" s="56"/>
      <c r="KI43" s="56"/>
      <c r="KJ43" s="56"/>
      <c r="KK43" s="56"/>
      <c r="KL43" s="56"/>
      <c r="KM43" s="56"/>
      <c r="KN43" s="56"/>
      <c r="KO43" s="56"/>
      <c r="KP43" s="56"/>
      <c r="KQ43" s="56"/>
      <c r="KR43" s="56"/>
      <c r="KS43" s="56"/>
      <c r="KT43" s="56"/>
      <c r="KU43" s="56"/>
      <c r="KV43" s="56"/>
      <c r="KW43" s="56"/>
      <c r="KX43" s="56"/>
      <c r="KY43" s="56"/>
      <c r="KZ43" s="56"/>
      <c r="LA43" s="56"/>
      <c r="LB43" s="56"/>
      <c r="LC43" s="56"/>
      <c r="LD43" s="56"/>
      <c r="LE43" s="56"/>
      <c r="LF43" s="56"/>
      <c r="LG43" s="56"/>
      <c r="LH43" s="56"/>
      <c r="LI43" s="56"/>
      <c r="LJ43" s="56"/>
      <c r="LK43" s="56"/>
      <c r="LL43" s="56"/>
      <c r="LM43" s="56"/>
      <c r="LN43" s="56"/>
      <c r="LO43" s="56"/>
      <c r="LP43" s="56"/>
      <c r="LQ43" s="56"/>
      <c r="LR43" s="56"/>
      <c r="LS43" s="56"/>
      <c r="LT43" s="56"/>
      <c r="LU43" s="56"/>
      <c r="LV43" s="56"/>
      <c r="LW43" s="56"/>
      <c r="LX43" s="56"/>
      <c r="LY43" s="56"/>
      <c r="LZ43" s="56"/>
      <c r="MA43" s="56"/>
      <c r="MB43" s="56"/>
      <c r="MC43" s="56"/>
      <c r="MD43" s="56"/>
      <c r="ME43" s="56"/>
      <c r="MF43" s="56"/>
      <c r="MG43" s="56"/>
      <c r="MH43" s="56"/>
      <c r="MI43" s="56"/>
      <c r="MJ43" s="56"/>
      <c r="MK43" s="56"/>
      <c r="ML43" s="56"/>
      <c r="MM43" s="56"/>
      <c r="MN43" s="56"/>
      <c r="MO43" s="56"/>
      <c r="MP43" s="56"/>
      <c r="MQ43" s="56"/>
      <c r="MR43" s="56"/>
      <c r="MS43" s="56"/>
      <c r="MT43" s="56"/>
      <c r="MU43" s="56"/>
      <c r="MV43" s="56"/>
      <c r="MW43" s="56"/>
      <c r="MX43" s="56"/>
      <c r="MY43" s="56"/>
      <c r="MZ43" s="56"/>
      <c r="NA43" s="56"/>
      <c r="NB43" s="56"/>
      <c r="NC43" s="56"/>
      <c r="ND43" s="56"/>
      <c r="NE43" s="56"/>
      <c r="NF43" s="56"/>
      <c r="NG43" s="56"/>
      <c r="NH43" s="56"/>
      <c r="NI43" s="56"/>
      <c r="NJ43" s="56"/>
      <c r="NK43" s="56"/>
      <c r="NL43" s="56"/>
      <c r="NM43" s="56"/>
      <c r="NN43" s="56"/>
      <c r="NO43" s="56"/>
      <c r="NP43" s="56"/>
      <c r="NQ43" s="56"/>
      <c r="NR43" s="56"/>
      <c r="NS43" s="56"/>
      <c r="NT43" s="56"/>
      <c r="NU43" s="56"/>
      <c r="NV43" s="56"/>
      <c r="NW43" s="56"/>
      <c r="NX43" s="56"/>
      <c r="NY43" s="56"/>
      <c r="NZ43" s="56"/>
      <c r="OA43" s="56"/>
      <c r="OB43" s="56"/>
      <c r="OC43" s="56"/>
      <c r="OD43" s="56"/>
      <c r="OE43" s="56"/>
      <c r="OF43" s="56"/>
      <c r="OG43" s="56"/>
      <c r="OH43" s="56"/>
      <c r="OI43" s="56"/>
      <c r="OJ43" s="56"/>
      <c r="OK43" s="56"/>
      <c r="OL43" s="56"/>
      <c r="OM43" s="56"/>
      <c r="ON43" s="56"/>
      <c r="OO43" s="56"/>
      <c r="OP43" s="56"/>
      <c r="OQ43" s="56"/>
      <c r="OR43" s="56"/>
      <c r="OS43" s="56"/>
      <c r="OT43" s="56"/>
      <c r="OU43" s="56"/>
      <c r="OV43" s="56"/>
      <c r="OW43" s="56"/>
      <c r="OX43" s="56"/>
      <c r="OY43" s="56"/>
      <c r="OZ43" s="56"/>
      <c r="PA43" s="56"/>
      <c r="PB43" s="56"/>
      <c r="PC43" s="56"/>
      <c r="PD43" s="56"/>
      <c r="PE43" s="56"/>
      <c r="PF43" s="56"/>
      <c r="PG43" s="56"/>
      <c r="PH43" s="56"/>
      <c r="PI43" s="56"/>
      <c r="PJ43" s="56"/>
      <c r="PK43" s="56"/>
      <c r="PL43" s="56"/>
      <c r="PM43" s="56"/>
      <c r="PN43" s="56"/>
      <c r="PO43" s="56"/>
      <c r="PP43" s="56"/>
      <c r="PQ43" s="56"/>
      <c r="PR43" s="56"/>
      <c r="PS43" s="56"/>
      <c r="PT43" s="56"/>
      <c r="PU43" s="56"/>
      <c r="PV43" s="56"/>
      <c r="PW43" s="56"/>
      <c r="PX43" s="56"/>
      <c r="PY43" s="56"/>
      <c r="PZ43" s="56"/>
      <c r="QA43" s="56"/>
      <c r="QB43" s="56"/>
      <c r="QC43" s="56"/>
      <c r="QD43" s="56"/>
      <c r="QE43" s="56"/>
      <c r="QF43" s="56"/>
      <c r="QG43" s="56"/>
      <c r="QH43" s="56"/>
      <c r="QI43" s="56"/>
      <c r="QJ43" s="56"/>
      <c r="QK43" s="56"/>
      <c r="QL43" s="56"/>
      <c r="QM43" s="56"/>
      <c r="QN43" s="56"/>
      <c r="QO43" s="56"/>
      <c r="QP43" s="56"/>
      <c r="QQ43" s="56"/>
      <c r="QR43" s="56"/>
      <c r="QS43" s="56"/>
      <c r="QT43" s="56"/>
      <c r="QU43" s="56"/>
      <c r="QV43" s="56"/>
      <c r="QW43" s="56"/>
      <c r="QX43" s="56"/>
      <c r="QY43" s="56"/>
      <c r="QZ43" s="56"/>
      <c r="RA43" s="56"/>
      <c r="RB43" s="56"/>
      <c r="RC43" s="56"/>
      <c r="RD43" s="56"/>
      <c r="RE43" s="56"/>
      <c r="RF43" s="56"/>
      <c r="RG43" s="56"/>
      <c r="RH43" s="56"/>
      <c r="RI43" s="56"/>
      <c r="RJ43" s="56"/>
      <c r="RK43" s="56"/>
      <c r="RL43" s="56"/>
      <c r="RM43" s="56"/>
      <c r="RN43" s="56"/>
      <c r="RO43" s="56"/>
      <c r="RP43" s="56"/>
      <c r="RQ43" s="56"/>
      <c r="RR43" s="56"/>
      <c r="RS43" s="56"/>
      <c r="RT43" s="56"/>
      <c r="RU43" s="56"/>
      <c r="RV43" s="56"/>
      <c r="RW43" s="56"/>
      <c r="RX43" s="56"/>
      <c r="RY43" s="56"/>
      <c r="RZ43" s="56"/>
      <c r="SA43" s="56"/>
      <c r="SB43" s="56"/>
      <c r="SC43" s="56"/>
      <c r="SD43" s="56"/>
      <c r="SE43" s="56"/>
      <c r="SF43" s="56"/>
      <c r="SG43" s="56"/>
      <c r="SH43" s="56"/>
      <c r="SI43" s="56"/>
      <c r="SJ43" s="56"/>
      <c r="SK43" s="56"/>
      <c r="SL43" s="56"/>
      <c r="SM43" s="56"/>
      <c r="SN43" s="56"/>
      <c r="SO43" s="56"/>
      <c r="SP43" s="56"/>
      <c r="SQ43" s="56"/>
      <c r="SR43" s="56"/>
      <c r="SS43" s="56"/>
      <c r="ST43" s="56"/>
      <c r="SU43" s="56"/>
      <c r="SV43" s="56"/>
      <c r="SW43" s="56"/>
      <c r="SX43" s="56"/>
      <c r="SY43" s="56"/>
      <c r="SZ43" s="56"/>
      <c r="TA43" s="56"/>
      <c r="TB43" s="56"/>
      <c r="TC43" s="56"/>
      <c r="TD43" s="56"/>
      <c r="TE43" s="56"/>
      <c r="TF43" s="56"/>
      <c r="TG43" s="56"/>
      <c r="TH43" s="56"/>
      <c r="TI43" s="56"/>
      <c r="TJ43" s="56"/>
      <c r="TK43" s="56"/>
      <c r="TL43" s="56"/>
      <c r="TM43" s="56"/>
      <c r="TN43" s="56"/>
      <c r="TO43" s="56"/>
      <c r="TP43" s="56"/>
      <c r="TQ43" s="56"/>
      <c r="TR43" s="56"/>
      <c r="TS43" s="56"/>
      <c r="TT43" s="56"/>
      <c r="TU43" s="56"/>
      <c r="TV43" s="56"/>
      <c r="TW43" s="56"/>
      <c r="TX43" s="56"/>
      <c r="TY43" s="56"/>
      <c r="TZ43" s="56"/>
      <c r="UA43" s="56"/>
      <c r="UB43" s="56"/>
      <c r="UC43" s="56"/>
      <c r="UD43" s="56"/>
      <c r="UE43" s="56"/>
      <c r="UF43" s="56"/>
      <c r="UG43" s="56"/>
      <c r="UH43" s="56"/>
      <c r="UI43" s="56"/>
      <c r="UJ43" s="56"/>
      <c r="UK43" s="56"/>
      <c r="UL43" s="56"/>
      <c r="UM43" s="56"/>
      <c r="UN43" s="56"/>
      <c r="UO43" s="56"/>
      <c r="UP43" s="56"/>
      <c r="UQ43" s="56"/>
      <c r="UR43" s="56"/>
      <c r="US43" s="56"/>
      <c r="UT43" s="56"/>
      <c r="UU43" s="56"/>
      <c r="UV43" s="56"/>
      <c r="UW43" s="56"/>
      <c r="UX43" s="56"/>
      <c r="UY43" s="56"/>
      <c r="UZ43" s="56"/>
      <c r="VA43" s="56"/>
      <c r="VB43" s="56"/>
      <c r="VC43" s="56"/>
      <c r="VD43" s="56"/>
      <c r="VE43" s="56"/>
      <c r="VF43" s="56"/>
      <c r="VG43" s="56"/>
      <c r="VH43" s="56"/>
      <c r="VI43" s="56"/>
      <c r="VJ43" s="56"/>
      <c r="VK43" s="56"/>
      <c r="VL43" s="56"/>
      <c r="VM43" s="56"/>
      <c r="VN43" s="56"/>
      <c r="VO43" s="56"/>
      <c r="VP43" s="56"/>
      <c r="VQ43" s="56"/>
      <c r="VR43" s="56"/>
      <c r="VS43" s="56"/>
      <c r="VT43" s="56"/>
      <c r="VU43" s="56"/>
      <c r="VV43" s="56"/>
      <c r="VW43" s="56"/>
      <c r="VX43" s="56"/>
      <c r="VY43" s="56"/>
      <c r="VZ43" s="56"/>
      <c r="WA43" s="56"/>
      <c r="WB43" s="56"/>
      <c r="WC43" s="56"/>
      <c r="WD43" s="56"/>
      <c r="WE43" s="56"/>
      <c r="WF43" s="56"/>
      <c r="WG43" s="56"/>
      <c r="WH43" s="56"/>
      <c r="WI43" s="56"/>
      <c r="WJ43" s="56"/>
      <c r="WK43" s="56"/>
      <c r="WL43" s="56"/>
      <c r="WM43" s="56"/>
      <c r="WN43" s="56"/>
      <c r="WO43" s="56"/>
      <c r="WP43" s="56"/>
      <c r="WQ43" s="56"/>
      <c r="WR43" s="56"/>
      <c r="WS43" s="56"/>
      <c r="WT43" s="56"/>
      <c r="WU43" s="56"/>
      <c r="WV43" s="56"/>
      <c r="WW43" s="56"/>
      <c r="WX43" s="56"/>
      <c r="WY43" s="56"/>
      <c r="WZ43" s="56"/>
      <c r="XA43" s="56"/>
      <c r="XB43" s="56"/>
      <c r="XC43" s="56"/>
      <c r="XD43" s="56"/>
      <c r="XE43" s="56"/>
      <c r="XF43" s="56"/>
      <c r="XG43" s="56"/>
      <c r="XH43" s="56"/>
      <c r="XI43" s="56"/>
      <c r="XJ43" s="56"/>
      <c r="XK43" s="56"/>
      <c r="XL43" s="56"/>
      <c r="XM43" s="56"/>
      <c r="XN43" s="56"/>
      <c r="XO43" s="56"/>
      <c r="XP43" s="56"/>
      <c r="XQ43" s="56"/>
      <c r="XR43" s="56"/>
      <c r="XS43" s="56"/>
      <c r="XT43" s="56"/>
      <c r="XU43" s="56"/>
      <c r="XV43" s="56"/>
      <c r="XW43" s="56"/>
      <c r="XX43" s="56"/>
      <c r="XY43" s="56"/>
      <c r="XZ43" s="56"/>
      <c r="YA43" s="56"/>
      <c r="YB43" s="56"/>
      <c r="YC43" s="56"/>
      <c r="YD43" s="56"/>
      <c r="YE43" s="56"/>
      <c r="YF43" s="56"/>
      <c r="YG43" s="56"/>
      <c r="YH43" s="56"/>
      <c r="YI43" s="56"/>
      <c r="YJ43" s="56"/>
      <c r="YK43" s="56"/>
      <c r="YL43" s="56"/>
      <c r="YM43" s="56"/>
      <c r="YN43" s="56"/>
      <c r="YO43" s="56"/>
      <c r="YP43" s="56"/>
      <c r="YQ43" s="56"/>
      <c r="YR43" s="56"/>
      <c r="YS43" s="56"/>
      <c r="YT43" s="56"/>
      <c r="YU43" s="56"/>
      <c r="YV43" s="56"/>
      <c r="YW43" s="56"/>
      <c r="YX43" s="56"/>
      <c r="YY43" s="56"/>
      <c r="YZ43" s="56"/>
      <c r="ZA43" s="56"/>
      <c r="ZB43" s="56"/>
      <c r="ZC43" s="56"/>
      <c r="ZD43" s="56"/>
      <c r="ZE43" s="56"/>
      <c r="ZF43" s="56"/>
      <c r="ZG43" s="56"/>
      <c r="ZH43" s="56"/>
      <c r="ZI43" s="56"/>
      <c r="ZJ43" s="56"/>
      <c r="ZK43" s="56"/>
      <c r="ZL43" s="56"/>
      <c r="ZM43" s="56"/>
      <c r="ZN43" s="56"/>
      <c r="ZO43" s="56"/>
      <c r="ZP43" s="56"/>
      <c r="ZQ43" s="56"/>
      <c r="ZR43" s="56"/>
      <c r="ZS43" s="56"/>
      <c r="ZT43" s="56"/>
      <c r="ZU43" s="56"/>
      <c r="ZV43" s="56"/>
      <c r="ZW43" s="56"/>
      <c r="ZX43" s="56"/>
      <c r="ZY43" s="56"/>
      <c r="ZZ43" s="56"/>
      <c r="AAA43" s="56"/>
      <c r="AAB43" s="56"/>
      <c r="AAC43" s="56"/>
      <c r="AAD43" s="56"/>
      <c r="AAE43" s="56"/>
      <c r="AAF43" s="56"/>
      <c r="AAG43" s="56"/>
      <c r="AAH43" s="56"/>
      <c r="AAI43" s="56"/>
      <c r="AAJ43" s="56"/>
      <c r="AAK43" s="56"/>
      <c r="AAL43" s="56"/>
      <c r="AAM43" s="56"/>
      <c r="AAN43" s="56"/>
      <c r="AAO43" s="56"/>
      <c r="AAP43" s="56"/>
      <c r="AAQ43" s="56"/>
      <c r="AAR43" s="56"/>
      <c r="AAS43" s="56"/>
      <c r="AAT43" s="56"/>
      <c r="AAU43" s="56"/>
      <c r="AAV43" s="56"/>
      <c r="AAW43" s="56"/>
      <c r="AAX43" s="56"/>
      <c r="AAY43" s="56"/>
      <c r="AAZ43" s="56"/>
      <c r="ABA43" s="56"/>
      <c r="ABB43" s="56"/>
      <c r="ABC43" s="56"/>
      <c r="ABD43" s="56"/>
      <c r="ABE43" s="56"/>
      <c r="ABF43" s="56"/>
      <c r="ABG43" s="56"/>
      <c r="ABH43" s="56"/>
      <c r="ABI43" s="56"/>
      <c r="ABJ43" s="56"/>
      <c r="ABK43" s="56"/>
      <c r="ABL43" s="56"/>
      <c r="ABM43" s="56"/>
      <c r="ABN43" s="56"/>
      <c r="ABO43" s="56"/>
      <c r="ABP43" s="56"/>
      <c r="ABQ43" s="56"/>
      <c r="ABR43" s="56"/>
      <c r="ABS43" s="56"/>
      <c r="ABT43" s="56"/>
      <c r="ABU43" s="56"/>
      <c r="ABV43" s="56"/>
      <c r="ABW43" s="56"/>
      <c r="ABX43" s="56"/>
      <c r="ABY43" s="56"/>
      <c r="ABZ43" s="56"/>
      <c r="ACA43" s="56"/>
      <c r="ACB43" s="56"/>
      <c r="ACC43" s="56"/>
      <c r="ACD43" s="56"/>
      <c r="ACE43" s="56"/>
      <c r="ACF43" s="56"/>
      <c r="ACG43" s="56"/>
      <c r="ACH43" s="56"/>
      <c r="ACI43" s="56"/>
      <c r="ACJ43" s="56"/>
      <c r="ACK43" s="56"/>
      <c r="ACL43" s="56"/>
      <c r="ACM43" s="56"/>
      <c r="ACN43" s="56"/>
      <c r="ACO43" s="56"/>
      <c r="ACP43" s="56"/>
      <c r="ACQ43" s="56"/>
      <c r="ACR43" s="56"/>
      <c r="ACS43" s="56"/>
      <c r="ACT43" s="56"/>
      <c r="ACU43" s="56"/>
      <c r="ACV43" s="56"/>
      <c r="ACW43" s="56"/>
      <c r="ACX43" s="56"/>
      <c r="ACY43" s="56"/>
      <c r="ACZ43" s="56"/>
      <c r="ADA43" s="56"/>
      <c r="ADB43" s="56"/>
      <c r="ADC43" s="56"/>
      <c r="ADD43" s="56"/>
      <c r="ADE43" s="56"/>
      <c r="ADF43" s="56"/>
      <c r="ADG43" s="56"/>
      <c r="ADH43" s="56"/>
      <c r="ADI43" s="56"/>
      <c r="ADJ43" s="56"/>
      <c r="ADK43" s="56"/>
      <c r="ADL43" s="56"/>
      <c r="ADM43" s="56"/>
      <c r="ADN43" s="56"/>
      <c r="ADO43" s="56"/>
      <c r="ADP43" s="56"/>
      <c r="ADQ43" s="56"/>
      <c r="ADR43" s="56"/>
      <c r="ADS43" s="56"/>
      <c r="ADT43" s="56"/>
      <c r="ADU43" s="56"/>
      <c r="ADV43" s="56"/>
      <c r="ADW43" s="56"/>
      <c r="ADX43" s="56"/>
      <c r="ADY43" s="56"/>
      <c r="ADZ43" s="56"/>
      <c r="AEA43" s="56"/>
      <c r="AEB43" s="56"/>
      <c r="AEC43" s="56"/>
      <c r="AED43" s="56"/>
      <c r="AEE43" s="56"/>
      <c r="AEF43" s="56"/>
      <c r="AEG43" s="56"/>
      <c r="AEH43" s="56"/>
      <c r="AEI43" s="56"/>
      <c r="AEJ43" s="56"/>
      <c r="AEK43" s="56"/>
      <c r="AEL43" s="56"/>
      <c r="AEM43" s="56"/>
      <c r="AEN43" s="56"/>
      <c r="AEO43" s="56"/>
      <c r="AEP43" s="56"/>
      <c r="AEQ43" s="56"/>
      <c r="AER43" s="56"/>
      <c r="AES43" s="56"/>
      <c r="AET43" s="56"/>
      <c r="AEU43" s="56"/>
      <c r="AEV43" s="56"/>
      <c r="AEW43" s="56"/>
      <c r="AEX43" s="56"/>
      <c r="AEY43" s="56"/>
      <c r="AEZ43" s="56"/>
      <c r="AFA43" s="56"/>
      <c r="AFB43" s="56"/>
      <c r="AFC43" s="56"/>
      <c r="AFD43" s="56"/>
      <c r="AFE43" s="56"/>
      <c r="AFF43" s="56"/>
      <c r="AFG43" s="56"/>
      <c r="AFH43" s="56"/>
      <c r="AFI43" s="56"/>
      <c r="AFJ43" s="56"/>
      <c r="AFK43" s="56"/>
      <c r="AFL43" s="56"/>
      <c r="AFM43" s="56"/>
      <c r="AFN43" s="56"/>
      <c r="AFO43" s="56"/>
      <c r="AFP43" s="56"/>
      <c r="AFQ43" s="56"/>
      <c r="AFR43" s="56"/>
      <c r="AFS43" s="56"/>
      <c r="AFT43" s="56"/>
      <c r="AFU43" s="56"/>
      <c r="AFV43" s="56"/>
      <c r="AFW43" s="56"/>
      <c r="AFX43" s="56"/>
      <c r="AFY43" s="56"/>
      <c r="AFZ43" s="56"/>
      <c r="AGA43" s="56"/>
      <c r="AGB43" s="56"/>
      <c r="AGC43" s="56"/>
      <c r="AGD43" s="56"/>
      <c r="AGE43" s="56"/>
      <c r="AGF43" s="56"/>
      <c r="AGG43" s="56"/>
      <c r="AGH43" s="56"/>
      <c r="AGI43" s="56"/>
      <c r="AGJ43" s="56"/>
      <c r="AGK43" s="56"/>
      <c r="AGL43" s="56"/>
      <c r="AGM43" s="56"/>
      <c r="AGN43" s="56"/>
      <c r="AGO43" s="56"/>
      <c r="AGP43" s="56"/>
      <c r="AGQ43" s="56"/>
      <c r="AGR43" s="56"/>
      <c r="AGS43" s="56"/>
      <c r="AGT43" s="56"/>
      <c r="AGU43" s="56"/>
      <c r="AGV43" s="56"/>
      <c r="AGW43" s="56"/>
      <c r="AGX43" s="56"/>
      <c r="AGY43" s="56"/>
      <c r="AGZ43" s="56"/>
      <c r="AHA43" s="56"/>
      <c r="AHB43" s="56"/>
      <c r="AHC43" s="56"/>
      <c r="AHD43" s="56"/>
      <c r="AHE43" s="56"/>
      <c r="AHF43" s="56"/>
      <c r="AHG43" s="56"/>
      <c r="AHH43" s="56"/>
      <c r="AHI43" s="56"/>
      <c r="AHJ43" s="56"/>
      <c r="AHK43" s="56"/>
      <c r="AHL43" s="56"/>
      <c r="AHM43" s="56"/>
      <c r="AHN43" s="56"/>
      <c r="AHO43" s="56"/>
      <c r="AHP43" s="56"/>
      <c r="AHQ43" s="56"/>
      <c r="AHR43" s="56"/>
      <c r="AHS43" s="56"/>
      <c r="AHT43" s="56"/>
      <c r="AHU43" s="56"/>
      <c r="AHV43" s="56"/>
      <c r="AHW43" s="56"/>
      <c r="AHX43" s="56"/>
      <c r="AHY43" s="56"/>
      <c r="AHZ43" s="56"/>
      <c r="AIA43" s="56"/>
      <c r="AIB43" s="56"/>
      <c r="AIC43" s="56"/>
      <c r="AID43" s="56"/>
      <c r="AIE43" s="56"/>
      <c r="AIF43" s="56"/>
      <c r="AIG43" s="56"/>
      <c r="AIH43" s="56"/>
      <c r="AII43" s="56"/>
      <c r="AIJ43" s="56"/>
      <c r="AIK43" s="56"/>
      <c r="AIL43" s="56"/>
      <c r="AIM43" s="56"/>
      <c r="AIN43" s="56"/>
      <c r="AIO43" s="56"/>
      <c r="AIP43" s="56"/>
      <c r="AIQ43" s="56"/>
      <c r="AIR43" s="56"/>
      <c r="AIS43" s="56"/>
      <c r="AIT43" s="56"/>
      <c r="AIU43" s="56"/>
      <c r="AIV43" s="56"/>
      <c r="AIW43" s="56"/>
      <c r="AIX43" s="56"/>
      <c r="AIY43" s="56"/>
      <c r="AIZ43" s="56"/>
      <c r="AJA43" s="56"/>
      <c r="AJB43" s="56"/>
      <c r="AJC43" s="56"/>
      <c r="AJD43" s="56"/>
      <c r="AJE43" s="56"/>
      <c r="AJF43" s="56"/>
      <c r="AJG43" s="56"/>
      <c r="AJH43" s="56"/>
      <c r="AJI43" s="56"/>
      <c r="AJJ43" s="56"/>
      <c r="AJK43" s="56"/>
      <c r="AJL43" s="56"/>
      <c r="AJM43" s="56"/>
      <c r="AJN43" s="56"/>
      <c r="AJO43" s="56"/>
      <c r="AJP43" s="56"/>
      <c r="AJQ43" s="56"/>
      <c r="AJR43" s="56"/>
      <c r="AJS43" s="56"/>
      <c r="AJT43" s="56"/>
      <c r="AJU43" s="56"/>
      <c r="AJV43" s="56"/>
      <c r="AJW43" s="56"/>
      <c r="AJX43" s="56"/>
      <c r="AJY43" s="56"/>
      <c r="AJZ43" s="56"/>
      <c r="AKA43" s="56"/>
      <c r="AKB43" s="56"/>
      <c r="AKC43" s="56"/>
      <c r="AKD43" s="56"/>
      <c r="AKE43" s="56"/>
      <c r="AKF43" s="56"/>
      <c r="AKG43" s="56"/>
      <c r="AKH43" s="56"/>
      <c r="AKI43" s="56"/>
      <c r="AKJ43" s="56"/>
      <c r="AKK43" s="56"/>
      <c r="AKL43" s="56"/>
      <c r="AKM43" s="56"/>
      <c r="AKN43" s="56"/>
      <c r="AKO43" s="56"/>
      <c r="AKP43" s="56"/>
      <c r="AKQ43" s="56"/>
      <c r="AKR43" s="56"/>
      <c r="AKS43" s="56"/>
      <c r="AKT43" s="56"/>
      <c r="AKU43" s="56"/>
      <c r="AKV43" s="56"/>
      <c r="AKW43" s="56"/>
      <c r="AKX43" s="56"/>
      <c r="AKY43" s="56"/>
      <c r="AKZ43" s="56"/>
      <c r="ALA43" s="56"/>
      <c r="ALB43" s="56"/>
      <c r="ALC43" s="56"/>
      <c r="ALD43" s="56"/>
      <c r="ALE43" s="56"/>
      <c r="ALF43" s="56"/>
      <c r="ALG43" s="56"/>
      <c r="ALH43" s="56"/>
      <c r="ALI43" s="56"/>
      <c r="ALJ43" s="56"/>
      <c r="ALK43" s="56"/>
      <c r="ALL43" s="56"/>
      <c r="ALM43" s="56"/>
      <c r="ALN43" s="56"/>
      <c r="ALO43" s="56"/>
      <c r="ALP43" s="56"/>
      <c r="ALQ43" s="56"/>
      <c r="ALR43" s="56"/>
      <c r="ALS43" s="56"/>
      <c r="ALT43" s="56"/>
      <c r="ALU43" s="56"/>
      <c r="ALV43" s="56"/>
      <c r="ALW43" s="56"/>
      <c r="ALX43" s="56"/>
      <c r="ALY43" s="56"/>
      <c r="ALZ43" s="56"/>
      <c r="AMA43" s="56"/>
      <c r="AMB43" s="56"/>
      <c r="AMC43" s="56"/>
      <c r="AMD43" s="56"/>
      <c r="AME43" s="56"/>
      <c r="AMF43" s="56"/>
      <c r="AMG43" s="56"/>
      <c r="AMH43" s="56"/>
      <c r="AMI43" s="56"/>
      <c r="AMJ43" s="56"/>
      <c r="AMK43" s="56"/>
      <c r="AML43" s="56"/>
      <c r="AMM43" s="56"/>
      <c r="AMN43" s="56"/>
      <c r="AMO43" s="56"/>
      <c r="AMP43" s="56"/>
      <c r="AMQ43" s="56"/>
      <c r="AMR43" s="56"/>
      <c r="AMS43" s="56"/>
      <c r="AMT43" s="56"/>
      <c r="AMU43" s="56"/>
      <c r="AMV43" s="56"/>
      <c r="AMW43" s="56"/>
      <c r="AMX43" s="56"/>
      <c r="AMY43" s="56"/>
      <c r="AMZ43" s="56"/>
      <c r="ANA43" s="56"/>
      <c r="ANB43" s="56"/>
      <c r="ANC43" s="56"/>
      <c r="AND43" s="56"/>
      <c r="ANE43" s="56"/>
      <c r="ANF43" s="56"/>
      <c r="ANG43" s="56"/>
      <c r="ANH43" s="56"/>
      <c r="ANI43" s="56"/>
      <c r="ANJ43" s="56"/>
      <c r="ANK43" s="56"/>
      <c r="ANL43" s="56"/>
      <c r="ANM43" s="56"/>
      <c r="ANN43" s="56"/>
      <c r="ANO43" s="56"/>
      <c r="ANP43" s="56"/>
      <c r="ANQ43" s="56"/>
      <c r="ANR43" s="56"/>
      <c r="ANS43" s="56"/>
      <c r="ANT43" s="56"/>
      <c r="ANU43" s="56"/>
      <c r="ANV43" s="56"/>
      <c r="ANW43" s="56"/>
      <c r="ANX43" s="56"/>
      <c r="ANY43" s="56"/>
      <c r="ANZ43" s="56"/>
      <c r="AOA43" s="56"/>
      <c r="AOB43" s="56"/>
      <c r="AOC43" s="56"/>
      <c r="AOD43" s="56"/>
      <c r="AOE43" s="56"/>
      <c r="AOF43" s="56"/>
      <c r="AOG43" s="56"/>
      <c r="AOH43" s="56"/>
      <c r="AOI43" s="56"/>
      <c r="AOJ43" s="56"/>
      <c r="AOK43" s="56"/>
      <c r="AOL43" s="56"/>
      <c r="AOM43" s="56"/>
      <c r="AON43" s="56"/>
      <c r="AOO43" s="56"/>
      <c r="AOP43" s="56"/>
      <c r="AOQ43" s="56"/>
      <c r="AOR43" s="56"/>
      <c r="AOS43" s="56"/>
      <c r="AOT43" s="56"/>
      <c r="AOU43" s="56"/>
      <c r="AOV43" s="56"/>
      <c r="AOW43" s="56"/>
      <c r="AOX43" s="56"/>
      <c r="AOY43" s="56"/>
      <c r="AOZ43" s="56"/>
      <c r="APA43" s="56"/>
      <c r="APB43" s="56"/>
      <c r="APC43" s="56"/>
      <c r="APD43" s="56"/>
      <c r="APE43" s="56"/>
      <c r="APF43" s="56"/>
      <c r="APG43" s="56"/>
      <c r="APH43" s="56"/>
      <c r="API43" s="56"/>
      <c r="APJ43" s="56"/>
      <c r="APK43" s="56"/>
      <c r="APL43" s="56"/>
      <c r="APM43" s="56"/>
      <c r="APN43" s="56"/>
      <c r="APO43" s="56"/>
      <c r="APP43" s="56"/>
      <c r="APQ43" s="56"/>
      <c r="APR43" s="56"/>
      <c r="APS43" s="56"/>
      <c r="APT43" s="56"/>
      <c r="APU43" s="56"/>
      <c r="APV43" s="56"/>
      <c r="APW43" s="56"/>
      <c r="APX43" s="56"/>
      <c r="APY43" s="56"/>
      <c r="APZ43" s="56"/>
      <c r="AQA43" s="56"/>
      <c r="AQB43" s="56"/>
      <c r="AQC43" s="56"/>
      <c r="AQD43" s="56"/>
      <c r="AQE43" s="56"/>
      <c r="AQF43" s="56"/>
      <c r="AQG43" s="56"/>
      <c r="AQH43" s="56"/>
      <c r="AQI43" s="56"/>
      <c r="AQJ43" s="56"/>
      <c r="AQK43" s="56"/>
      <c r="AQL43" s="56"/>
      <c r="AQM43" s="56"/>
      <c r="AQN43" s="56"/>
      <c r="AQO43" s="56"/>
      <c r="AQP43" s="56"/>
      <c r="AQQ43" s="56"/>
      <c r="AQR43" s="56"/>
      <c r="AQS43" s="56"/>
      <c r="AQT43" s="56"/>
      <c r="AQU43" s="56"/>
      <c r="AQV43" s="56"/>
      <c r="AQW43" s="56"/>
      <c r="AQX43" s="56"/>
      <c r="AQY43" s="56"/>
      <c r="AQZ43" s="56"/>
      <c r="ARA43" s="56"/>
      <c r="ARB43" s="56"/>
      <c r="ARC43" s="56"/>
      <c r="ARD43" s="56"/>
      <c r="ARE43" s="56"/>
      <c r="ARF43" s="56"/>
      <c r="ARG43" s="56"/>
      <c r="ARH43" s="56"/>
      <c r="ARI43" s="56"/>
      <c r="ARJ43" s="56"/>
      <c r="ARK43" s="56"/>
      <c r="ARL43" s="56"/>
      <c r="ARM43" s="56"/>
      <c r="ARN43" s="56"/>
      <c r="ARO43" s="56"/>
      <c r="ARP43" s="56"/>
      <c r="ARQ43" s="56"/>
      <c r="ARR43" s="56"/>
      <c r="ARS43" s="56"/>
      <c r="ART43" s="56"/>
      <c r="ARU43" s="56"/>
      <c r="ARV43" s="56"/>
      <c r="ARW43" s="56"/>
      <c r="ARX43" s="56"/>
      <c r="ARY43" s="56"/>
      <c r="ARZ43" s="56"/>
      <c r="ASA43" s="56"/>
      <c r="ASB43" s="56"/>
      <c r="ASC43" s="56"/>
      <c r="ASD43" s="56"/>
      <c r="ASE43" s="56"/>
      <c r="ASF43" s="56"/>
      <c r="ASG43" s="56"/>
      <c r="ASH43" s="56"/>
      <c r="ASI43" s="56"/>
      <c r="ASJ43" s="56"/>
      <c r="ASK43" s="56"/>
      <c r="ASL43" s="56"/>
      <c r="ASM43" s="56"/>
      <c r="ASN43" s="56"/>
      <c r="ASO43" s="56"/>
      <c r="ASP43" s="56"/>
      <c r="ASQ43" s="56"/>
      <c r="ASR43" s="56"/>
      <c r="ASS43" s="56"/>
      <c r="AST43" s="56"/>
      <c r="ASU43" s="56"/>
      <c r="ASV43" s="56"/>
      <c r="ASW43" s="56"/>
      <c r="ASX43" s="56"/>
      <c r="ASY43" s="56"/>
      <c r="ASZ43" s="56"/>
      <c r="ATA43" s="56"/>
      <c r="ATB43" s="56"/>
      <c r="ATC43" s="56"/>
      <c r="ATD43" s="56"/>
      <c r="ATE43" s="56"/>
      <c r="ATF43" s="56"/>
      <c r="ATG43" s="56"/>
      <c r="ATH43" s="56"/>
      <c r="ATI43" s="56"/>
      <c r="ATJ43" s="56"/>
      <c r="ATK43" s="56"/>
      <c r="ATL43" s="56"/>
      <c r="ATM43" s="56"/>
      <c r="ATN43" s="56"/>
      <c r="ATO43" s="56"/>
      <c r="ATP43" s="56"/>
      <c r="ATQ43" s="56"/>
      <c r="ATR43" s="56"/>
      <c r="ATS43" s="56"/>
      <c r="ATT43" s="56"/>
      <c r="ATU43" s="56"/>
      <c r="ATV43" s="56"/>
      <c r="ATW43" s="56"/>
      <c r="ATX43" s="56"/>
      <c r="ATY43" s="56"/>
      <c r="ATZ43" s="56"/>
      <c r="AUA43" s="56"/>
      <c r="AUB43" s="56"/>
      <c r="AUC43" s="56"/>
      <c r="AUD43" s="56"/>
      <c r="AUE43" s="56"/>
      <c r="AUF43" s="56"/>
      <c r="AUG43" s="56"/>
      <c r="AUH43" s="56"/>
      <c r="AUI43" s="56"/>
      <c r="AUJ43" s="56"/>
      <c r="AUK43" s="56"/>
      <c r="AUL43" s="56"/>
      <c r="AUM43" s="56"/>
      <c r="AUN43" s="56"/>
      <c r="AUO43" s="56"/>
      <c r="AUP43" s="56"/>
      <c r="AUQ43" s="56"/>
      <c r="AUR43" s="56"/>
      <c r="AUS43" s="56"/>
      <c r="AUT43" s="56"/>
      <c r="AUU43" s="56"/>
      <c r="AUV43" s="56"/>
      <c r="AUW43" s="56"/>
      <c r="AUX43" s="56"/>
      <c r="AUY43" s="56"/>
      <c r="AUZ43" s="56"/>
      <c r="AVA43" s="56"/>
      <c r="AVB43" s="56"/>
      <c r="AVC43" s="56"/>
      <c r="AVD43" s="56"/>
      <c r="AVE43" s="56"/>
      <c r="AVF43" s="56"/>
      <c r="AVG43" s="56"/>
      <c r="AVH43" s="56"/>
      <c r="AVI43" s="56"/>
      <c r="AVJ43" s="56"/>
      <c r="AVK43" s="56"/>
      <c r="AVL43" s="56"/>
      <c r="AVM43" s="56"/>
      <c r="AVN43" s="56"/>
      <c r="AVO43" s="56"/>
      <c r="AVP43" s="56"/>
      <c r="AVQ43" s="56"/>
      <c r="AVR43" s="56"/>
      <c r="AVS43" s="56"/>
      <c r="AVT43" s="56"/>
      <c r="AVU43" s="56"/>
      <c r="AVV43" s="56"/>
      <c r="AVW43" s="56"/>
      <c r="AVX43" s="56"/>
      <c r="AVY43" s="56"/>
      <c r="AVZ43" s="56"/>
      <c r="AWA43" s="56"/>
      <c r="AWB43" s="56"/>
      <c r="AWC43" s="56"/>
      <c r="AWD43" s="56"/>
      <c r="AWE43" s="56"/>
      <c r="AWF43" s="56"/>
      <c r="AWG43" s="56"/>
      <c r="AWH43" s="56"/>
      <c r="AWI43" s="56"/>
      <c r="AWJ43" s="56"/>
      <c r="AWK43" s="56"/>
      <c r="AWL43" s="56"/>
      <c r="AWM43" s="56"/>
      <c r="AWN43" s="56"/>
      <c r="AWO43" s="56"/>
      <c r="AWP43" s="56"/>
      <c r="AWQ43" s="56"/>
      <c r="AWR43" s="56"/>
      <c r="AWS43" s="56"/>
      <c r="AWT43" s="56"/>
      <c r="AWU43" s="56"/>
      <c r="AWV43" s="56"/>
      <c r="AWW43" s="56"/>
      <c r="AWX43" s="56"/>
      <c r="AWY43" s="56"/>
      <c r="AWZ43" s="56"/>
      <c r="AXA43" s="56"/>
      <c r="AXB43" s="56"/>
      <c r="AXC43" s="56"/>
      <c r="AXD43" s="56"/>
      <c r="AXE43" s="56"/>
      <c r="AXF43" s="56"/>
      <c r="AXG43" s="56"/>
      <c r="AXH43" s="56"/>
      <c r="AXI43" s="56"/>
      <c r="AXJ43" s="56"/>
      <c r="AXK43" s="56"/>
      <c r="AXL43" s="56"/>
      <c r="AXM43" s="56"/>
      <c r="AXN43" s="56"/>
      <c r="AXO43" s="56"/>
      <c r="AXP43" s="56"/>
      <c r="AXQ43" s="56"/>
      <c r="AXR43" s="56"/>
      <c r="AXS43" s="56"/>
      <c r="AXT43" s="56"/>
      <c r="AXU43" s="56"/>
      <c r="AXV43" s="56"/>
      <c r="AXW43" s="56"/>
      <c r="AXX43" s="56"/>
      <c r="AXY43" s="56"/>
      <c r="AXZ43" s="56"/>
      <c r="AYA43" s="56"/>
      <c r="AYB43" s="56"/>
      <c r="AYC43" s="56"/>
      <c r="AYD43" s="56"/>
      <c r="AYE43" s="56"/>
      <c r="AYF43" s="56"/>
      <c r="AYG43" s="56"/>
      <c r="AYH43" s="56"/>
      <c r="AYI43" s="56"/>
      <c r="AYJ43" s="56"/>
      <c r="AYK43" s="56"/>
      <c r="AYL43" s="56"/>
      <c r="AYM43" s="56"/>
      <c r="AYN43" s="56"/>
      <c r="AYO43" s="56"/>
      <c r="AYP43" s="56"/>
      <c r="AYQ43" s="56"/>
      <c r="AYR43" s="56"/>
      <c r="AYS43" s="56"/>
      <c r="AYT43" s="56"/>
      <c r="AYU43" s="56"/>
      <c r="AYV43" s="56"/>
      <c r="AYW43" s="56"/>
      <c r="AYX43" s="56"/>
      <c r="AYY43" s="56"/>
      <c r="AYZ43" s="56"/>
      <c r="AZA43" s="56"/>
      <c r="AZB43" s="56"/>
      <c r="AZC43" s="56"/>
      <c r="AZD43" s="56"/>
      <c r="AZE43" s="56"/>
      <c r="AZF43" s="56"/>
      <c r="AZG43" s="56"/>
      <c r="AZH43" s="56"/>
      <c r="AZI43" s="56"/>
      <c r="AZJ43" s="56"/>
      <c r="AZK43" s="56"/>
      <c r="AZL43" s="56"/>
      <c r="AZM43" s="56"/>
      <c r="AZN43" s="56"/>
      <c r="AZO43" s="56"/>
      <c r="AZP43" s="56"/>
      <c r="AZQ43" s="56"/>
      <c r="AZR43" s="56"/>
      <c r="AZS43" s="56"/>
      <c r="AZT43" s="56"/>
      <c r="AZU43" s="56"/>
      <c r="AZV43" s="56"/>
      <c r="AZW43" s="56"/>
      <c r="AZX43" s="56"/>
      <c r="AZY43" s="56"/>
      <c r="AZZ43" s="56"/>
      <c r="BAA43" s="56"/>
      <c r="BAB43" s="56"/>
      <c r="BAC43" s="56"/>
      <c r="BAD43" s="56"/>
      <c r="BAE43" s="56"/>
      <c r="BAF43" s="56"/>
      <c r="BAG43" s="56"/>
      <c r="BAH43" s="56"/>
      <c r="BAI43" s="56"/>
      <c r="BAJ43" s="56"/>
      <c r="BAK43" s="56"/>
      <c r="BAL43" s="56"/>
      <c r="BAM43" s="56"/>
      <c r="BAN43" s="56"/>
      <c r="BAO43" s="56"/>
      <c r="BAP43" s="56"/>
      <c r="BAQ43" s="56"/>
      <c r="BAR43" s="56"/>
      <c r="BAS43" s="56"/>
      <c r="BAT43" s="56"/>
      <c r="BAU43" s="56"/>
      <c r="BAV43" s="56"/>
      <c r="BAW43" s="56"/>
      <c r="BAX43" s="56"/>
      <c r="BAY43" s="56"/>
      <c r="BAZ43" s="56"/>
      <c r="BBA43" s="56"/>
      <c r="BBB43" s="56"/>
      <c r="BBC43" s="56"/>
      <c r="BBD43" s="56"/>
      <c r="BBE43" s="56"/>
      <c r="BBF43" s="56"/>
      <c r="BBG43" s="56"/>
      <c r="BBH43" s="56"/>
      <c r="BBI43" s="56"/>
      <c r="BBJ43" s="56"/>
      <c r="BBK43" s="56"/>
      <c r="BBL43" s="56"/>
      <c r="BBM43" s="56"/>
      <c r="BBN43" s="56"/>
      <c r="BBO43" s="56"/>
      <c r="BBP43" s="56"/>
      <c r="BBQ43" s="56"/>
      <c r="BBR43" s="56"/>
      <c r="BBS43" s="56"/>
      <c r="BBT43" s="56"/>
      <c r="BBU43" s="56"/>
      <c r="BBV43" s="56"/>
      <c r="BBW43" s="56"/>
      <c r="BBX43" s="56"/>
      <c r="BBY43" s="56"/>
      <c r="BBZ43" s="56"/>
      <c r="BCA43" s="56"/>
      <c r="BCB43" s="56"/>
      <c r="BCC43" s="56"/>
      <c r="BCD43" s="56"/>
      <c r="BCE43" s="56"/>
      <c r="BCF43" s="56"/>
      <c r="BCG43" s="56"/>
      <c r="BCH43" s="56"/>
      <c r="BCI43" s="56"/>
      <c r="BCJ43" s="56"/>
      <c r="BCK43" s="56"/>
      <c r="BCL43" s="56"/>
      <c r="BCM43" s="56"/>
      <c r="BCN43" s="56"/>
      <c r="BCO43" s="56"/>
      <c r="BCP43" s="56"/>
      <c r="BCQ43" s="56"/>
      <c r="BCR43" s="56"/>
      <c r="BCS43" s="56"/>
      <c r="BCT43" s="56"/>
      <c r="BCU43" s="56"/>
      <c r="BCV43" s="56"/>
      <c r="BCW43" s="56"/>
      <c r="BCX43" s="56"/>
      <c r="BCY43" s="56"/>
      <c r="BCZ43" s="56"/>
      <c r="BDA43" s="56"/>
      <c r="BDB43" s="56"/>
      <c r="BDC43" s="56"/>
      <c r="BDD43" s="56"/>
      <c r="BDE43" s="56"/>
      <c r="BDF43" s="56"/>
      <c r="BDG43" s="56"/>
      <c r="BDH43" s="56"/>
      <c r="BDI43" s="56"/>
      <c r="BDJ43" s="56"/>
      <c r="BDK43" s="56"/>
      <c r="BDL43" s="56"/>
      <c r="BDM43" s="56"/>
      <c r="BDN43" s="56"/>
      <c r="BDO43" s="56"/>
      <c r="BDP43" s="56"/>
      <c r="BDQ43" s="56"/>
      <c r="BDR43" s="56"/>
      <c r="BDS43" s="56"/>
      <c r="BDT43" s="56"/>
      <c r="BDU43" s="56"/>
      <c r="BDV43" s="56"/>
      <c r="BDW43" s="56"/>
      <c r="BDX43" s="56"/>
      <c r="BDY43" s="56"/>
      <c r="BDZ43" s="56"/>
      <c r="BEA43" s="56"/>
      <c r="BEB43" s="56"/>
      <c r="BEC43" s="56"/>
      <c r="BED43" s="56"/>
      <c r="BEE43" s="56"/>
      <c r="BEF43" s="56"/>
      <c r="BEG43" s="56"/>
      <c r="BEH43" s="56"/>
      <c r="BEI43" s="56"/>
      <c r="BEJ43" s="56"/>
      <c r="BEK43" s="56"/>
      <c r="BEL43" s="56"/>
      <c r="BEM43" s="56"/>
      <c r="BEN43" s="56"/>
      <c r="BEO43" s="56"/>
      <c r="BEP43" s="56"/>
      <c r="BEQ43" s="56"/>
      <c r="BER43" s="56"/>
      <c r="BES43" s="56"/>
      <c r="BET43" s="56"/>
      <c r="BEU43" s="56"/>
      <c r="BEV43" s="56"/>
      <c r="BEW43" s="56"/>
      <c r="BEX43" s="56"/>
      <c r="BEY43" s="56"/>
      <c r="BEZ43" s="56"/>
      <c r="BFA43" s="56"/>
      <c r="BFB43" s="56"/>
      <c r="BFC43" s="56"/>
      <c r="BFD43" s="56"/>
      <c r="BFE43" s="56"/>
      <c r="BFF43" s="56"/>
      <c r="BFG43" s="56"/>
      <c r="BFH43" s="56"/>
      <c r="BFI43" s="56"/>
      <c r="BFJ43" s="56"/>
      <c r="BFK43" s="56"/>
      <c r="BFL43" s="56"/>
      <c r="BFM43" s="56"/>
      <c r="BFN43" s="56"/>
      <c r="BFO43" s="56"/>
      <c r="BFP43" s="56"/>
      <c r="BFQ43" s="56"/>
      <c r="BFR43" s="56"/>
      <c r="BFS43" s="56"/>
      <c r="BFT43" s="56"/>
      <c r="BFU43" s="56"/>
      <c r="BFV43" s="56"/>
      <c r="BFW43" s="56"/>
      <c r="BFX43" s="56"/>
      <c r="BFY43" s="56"/>
      <c r="BFZ43" s="56"/>
      <c r="BGA43" s="56"/>
      <c r="BGB43" s="56"/>
      <c r="BGC43" s="56"/>
      <c r="BGD43" s="56"/>
      <c r="BGE43" s="56"/>
      <c r="BGF43" s="56"/>
      <c r="BGG43" s="56"/>
      <c r="BGH43" s="56"/>
      <c r="BGI43" s="56"/>
      <c r="BGJ43" s="56"/>
      <c r="BGK43" s="56"/>
      <c r="BGL43" s="56"/>
      <c r="BGM43" s="56"/>
      <c r="BGN43" s="56"/>
      <c r="BGO43" s="56"/>
      <c r="BGP43" s="56"/>
      <c r="BGQ43" s="56"/>
      <c r="BGR43" s="56"/>
      <c r="BGS43" s="56"/>
      <c r="BGT43" s="56"/>
      <c r="BGU43" s="56"/>
      <c r="BGV43" s="56"/>
      <c r="BGW43" s="56"/>
      <c r="BGX43" s="56"/>
      <c r="BGY43" s="56"/>
      <c r="BGZ43" s="56"/>
      <c r="BHA43" s="56"/>
      <c r="BHB43" s="56"/>
      <c r="BHC43" s="56"/>
      <c r="BHD43" s="56"/>
      <c r="BHE43" s="56"/>
      <c r="BHF43" s="56"/>
      <c r="BHG43" s="56"/>
      <c r="BHH43" s="56"/>
      <c r="BHI43" s="56"/>
      <c r="BHJ43" s="56"/>
      <c r="BHK43" s="56"/>
      <c r="BHL43" s="56"/>
      <c r="BHM43" s="56"/>
      <c r="BHN43" s="56"/>
      <c r="BHO43" s="56"/>
      <c r="BHP43" s="56"/>
      <c r="BHQ43" s="56"/>
      <c r="BHR43" s="56"/>
      <c r="BHS43" s="56"/>
      <c r="BHT43" s="56"/>
      <c r="BHU43" s="56"/>
      <c r="BHV43" s="56"/>
      <c r="BHW43" s="56"/>
      <c r="BHX43" s="56"/>
      <c r="BHY43" s="56"/>
      <c r="BHZ43" s="56"/>
      <c r="BIA43" s="56"/>
      <c r="BIB43" s="56"/>
      <c r="BIC43" s="56"/>
      <c r="BID43" s="56"/>
      <c r="BIE43" s="56"/>
      <c r="BIF43" s="56"/>
      <c r="BIG43" s="56"/>
      <c r="BIH43" s="56"/>
      <c r="BII43" s="56"/>
      <c r="BIJ43" s="56"/>
      <c r="BIK43" s="56"/>
      <c r="BIL43" s="56"/>
      <c r="BIM43" s="56"/>
      <c r="BIN43" s="56"/>
      <c r="BIO43" s="56"/>
      <c r="BIP43" s="56"/>
      <c r="BIQ43" s="56"/>
      <c r="BIR43" s="56"/>
      <c r="BIS43" s="56"/>
      <c r="BIT43" s="56"/>
      <c r="BIU43" s="56"/>
      <c r="BIV43" s="56"/>
      <c r="BIW43" s="56"/>
      <c r="BIX43" s="56"/>
      <c r="BIY43" s="56"/>
      <c r="BIZ43" s="56"/>
      <c r="BJA43" s="56"/>
      <c r="BJB43" s="56"/>
      <c r="BJC43" s="56"/>
      <c r="BJD43" s="56"/>
      <c r="BJE43" s="56"/>
      <c r="BJF43" s="56"/>
      <c r="BJG43" s="56"/>
      <c r="BJH43" s="56"/>
      <c r="BJI43" s="56"/>
      <c r="BJJ43" s="56"/>
      <c r="BJK43" s="56"/>
      <c r="BJL43" s="56"/>
      <c r="BJM43" s="56"/>
      <c r="BJN43" s="56"/>
      <c r="BJO43" s="56"/>
      <c r="BJP43" s="56"/>
      <c r="BJQ43" s="56"/>
      <c r="BJR43" s="56"/>
      <c r="BJS43" s="56"/>
      <c r="BJT43" s="56"/>
      <c r="BJU43" s="56"/>
      <c r="BJV43" s="56"/>
      <c r="BJW43" s="56"/>
      <c r="BJX43" s="56"/>
      <c r="BJY43" s="56"/>
      <c r="BJZ43" s="56"/>
      <c r="BKA43" s="56"/>
      <c r="BKB43" s="56"/>
      <c r="BKC43" s="56"/>
      <c r="BKD43" s="56"/>
      <c r="BKE43" s="56"/>
      <c r="BKF43" s="56"/>
      <c r="BKG43" s="56"/>
      <c r="BKH43" s="56"/>
      <c r="BKI43" s="56"/>
      <c r="BKJ43" s="56"/>
      <c r="BKK43" s="56"/>
      <c r="BKL43" s="56"/>
      <c r="BKM43" s="56"/>
      <c r="BKN43" s="56"/>
      <c r="BKO43" s="56"/>
      <c r="BKP43" s="56"/>
      <c r="BKQ43" s="56"/>
      <c r="BKR43" s="56"/>
      <c r="BKS43" s="56"/>
      <c r="BKT43" s="56"/>
      <c r="BKU43" s="56"/>
      <c r="BKV43" s="56"/>
      <c r="BKW43" s="56"/>
      <c r="BKX43" s="56"/>
      <c r="BKY43" s="56"/>
      <c r="BKZ43" s="56"/>
      <c r="BLA43" s="56"/>
      <c r="BLB43" s="56"/>
      <c r="BLC43" s="56"/>
      <c r="BLD43" s="56"/>
      <c r="BLE43" s="56"/>
      <c r="BLF43" s="56"/>
      <c r="BLG43" s="56"/>
      <c r="BLH43" s="56"/>
      <c r="BLI43" s="56"/>
      <c r="BLJ43" s="56"/>
      <c r="BLK43" s="56"/>
      <c r="BLL43" s="56"/>
      <c r="BLM43" s="56"/>
      <c r="BLN43" s="56"/>
      <c r="BLO43" s="56"/>
      <c r="BLP43" s="56"/>
      <c r="BLQ43" s="56"/>
      <c r="BLR43" s="56"/>
      <c r="BLS43" s="56"/>
      <c r="BLT43" s="56"/>
      <c r="BLU43" s="56"/>
      <c r="BLV43" s="56"/>
      <c r="BLW43" s="56"/>
      <c r="BLX43" s="56"/>
      <c r="BLY43" s="56"/>
      <c r="BLZ43" s="56"/>
      <c r="BMA43" s="56"/>
      <c r="BMB43" s="56"/>
      <c r="BMC43" s="56"/>
      <c r="BMD43" s="56"/>
      <c r="BME43" s="56"/>
      <c r="BMF43" s="56"/>
      <c r="BMG43" s="56"/>
      <c r="BMH43" s="56"/>
      <c r="BMI43" s="56"/>
      <c r="BMJ43" s="56"/>
      <c r="BMK43" s="56"/>
      <c r="BML43" s="56"/>
      <c r="BMM43" s="56"/>
      <c r="BMN43" s="56"/>
      <c r="BMO43" s="56"/>
      <c r="BMP43" s="56"/>
      <c r="BMQ43" s="56"/>
      <c r="BMR43" s="56"/>
      <c r="BMS43" s="56"/>
      <c r="BMT43" s="56"/>
      <c r="BMU43" s="56"/>
      <c r="BMV43" s="56"/>
      <c r="BMW43" s="56"/>
      <c r="BMX43" s="56"/>
      <c r="BMY43" s="56"/>
      <c r="BMZ43" s="56"/>
      <c r="BNA43" s="56"/>
      <c r="BNB43" s="56"/>
      <c r="BNC43" s="56"/>
      <c r="BND43" s="56"/>
      <c r="BNE43" s="56"/>
      <c r="BNF43" s="56"/>
      <c r="BNG43" s="56"/>
      <c r="BNH43" s="56"/>
      <c r="BNI43" s="56"/>
      <c r="BNJ43" s="56"/>
      <c r="BNK43" s="56"/>
      <c r="BNL43" s="56"/>
      <c r="BNM43" s="56"/>
      <c r="BNN43" s="56"/>
      <c r="BNO43" s="56"/>
      <c r="BNP43" s="56"/>
      <c r="BNQ43" s="56"/>
      <c r="BNR43" s="56"/>
      <c r="BNS43" s="56"/>
      <c r="BNT43" s="56"/>
      <c r="BNU43" s="56"/>
      <c r="BNV43" s="56"/>
      <c r="BNW43" s="56"/>
      <c r="BNX43" s="56"/>
      <c r="BNY43" s="56"/>
      <c r="BNZ43" s="56"/>
      <c r="BOA43" s="56"/>
      <c r="BOB43" s="56"/>
      <c r="BOC43" s="56"/>
      <c r="BOD43" s="56"/>
      <c r="BOE43" s="56"/>
      <c r="BOF43" s="56"/>
      <c r="BOG43" s="56"/>
      <c r="BOH43" s="56"/>
      <c r="BOI43" s="56"/>
      <c r="BOJ43" s="56"/>
      <c r="BOK43" s="56"/>
      <c r="BOL43" s="56"/>
      <c r="BOM43" s="56"/>
      <c r="BON43" s="56"/>
      <c r="BOO43" s="56"/>
      <c r="BOP43" s="56"/>
      <c r="BOQ43" s="56"/>
      <c r="BOR43" s="56"/>
      <c r="BOS43" s="56"/>
      <c r="BOT43" s="56"/>
      <c r="BOU43" s="56"/>
      <c r="BOV43" s="56"/>
      <c r="BOW43" s="56"/>
      <c r="BOX43" s="56"/>
      <c r="BOY43" s="56"/>
      <c r="BOZ43" s="56"/>
      <c r="BPA43" s="56"/>
      <c r="BPB43" s="56"/>
      <c r="BPC43" s="56"/>
      <c r="BPD43" s="56"/>
      <c r="BPE43" s="56"/>
      <c r="BPF43" s="56"/>
      <c r="BPG43" s="56"/>
      <c r="BPH43" s="56"/>
      <c r="BPI43" s="56"/>
      <c r="BPJ43" s="56"/>
      <c r="BPK43" s="56"/>
      <c r="BPL43" s="56"/>
      <c r="BPM43" s="56"/>
      <c r="BPN43" s="56"/>
      <c r="BPO43" s="56"/>
      <c r="BPP43" s="56"/>
      <c r="BPQ43" s="56"/>
      <c r="BPR43" s="56"/>
      <c r="BPS43" s="56"/>
      <c r="BPT43" s="56"/>
      <c r="BPU43" s="56"/>
      <c r="BPV43" s="56"/>
      <c r="BPW43" s="56"/>
      <c r="BPX43" s="56"/>
      <c r="BPY43" s="56"/>
      <c r="BPZ43" s="56"/>
      <c r="BQA43" s="56"/>
      <c r="BQB43" s="56"/>
      <c r="BQC43" s="56"/>
      <c r="BQD43" s="56"/>
      <c r="BQE43" s="56"/>
      <c r="BQF43" s="56"/>
      <c r="BQG43" s="56"/>
      <c r="BQH43" s="56"/>
      <c r="BQI43" s="56"/>
      <c r="BQJ43" s="56"/>
      <c r="BQK43" s="56"/>
      <c r="BQL43" s="56"/>
      <c r="BQM43" s="56"/>
      <c r="BQN43" s="56"/>
      <c r="BQO43" s="56"/>
      <c r="BQP43" s="56"/>
      <c r="BQQ43" s="56"/>
      <c r="BQR43" s="56"/>
      <c r="BQS43" s="56"/>
      <c r="BQT43" s="56"/>
      <c r="BQU43" s="56"/>
      <c r="BQV43" s="56"/>
      <c r="BQW43" s="56"/>
      <c r="BQX43" s="56"/>
      <c r="BQY43" s="56"/>
      <c r="BQZ43" s="56"/>
      <c r="BRA43" s="56"/>
      <c r="BRB43" s="56"/>
      <c r="BRC43" s="56"/>
      <c r="BRD43" s="56"/>
      <c r="BRE43" s="56"/>
      <c r="BRF43" s="56"/>
      <c r="BRG43" s="56"/>
      <c r="BRH43" s="56"/>
      <c r="BRI43" s="56"/>
      <c r="BRJ43" s="56"/>
      <c r="BRK43" s="56"/>
      <c r="BRL43" s="56"/>
      <c r="BRM43" s="56"/>
      <c r="BRN43" s="56"/>
      <c r="BRO43" s="56"/>
      <c r="BRP43" s="56"/>
      <c r="BRQ43" s="56"/>
      <c r="BRR43" s="56"/>
      <c r="BRS43" s="56"/>
      <c r="BRT43" s="56"/>
      <c r="BRU43" s="56"/>
      <c r="BRV43" s="56"/>
      <c r="BRW43" s="56"/>
      <c r="BRX43" s="56"/>
      <c r="BRY43" s="56"/>
      <c r="BRZ43" s="56"/>
      <c r="BSA43" s="56"/>
      <c r="BSB43" s="56"/>
      <c r="BSC43" s="56"/>
      <c r="BSD43" s="56"/>
      <c r="BSE43" s="56"/>
      <c r="BSF43" s="56"/>
      <c r="BSG43" s="56"/>
      <c r="BSH43" s="56"/>
      <c r="BSI43" s="56"/>
      <c r="BSJ43" s="56"/>
      <c r="BSK43" s="56"/>
      <c r="BSL43" s="56"/>
      <c r="BSM43" s="56"/>
      <c r="BSN43" s="56"/>
      <c r="BSO43" s="56"/>
      <c r="BSP43" s="56"/>
      <c r="BSQ43" s="56"/>
      <c r="BSR43" s="56"/>
      <c r="BSS43" s="56"/>
      <c r="BST43" s="56"/>
      <c r="BSU43" s="56"/>
      <c r="BSV43" s="56"/>
      <c r="BSW43" s="56"/>
      <c r="BSX43" s="56"/>
      <c r="BSY43" s="56"/>
      <c r="BSZ43" s="56"/>
      <c r="BTA43" s="56"/>
      <c r="BTB43" s="56"/>
      <c r="BTC43" s="56"/>
      <c r="BTD43" s="56"/>
      <c r="BTE43" s="56"/>
      <c r="BTF43" s="56"/>
      <c r="BTG43" s="56"/>
      <c r="BTH43" s="56"/>
      <c r="BTI43" s="56"/>
      <c r="BTJ43" s="56"/>
      <c r="BTK43" s="56"/>
      <c r="BTL43" s="56"/>
      <c r="BTM43" s="56"/>
      <c r="BTN43" s="56"/>
      <c r="BTO43" s="56"/>
      <c r="BTP43" s="56"/>
      <c r="BTQ43" s="56"/>
      <c r="BTR43" s="56"/>
      <c r="BTS43" s="56"/>
      <c r="BTT43" s="56"/>
      <c r="BTU43" s="56"/>
      <c r="BTV43" s="56"/>
      <c r="BTW43" s="56"/>
      <c r="BTX43" s="56"/>
      <c r="BTY43" s="56"/>
      <c r="BTZ43" s="56"/>
      <c r="BUA43" s="56"/>
      <c r="BUB43" s="56"/>
      <c r="BUC43" s="56"/>
      <c r="BUD43" s="56"/>
      <c r="BUE43" s="56"/>
      <c r="BUF43" s="56"/>
      <c r="BUG43" s="56"/>
      <c r="BUH43" s="56"/>
      <c r="BUI43" s="56"/>
      <c r="BUJ43" s="56"/>
      <c r="BUK43" s="56"/>
      <c r="BUL43" s="56"/>
      <c r="BUM43" s="56"/>
      <c r="BUN43" s="56"/>
      <c r="BUO43" s="56"/>
      <c r="BUP43" s="56"/>
      <c r="BUQ43" s="56"/>
      <c r="BUR43" s="56"/>
      <c r="BUS43" s="56"/>
      <c r="BUT43" s="56"/>
      <c r="BUU43" s="56"/>
      <c r="BUV43" s="56"/>
      <c r="BUW43" s="56"/>
      <c r="BUX43" s="56"/>
      <c r="BUY43" s="56"/>
      <c r="BUZ43" s="56"/>
      <c r="BVA43" s="56"/>
      <c r="BVB43" s="56"/>
      <c r="BVC43" s="56"/>
      <c r="BVD43" s="56"/>
      <c r="BVE43" s="56"/>
      <c r="BVF43" s="56"/>
      <c r="BVG43" s="56"/>
      <c r="BVH43" s="56"/>
      <c r="BVI43" s="56"/>
      <c r="BVJ43" s="56"/>
      <c r="BVK43" s="56"/>
      <c r="BVL43" s="56"/>
      <c r="BVM43" s="56"/>
      <c r="BVN43" s="56"/>
      <c r="BVO43" s="56"/>
      <c r="BVP43" s="56"/>
      <c r="BVQ43" s="56"/>
      <c r="BVR43" s="56"/>
      <c r="BVS43" s="56"/>
      <c r="BVT43" s="56"/>
      <c r="BVU43" s="56"/>
      <c r="BVV43" s="56"/>
      <c r="BVW43" s="56"/>
      <c r="BVX43" s="56"/>
      <c r="BVY43" s="56"/>
      <c r="BVZ43" s="56"/>
      <c r="BWA43" s="56"/>
      <c r="BWB43" s="56"/>
      <c r="BWC43" s="56"/>
      <c r="BWD43" s="56"/>
      <c r="BWE43" s="56"/>
      <c r="BWF43" s="56"/>
      <c r="BWG43" s="56"/>
      <c r="BWH43" s="56"/>
      <c r="BWI43" s="56"/>
      <c r="BWJ43" s="56"/>
      <c r="BWK43" s="56"/>
      <c r="BWL43" s="56"/>
      <c r="BWM43" s="56"/>
      <c r="BWN43" s="56"/>
      <c r="BWO43" s="56"/>
      <c r="BWP43" s="56"/>
      <c r="BWQ43" s="56"/>
      <c r="BWR43" s="56"/>
      <c r="BWS43" s="56"/>
      <c r="BWT43" s="56"/>
      <c r="BWU43" s="56"/>
      <c r="BWV43" s="56"/>
      <c r="BWW43" s="56"/>
      <c r="BWX43" s="56"/>
      <c r="BWY43" s="56"/>
      <c r="BWZ43" s="56"/>
      <c r="BXA43" s="56"/>
      <c r="BXB43" s="56"/>
      <c r="BXC43" s="56"/>
      <c r="BXD43" s="56"/>
      <c r="BXE43" s="56"/>
      <c r="BXF43" s="56"/>
      <c r="BXG43" s="56"/>
      <c r="BXH43" s="56"/>
      <c r="BXI43" s="56"/>
      <c r="BXJ43" s="56"/>
      <c r="BXK43" s="56"/>
      <c r="BXL43" s="56"/>
      <c r="BXM43" s="56"/>
      <c r="BXN43" s="56"/>
      <c r="BXO43" s="56"/>
      <c r="BXP43" s="56"/>
      <c r="BXQ43" s="56"/>
      <c r="BXR43" s="56"/>
      <c r="BXS43" s="56"/>
      <c r="BXT43" s="56"/>
      <c r="BXU43" s="56"/>
      <c r="BXV43" s="56"/>
      <c r="BXW43" s="56"/>
      <c r="BXX43" s="56"/>
      <c r="BXY43" s="56"/>
      <c r="BXZ43" s="56"/>
      <c r="BYA43" s="56"/>
      <c r="BYB43" s="56"/>
      <c r="BYC43" s="56"/>
      <c r="BYD43" s="56"/>
      <c r="BYE43" s="56"/>
      <c r="BYF43" s="56"/>
      <c r="BYG43" s="56"/>
      <c r="BYH43" s="56"/>
      <c r="BYI43" s="56"/>
      <c r="BYJ43" s="56"/>
      <c r="BYK43" s="56"/>
      <c r="BYL43" s="56"/>
      <c r="BYM43" s="56"/>
      <c r="BYN43" s="56"/>
      <c r="BYO43" s="56"/>
      <c r="BYP43" s="56"/>
      <c r="BYQ43" s="56"/>
      <c r="BYR43" s="56"/>
      <c r="BYS43" s="56"/>
      <c r="BYT43" s="56"/>
      <c r="BYU43" s="56"/>
      <c r="BYV43" s="56"/>
      <c r="BYW43" s="56"/>
      <c r="BYX43" s="56"/>
      <c r="BYY43" s="56"/>
      <c r="BYZ43" s="56"/>
      <c r="BZA43" s="56"/>
      <c r="BZB43" s="56"/>
      <c r="BZC43" s="56"/>
      <c r="BZD43" s="56"/>
      <c r="BZE43" s="56"/>
      <c r="BZF43" s="56"/>
      <c r="BZG43" s="56"/>
      <c r="BZH43" s="56"/>
      <c r="BZI43" s="56"/>
      <c r="BZJ43" s="56"/>
      <c r="BZK43" s="56"/>
      <c r="BZL43" s="56"/>
      <c r="BZM43" s="56"/>
      <c r="BZN43" s="56"/>
      <c r="BZO43" s="56"/>
      <c r="BZP43" s="56"/>
      <c r="BZQ43" s="56"/>
      <c r="BZR43" s="56"/>
      <c r="BZS43" s="56"/>
      <c r="BZT43" s="56"/>
      <c r="BZU43" s="56"/>
      <c r="BZV43" s="56"/>
      <c r="BZW43" s="56"/>
      <c r="BZX43" s="56"/>
      <c r="BZY43" s="56"/>
      <c r="BZZ43" s="56"/>
      <c r="CAA43" s="56"/>
      <c r="CAB43" s="56"/>
      <c r="CAC43" s="56"/>
      <c r="CAD43" s="56"/>
      <c r="CAE43" s="56"/>
      <c r="CAF43" s="56"/>
      <c r="CAG43" s="56"/>
      <c r="CAH43" s="56"/>
      <c r="CAI43" s="56"/>
      <c r="CAJ43" s="56"/>
      <c r="CAK43" s="56"/>
      <c r="CAL43" s="56"/>
      <c r="CAM43" s="56"/>
      <c r="CAN43" s="56"/>
      <c r="CAO43" s="56"/>
      <c r="CAP43" s="56"/>
      <c r="CAQ43" s="56"/>
      <c r="CAR43" s="56"/>
      <c r="CAS43" s="56"/>
      <c r="CAT43" s="56"/>
      <c r="CAU43" s="56"/>
      <c r="CAV43" s="56"/>
      <c r="CAW43" s="56"/>
      <c r="CAX43" s="56"/>
      <c r="CAY43" s="56"/>
      <c r="CAZ43" s="56"/>
      <c r="CBA43" s="56"/>
      <c r="CBB43" s="56"/>
      <c r="CBC43" s="56"/>
      <c r="CBD43" s="56"/>
      <c r="CBE43" s="56"/>
      <c r="CBF43" s="56"/>
      <c r="CBG43" s="56"/>
      <c r="CBH43" s="56"/>
      <c r="CBI43" s="56"/>
      <c r="CBJ43" s="56"/>
      <c r="CBK43" s="56"/>
      <c r="CBL43" s="56"/>
      <c r="CBM43" s="56"/>
      <c r="CBN43" s="56"/>
      <c r="CBO43" s="56"/>
      <c r="CBP43" s="56"/>
      <c r="CBQ43" s="56"/>
      <c r="CBR43" s="56"/>
      <c r="CBS43" s="56"/>
      <c r="CBT43" s="56"/>
      <c r="CBU43" s="56"/>
      <c r="CBV43" s="56"/>
      <c r="CBW43" s="56"/>
      <c r="CBX43" s="56"/>
      <c r="CBY43" s="56"/>
      <c r="CBZ43" s="56"/>
      <c r="CCA43" s="56"/>
      <c r="CCB43" s="56"/>
      <c r="CCC43" s="56"/>
      <c r="CCD43" s="56"/>
      <c r="CCE43" s="56"/>
      <c r="CCF43" s="56"/>
      <c r="CCG43" s="56"/>
      <c r="CCH43" s="56"/>
      <c r="CCI43" s="56"/>
      <c r="CCJ43" s="56"/>
      <c r="CCK43" s="56"/>
      <c r="CCL43" s="56"/>
      <c r="CCM43" s="56"/>
      <c r="CCN43" s="56"/>
      <c r="CCO43" s="56"/>
      <c r="CCP43" s="56"/>
      <c r="CCQ43" s="56"/>
      <c r="CCR43" s="56"/>
      <c r="CCS43" s="56"/>
      <c r="CCT43" s="56"/>
      <c r="CCU43" s="56"/>
      <c r="CCV43" s="56"/>
      <c r="CCW43" s="56"/>
      <c r="CCX43" s="56"/>
      <c r="CCY43" s="56"/>
      <c r="CCZ43" s="56"/>
      <c r="CDA43" s="56"/>
      <c r="CDB43" s="56"/>
      <c r="CDC43" s="56"/>
      <c r="CDD43" s="56"/>
      <c r="CDE43" s="56"/>
      <c r="CDF43" s="56"/>
      <c r="CDG43" s="56"/>
      <c r="CDH43" s="56"/>
      <c r="CDI43" s="56"/>
      <c r="CDJ43" s="56"/>
      <c r="CDK43" s="56"/>
      <c r="CDL43" s="56"/>
      <c r="CDM43" s="56"/>
      <c r="CDN43" s="56"/>
      <c r="CDO43" s="56"/>
      <c r="CDP43" s="56"/>
      <c r="CDQ43" s="56"/>
      <c r="CDR43" s="56"/>
      <c r="CDS43" s="56"/>
      <c r="CDT43" s="56"/>
      <c r="CDU43" s="56"/>
      <c r="CDV43" s="56"/>
      <c r="CDW43" s="56"/>
      <c r="CDX43" s="56"/>
      <c r="CDY43" s="56"/>
      <c r="CDZ43" s="56"/>
      <c r="CEA43" s="56"/>
      <c r="CEB43" s="56"/>
      <c r="CEC43" s="56"/>
      <c r="CED43" s="56"/>
      <c r="CEE43" s="56"/>
      <c r="CEF43" s="56"/>
      <c r="CEG43" s="56"/>
      <c r="CEH43" s="56"/>
      <c r="CEI43" s="56"/>
      <c r="CEJ43" s="56"/>
      <c r="CEK43" s="56"/>
      <c r="CEL43" s="56"/>
      <c r="CEM43" s="56"/>
      <c r="CEN43" s="56"/>
      <c r="CEO43" s="56"/>
      <c r="CEP43" s="56"/>
      <c r="CEQ43" s="56"/>
      <c r="CER43" s="56"/>
      <c r="CES43" s="56"/>
      <c r="CET43" s="56"/>
      <c r="CEU43" s="56"/>
      <c r="CEV43" s="56"/>
      <c r="CEW43" s="56"/>
      <c r="CEX43" s="56"/>
      <c r="CEY43" s="56"/>
      <c r="CEZ43" s="56"/>
      <c r="CFA43" s="56"/>
      <c r="CFB43" s="56"/>
      <c r="CFC43" s="56"/>
      <c r="CFD43" s="56"/>
      <c r="CFE43" s="56"/>
      <c r="CFF43" s="56"/>
      <c r="CFG43" s="56"/>
      <c r="CFH43" s="56"/>
      <c r="CFI43" s="56"/>
      <c r="CFJ43" s="56"/>
      <c r="CFK43" s="56"/>
      <c r="CFL43" s="56"/>
      <c r="CFM43" s="56"/>
      <c r="CFN43" s="56"/>
      <c r="CFO43" s="56"/>
      <c r="CFP43" s="56"/>
      <c r="CFQ43" s="56"/>
      <c r="CFR43" s="56"/>
      <c r="CFS43" s="56"/>
      <c r="CFT43" s="56"/>
      <c r="CFU43" s="56"/>
      <c r="CFV43" s="56"/>
      <c r="CFW43" s="56"/>
      <c r="CFX43" s="56"/>
      <c r="CFY43" s="56"/>
      <c r="CFZ43" s="56"/>
      <c r="CGA43" s="56"/>
      <c r="CGB43" s="56"/>
      <c r="CGC43" s="56"/>
      <c r="CGD43" s="56"/>
      <c r="CGE43" s="56"/>
      <c r="CGF43" s="56"/>
      <c r="CGG43" s="56"/>
      <c r="CGH43" s="56"/>
      <c r="CGI43" s="56"/>
      <c r="CGJ43" s="56"/>
      <c r="CGK43" s="56"/>
      <c r="CGL43" s="56"/>
      <c r="CGM43" s="56"/>
      <c r="CGN43" s="56"/>
      <c r="CGO43" s="56"/>
      <c r="CGP43" s="56"/>
      <c r="CGQ43" s="56"/>
      <c r="CGR43" s="56"/>
      <c r="CGS43" s="56"/>
      <c r="CGT43" s="56"/>
      <c r="CGU43" s="56"/>
      <c r="CGV43" s="56"/>
      <c r="CGW43" s="56"/>
      <c r="CGX43" s="56"/>
      <c r="CGY43" s="56"/>
      <c r="CGZ43" s="56"/>
      <c r="CHA43" s="56"/>
      <c r="CHB43" s="56"/>
      <c r="CHC43" s="56"/>
      <c r="CHD43" s="56"/>
      <c r="CHE43" s="56"/>
      <c r="CHF43" s="56"/>
      <c r="CHG43" s="56"/>
      <c r="CHH43" s="56"/>
      <c r="CHI43" s="56"/>
      <c r="CHJ43" s="56"/>
      <c r="CHK43" s="56"/>
      <c r="CHL43" s="56"/>
      <c r="CHM43" s="56"/>
      <c r="CHN43" s="56"/>
      <c r="CHO43" s="56"/>
      <c r="CHP43" s="56"/>
      <c r="CHQ43" s="56"/>
      <c r="CHR43" s="56"/>
      <c r="CHS43" s="56"/>
      <c r="CHT43" s="56"/>
      <c r="CHU43" s="56"/>
      <c r="CHV43" s="56"/>
      <c r="CHW43" s="56"/>
      <c r="CHX43" s="56"/>
      <c r="CHY43" s="56"/>
      <c r="CHZ43" s="56"/>
      <c r="CIA43" s="56"/>
      <c r="CIB43" s="56"/>
      <c r="CIC43" s="56"/>
      <c r="CID43" s="56"/>
      <c r="CIE43" s="56"/>
      <c r="CIF43" s="56"/>
      <c r="CIG43" s="56"/>
      <c r="CIH43" s="56"/>
      <c r="CII43" s="56"/>
      <c r="CIJ43" s="56"/>
      <c r="CIK43" s="56"/>
      <c r="CIL43" s="56"/>
      <c r="CIM43" s="56"/>
      <c r="CIN43" s="56"/>
      <c r="CIO43" s="56"/>
      <c r="CIP43" s="56"/>
      <c r="CIQ43" s="56"/>
      <c r="CIR43" s="56"/>
      <c r="CIS43" s="56"/>
      <c r="CIT43" s="56"/>
      <c r="CIU43" s="56"/>
      <c r="CIV43" s="56"/>
      <c r="CIW43" s="56"/>
      <c r="CIX43" s="56"/>
      <c r="CIY43" s="56"/>
      <c r="CIZ43" s="56"/>
      <c r="CJA43" s="56"/>
      <c r="CJB43" s="56"/>
      <c r="CJC43" s="56"/>
      <c r="CJD43" s="56"/>
      <c r="CJE43" s="56"/>
      <c r="CJF43" s="56"/>
      <c r="CJG43" s="56"/>
      <c r="CJH43" s="56"/>
      <c r="CJI43" s="56"/>
      <c r="CJJ43" s="56"/>
      <c r="CJK43" s="56"/>
      <c r="CJL43" s="56"/>
      <c r="CJM43" s="56"/>
      <c r="CJN43" s="56"/>
      <c r="CJO43" s="56"/>
      <c r="CJP43" s="56"/>
      <c r="CJQ43" s="56"/>
      <c r="CJR43" s="56"/>
      <c r="CJS43" s="56"/>
      <c r="CJT43" s="56"/>
      <c r="CJU43" s="56"/>
      <c r="CJV43" s="56"/>
      <c r="CJW43" s="56"/>
      <c r="CJX43" s="56"/>
      <c r="CJY43" s="56"/>
      <c r="CJZ43" s="56"/>
      <c r="CKA43" s="56"/>
      <c r="CKB43" s="56"/>
      <c r="CKC43" s="56"/>
      <c r="CKD43" s="56"/>
      <c r="CKE43" s="56"/>
      <c r="CKF43" s="56"/>
      <c r="CKG43" s="56"/>
      <c r="CKH43" s="56"/>
      <c r="CKI43" s="56"/>
      <c r="CKJ43" s="56"/>
      <c r="CKK43" s="56"/>
      <c r="CKL43" s="56"/>
      <c r="CKM43" s="56"/>
      <c r="CKN43" s="56"/>
      <c r="CKO43" s="56"/>
      <c r="CKP43" s="56"/>
      <c r="CKQ43" s="56"/>
      <c r="CKR43" s="56"/>
      <c r="CKS43" s="56"/>
      <c r="CKT43" s="56"/>
      <c r="CKU43" s="56"/>
      <c r="CKV43" s="56"/>
      <c r="CKW43" s="56"/>
      <c r="CKX43" s="56"/>
      <c r="CKY43" s="56"/>
      <c r="CKZ43" s="56"/>
      <c r="CLA43" s="56"/>
      <c r="CLB43" s="56"/>
      <c r="CLC43" s="56"/>
      <c r="CLD43" s="56"/>
      <c r="CLE43" s="56"/>
      <c r="CLF43" s="56"/>
      <c r="CLG43" s="56"/>
      <c r="CLH43" s="56"/>
      <c r="CLI43" s="56"/>
      <c r="CLJ43" s="56"/>
      <c r="CLK43" s="56"/>
      <c r="CLL43" s="56"/>
      <c r="CLM43" s="56"/>
      <c r="CLN43" s="56"/>
      <c r="CLO43" s="56"/>
      <c r="CLP43" s="56"/>
      <c r="CLQ43" s="56"/>
      <c r="CLR43" s="56"/>
      <c r="CLS43" s="56"/>
      <c r="CLT43" s="56"/>
      <c r="CLU43" s="56"/>
      <c r="CLV43" s="56"/>
      <c r="CLW43" s="56"/>
      <c r="CLX43" s="56"/>
      <c r="CLY43" s="56"/>
      <c r="CLZ43" s="56"/>
      <c r="CMA43" s="56"/>
      <c r="CMB43" s="56"/>
      <c r="CMC43" s="56"/>
      <c r="CMD43" s="56"/>
      <c r="CME43" s="56"/>
      <c r="CMF43" s="56"/>
      <c r="CMG43" s="56"/>
      <c r="CMH43" s="56"/>
      <c r="CMI43" s="56"/>
      <c r="CMJ43" s="56"/>
      <c r="CMK43" s="56"/>
      <c r="CML43" s="56"/>
      <c r="CMM43" s="56"/>
      <c r="CMN43" s="56"/>
      <c r="CMO43" s="56"/>
      <c r="CMP43" s="56"/>
      <c r="CMQ43" s="56"/>
      <c r="CMR43" s="56"/>
      <c r="CMS43" s="56"/>
      <c r="CMT43" s="56"/>
      <c r="CMU43" s="56"/>
      <c r="CMV43" s="56"/>
      <c r="CMW43" s="56"/>
      <c r="CMX43" s="56"/>
      <c r="CMY43" s="56"/>
      <c r="CMZ43" s="56"/>
      <c r="CNA43" s="56"/>
      <c r="CNB43" s="56"/>
      <c r="CNC43" s="56"/>
      <c r="CND43" s="56"/>
      <c r="CNE43" s="56"/>
      <c r="CNF43" s="56"/>
      <c r="CNG43" s="56"/>
      <c r="CNH43" s="56"/>
      <c r="CNI43" s="56"/>
      <c r="CNJ43" s="56"/>
      <c r="CNK43" s="56"/>
      <c r="CNL43" s="56"/>
      <c r="CNM43" s="56"/>
      <c r="CNN43" s="56"/>
      <c r="CNO43" s="56"/>
      <c r="CNP43" s="56"/>
      <c r="CNQ43" s="56"/>
      <c r="CNR43" s="56"/>
      <c r="CNS43" s="56"/>
      <c r="CNT43" s="56"/>
      <c r="CNU43" s="56"/>
      <c r="CNV43" s="56"/>
      <c r="CNW43" s="56"/>
      <c r="CNX43" s="56"/>
      <c r="CNY43" s="56"/>
      <c r="CNZ43" s="56"/>
      <c r="COA43" s="56"/>
      <c r="COB43" s="56"/>
      <c r="COC43" s="56"/>
      <c r="COD43" s="56"/>
      <c r="COE43" s="56"/>
      <c r="COF43" s="56"/>
      <c r="COG43" s="56"/>
      <c r="COH43" s="56"/>
      <c r="COI43" s="56"/>
      <c r="COJ43" s="56"/>
      <c r="COK43" s="56"/>
      <c r="COL43" s="56"/>
      <c r="COM43" s="56"/>
      <c r="CON43" s="56"/>
      <c r="COO43" s="56"/>
      <c r="COP43" s="56"/>
      <c r="COQ43" s="56"/>
      <c r="COR43" s="56"/>
      <c r="COS43" s="56"/>
      <c r="COT43" s="56"/>
      <c r="COU43" s="56"/>
      <c r="COV43" s="56"/>
      <c r="COW43" s="56"/>
      <c r="COX43" s="56"/>
      <c r="COY43" s="56"/>
      <c r="COZ43" s="56"/>
      <c r="CPA43" s="56"/>
      <c r="CPB43" s="56"/>
      <c r="CPC43" s="56"/>
      <c r="CPD43" s="56"/>
      <c r="CPE43" s="56"/>
      <c r="CPF43" s="56"/>
      <c r="CPG43" s="56"/>
      <c r="CPH43" s="56"/>
      <c r="CPI43" s="56"/>
      <c r="CPJ43" s="56"/>
      <c r="CPK43" s="56"/>
      <c r="CPL43" s="56"/>
      <c r="CPM43" s="56"/>
      <c r="CPN43" s="56"/>
      <c r="CPO43" s="56"/>
      <c r="CPP43" s="56"/>
      <c r="CPQ43" s="56"/>
      <c r="CPR43" s="56"/>
      <c r="CPS43" s="56"/>
      <c r="CPT43" s="56"/>
      <c r="CPU43" s="56"/>
      <c r="CPV43" s="56"/>
      <c r="CPW43" s="56"/>
      <c r="CPX43" s="56"/>
      <c r="CPY43" s="56"/>
      <c r="CPZ43" s="56"/>
      <c r="CQA43" s="56"/>
      <c r="CQB43" s="56"/>
      <c r="CQC43" s="56"/>
      <c r="CQD43" s="56"/>
      <c r="CQE43" s="56"/>
      <c r="CQF43" s="56"/>
      <c r="CQG43" s="56"/>
      <c r="CQH43" s="56"/>
      <c r="CQI43" s="56"/>
      <c r="CQJ43" s="56"/>
      <c r="CQK43" s="56"/>
      <c r="CQL43" s="56"/>
      <c r="CQM43" s="56"/>
      <c r="CQN43" s="56"/>
      <c r="CQO43" s="56"/>
      <c r="CQP43" s="56"/>
      <c r="CQQ43" s="56"/>
      <c r="CQR43" s="56"/>
      <c r="CQS43" s="56"/>
      <c r="CQT43" s="56"/>
      <c r="CQU43" s="56"/>
      <c r="CQV43" s="56"/>
      <c r="CQW43" s="56"/>
      <c r="CQX43" s="56"/>
      <c r="CQY43" s="56"/>
      <c r="CQZ43" s="56"/>
      <c r="CRA43" s="56"/>
      <c r="CRB43" s="56"/>
      <c r="CRC43" s="56"/>
      <c r="CRD43" s="56"/>
      <c r="CRE43" s="56"/>
      <c r="CRF43" s="56"/>
      <c r="CRG43" s="56"/>
      <c r="CRH43" s="56"/>
      <c r="CRI43" s="56"/>
      <c r="CRJ43" s="56"/>
      <c r="CRK43" s="56"/>
      <c r="CRL43" s="56"/>
      <c r="CRM43" s="56"/>
      <c r="CRN43" s="56"/>
      <c r="CRO43" s="56"/>
      <c r="CRP43" s="56"/>
      <c r="CRQ43" s="56"/>
      <c r="CRR43" s="56"/>
      <c r="CRS43" s="56"/>
      <c r="CRT43" s="56"/>
      <c r="CRU43" s="56"/>
      <c r="CRV43" s="56"/>
      <c r="CRW43" s="56"/>
      <c r="CRX43" s="56"/>
      <c r="CRY43" s="56"/>
      <c r="CRZ43" s="56"/>
      <c r="CSA43" s="56"/>
      <c r="CSB43" s="56"/>
      <c r="CSC43" s="56"/>
      <c r="CSD43" s="56"/>
      <c r="CSE43" s="56"/>
      <c r="CSF43" s="56"/>
      <c r="CSG43" s="56"/>
      <c r="CSH43" s="56"/>
      <c r="CSI43" s="56"/>
      <c r="CSJ43" s="56"/>
      <c r="CSK43" s="56"/>
      <c r="CSL43" s="56"/>
      <c r="CSM43" s="56"/>
      <c r="CSN43" s="56"/>
      <c r="CSO43" s="56"/>
      <c r="CSP43" s="56"/>
      <c r="CSQ43" s="56"/>
      <c r="CSR43" s="56"/>
      <c r="CSS43" s="56"/>
      <c r="CST43" s="56"/>
      <c r="CSU43" s="56"/>
      <c r="CSV43" s="56"/>
      <c r="CSW43" s="56"/>
      <c r="CSX43" s="56"/>
      <c r="CSY43" s="56"/>
      <c r="CSZ43" s="56"/>
      <c r="CTA43" s="56"/>
      <c r="CTB43" s="56"/>
      <c r="CTC43" s="56"/>
      <c r="CTD43" s="56"/>
      <c r="CTE43" s="56"/>
      <c r="CTF43" s="56"/>
      <c r="CTG43" s="56"/>
      <c r="CTH43" s="56"/>
      <c r="CTI43" s="56"/>
      <c r="CTJ43" s="56"/>
      <c r="CTK43" s="56"/>
      <c r="CTL43" s="56"/>
      <c r="CTM43" s="56"/>
      <c r="CTN43" s="56"/>
      <c r="CTO43" s="56"/>
      <c r="CTP43" s="56"/>
      <c r="CTQ43" s="56"/>
      <c r="CTR43" s="56"/>
      <c r="CTS43" s="56"/>
      <c r="CTT43" s="56"/>
      <c r="CTU43" s="56"/>
      <c r="CTV43" s="56"/>
      <c r="CTW43" s="56"/>
      <c r="CTX43" s="56"/>
      <c r="CTY43" s="56"/>
      <c r="CTZ43" s="56"/>
      <c r="CUA43" s="56"/>
      <c r="CUB43" s="56"/>
      <c r="CUC43" s="56"/>
      <c r="CUD43" s="56"/>
      <c r="CUE43" s="56"/>
      <c r="CUF43" s="56"/>
      <c r="CUG43" s="56"/>
      <c r="CUH43" s="56"/>
      <c r="CUI43" s="56"/>
      <c r="CUJ43" s="56"/>
      <c r="CUK43" s="56"/>
      <c r="CUL43" s="56"/>
      <c r="CUM43" s="56"/>
      <c r="CUN43" s="56"/>
      <c r="CUO43" s="56"/>
      <c r="CUP43" s="56"/>
      <c r="CUQ43" s="56"/>
      <c r="CUR43" s="56"/>
      <c r="CUS43" s="56"/>
      <c r="CUT43" s="56"/>
      <c r="CUU43" s="56"/>
      <c r="CUV43" s="56"/>
      <c r="CUW43" s="56"/>
      <c r="CUX43" s="56"/>
      <c r="CUY43" s="56"/>
      <c r="CUZ43" s="56"/>
      <c r="CVA43" s="56"/>
      <c r="CVB43" s="56"/>
      <c r="CVC43" s="56"/>
      <c r="CVD43" s="56"/>
      <c r="CVE43" s="56"/>
      <c r="CVF43" s="56"/>
      <c r="CVG43" s="56"/>
      <c r="CVH43" s="56"/>
      <c r="CVI43" s="56"/>
      <c r="CVJ43" s="56"/>
      <c r="CVK43" s="56"/>
      <c r="CVL43" s="56"/>
      <c r="CVM43" s="56"/>
      <c r="CVN43" s="56"/>
      <c r="CVO43" s="56"/>
      <c r="CVP43" s="56"/>
      <c r="CVQ43" s="56"/>
      <c r="CVR43" s="56"/>
      <c r="CVS43" s="56"/>
      <c r="CVT43" s="56"/>
      <c r="CVU43" s="56"/>
      <c r="CVV43" s="56"/>
      <c r="CVW43" s="56"/>
      <c r="CVX43" s="56"/>
      <c r="CVY43" s="56"/>
      <c r="CVZ43" s="56"/>
      <c r="CWA43" s="56"/>
      <c r="CWB43" s="56"/>
      <c r="CWC43" s="56"/>
      <c r="CWD43" s="56"/>
      <c r="CWE43" s="56"/>
      <c r="CWF43" s="56"/>
      <c r="CWG43" s="56"/>
      <c r="CWH43" s="56"/>
      <c r="CWI43" s="56"/>
      <c r="CWJ43" s="56"/>
      <c r="CWK43" s="56"/>
      <c r="CWL43" s="56"/>
      <c r="CWM43" s="56"/>
      <c r="CWN43" s="56"/>
      <c r="CWO43" s="56"/>
      <c r="CWP43" s="56"/>
      <c r="CWQ43" s="56"/>
      <c r="CWR43" s="56"/>
      <c r="CWS43" s="56"/>
      <c r="CWT43" s="56"/>
      <c r="CWU43" s="56"/>
      <c r="CWV43" s="56"/>
      <c r="CWW43" s="56"/>
      <c r="CWX43" s="56"/>
      <c r="CWY43" s="56"/>
      <c r="CWZ43" s="56"/>
      <c r="CXA43" s="56"/>
      <c r="CXB43" s="56"/>
      <c r="CXC43" s="56"/>
      <c r="CXD43" s="56"/>
      <c r="CXE43" s="56"/>
      <c r="CXF43" s="56"/>
      <c r="CXG43" s="56"/>
      <c r="CXH43" s="56"/>
      <c r="CXI43" s="56"/>
      <c r="CXJ43" s="56"/>
      <c r="CXK43" s="56"/>
      <c r="CXL43" s="56"/>
      <c r="CXM43" s="56"/>
      <c r="CXN43" s="56"/>
      <c r="CXO43" s="56"/>
      <c r="CXP43" s="56"/>
      <c r="CXQ43" s="56"/>
      <c r="CXR43" s="56"/>
      <c r="CXS43" s="56"/>
      <c r="CXT43" s="56"/>
      <c r="CXU43" s="56"/>
      <c r="CXV43" s="56"/>
      <c r="CXW43" s="56"/>
      <c r="CXX43" s="56"/>
      <c r="CXY43" s="56"/>
      <c r="CXZ43" s="56"/>
      <c r="CYA43" s="56"/>
      <c r="CYB43" s="56"/>
      <c r="CYC43" s="56"/>
      <c r="CYD43" s="56"/>
      <c r="CYE43" s="56"/>
      <c r="CYF43" s="56"/>
      <c r="CYG43" s="56"/>
      <c r="CYH43" s="56"/>
      <c r="CYI43" s="56"/>
      <c r="CYJ43" s="56"/>
      <c r="CYK43" s="56"/>
      <c r="CYL43" s="56"/>
      <c r="CYM43" s="56"/>
      <c r="CYN43" s="56"/>
      <c r="CYO43" s="56"/>
      <c r="CYP43" s="56"/>
      <c r="CYQ43" s="56"/>
      <c r="CYR43" s="56"/>
      <c r="CYS43" s="56"/>
      <c r="CYT43" s="56"/>
      <c r="CYU43" s="56"/>
      <c r="CYV43" s="56"/>
      <c r="CYW43" s="56"/>
      <c r="CYX43" s="56"/>
      <c r="CYY43" s="56"/>
      <c r="CYZ43" s="56"/>
      <c r="CZA43" s="56"/>
      <c r="CZB43" s="56"/>
      <c r="CZC43" s="56"/>
      <c r="CZD43" s="56"/>
      <c r="CZE43" s="56"/>
      <c r="CZF43" s="56"/>
      <c r="CZG43" s="56"/>
      <c r="CZH43" s="56"/>
      <c r="CZI43" s="56"/>
      <c r="CZJ43" s="56"/>
      <c r="CZK43" s="56"/>
      <c r="CZL43" s="56"/>
      <c r="CZM43" s="56"/>
      <c r="CZN43" s="56"/>
      <c r="CZO43" s="56"/>
      <c r="CZP43" s="56"/>
      <c r="CZQ43" s="56"/>
      <c r="CZR43" s="56"/>
      <c r="CZS43" s="56"/>
      <c r="CZT43" s="56"/>
      <c r="CZU43" s="56"/>
      <c r="CZV43" s="56"/>
      <c r="CZW43" s="56"/>
      <c r="CZX43" s="56"/>
      <c r="CZY43" s="56"/>
      <c r="CZZ43" s="56"/>
      <c r="DAA43" s="56"/>
      <c r="DAB43" s="56"/>
      <c r="DAC43" s="56"/>
      <c r="DAD43" s="56"/>
      <c r="DAE43" s="56"/>
      <c r="DAF43" s="56"/>
      <c r="DAG43" s="56"/>
      <c r="DAH43" s="56"/>
      <c r="DAI43" s="56"/>
      <c r="DAJ43" s="56"/>
      <c r="DAK43" s="56"/>
      <c r="DAL43" s="56"/>
      <c r="DAM43" s="56"/>
      <c r="DAN43" s="56"/>
      <c r="DAO43" s="56"/>
      <c r="DAP43" s="56"/>
      <c r="DAQ43" s="56"/>
      <c r="DAR43" s="56"/>
      <c r="DAS43" s="56"/>
      <c r="DAT43" s="56"/>
      <c r="DAU43" s="56"/>
      <c r="DAV43" s="56"/>
      <c r="DAW43" s="56"/>
      <c r="DAX43" s="56"/>
      <c r="DAY43" s="56"/>
      <c r="DAZ43" s="56"/>
      <c r="DBA43" s="56"/>
      <c r="DBB43" s="56"/>
      <c r="DBC43" s="56"/>
      <c r="DBD43" s="56"/>
      <c r="DBE43" s="56"/>
      <c r="DBF43" s="56"/>
      <c r="DBG43" s="56"/>
      <c r="DBH43" s="56"/>
      <c r="DBI43" s="56"/>
      <c r="DBJ43" s="56"/>
      <c r="DBK43" s="56"/>
      <c r="DBL43" s="56"/>
      <c r="DBM43" s="56"/>
      <c r="DBN43" s="56"/>
      <c r="DBO43" s="56"/>
      <c r="DBP43" s="56"/>
      <c r="DBQ43" s="56"/>
      <c r="DBR43" s="56"/>
      <c r="DBS43" s="56"/>
      <c r="DBT43" s="56"/>
      <c r="DBU43" s="56"/>
      <c r="DBV43" s="56"/>
      <c r="DBW43" s="56"/>
      <c r="DBX43" s="56"/>
      <c r="DBY43" s="56"/>
      <c r="DBZ43" s="56"/>
      <c r="DCA43" s="56"/>
      <c r="DCB43" s="56"/>
      <c r="DCC43" s="56"/>
      <c r="DCD43" s="56"/>
      <c r="DCE43" s="56"/>
      <c r="DCF43" s="56"/>
      <c r="DCG43" s="56"/>
      <c r="DCH43" s="56"/>
      <c r="DCI43" s="56"/>
      <c r="DCJ43" s="56"/>
      <c r="DCK43" s="56"/>
      <c r="DCL43" s="56"/>
      <c r="DCM43" s="56"/>
      <c r="DCN43" s="56"/>
      <c r="DCO43" s="56"/>
      <c r="DCP43" s="56"/>
      <c r="DCQ43" s="56"/>
      <c r="DCR43" s="56"/>
      <c r="DCS43" s="56"/>
      <c r="DCT43" s="56"/>
      <c r="DCU43" s="56"/>
      <c r="DCV43" s="56"/>
      <c r="DCW43" s="56"/>
      <c r="DCX43" s="56"/>
      <c r="DCY43" s="56"/>
      <c r="DCZ43" s="56"/>
      <c r="DDA43" s="56"/>
      <c r="DDB43" s="56"/>
      <c r="DDC43" s="56"/>
      <c r="DDD43" s="56"/>
      <c r="DDE43" s="56"/>
      <c r="DDF43" s="56"/>
      <c r="DDG43" s="56"/>
      <c r="DDH43" s="56"/>
      <c r="DDI43" s="56"/>
      <c r="DDJ43" s="56"/>
      <c r="DDK43" s="56"/>
      <c r="DDL43" s="56"/>
      <c r="DDM43" s="56"/>
      <c r="DDN43" s="56"/>
      <c r="DDO43" s="56"/>
      <c r="DDP43" s="56"/>
      <c r="DDQ43" s="56"/>
      <c r="DDR43" s="56"/>
      <c r="DDS43" s="56"/>
      <c r="DDT43" s="56"/>
      <c r="DDU43" s="56"/>
      <c r="DDV43" s="56"/>
      <c r="DDW43" s="56"/>
      <c r="DDX43" s="56"/>
      <c r="DDY43" s="56"/>
      <c r="DDZ43" s="56"/>
      <c r="DEA43" s="56"/>
      <c r="DEB43" s="56"/>
      <c r="DEC43" s="56"/>
      <c r="DED43" s="56"/>
      <c r="DEE43" s="56"/>
      <c r="DEF43" s="56"/>
      <c r="DEG43" s="56"/>
      <c r="DEH43" s="56"/>
      <c r="DEI43" s="56"/>
      <c r="DEJ43" s="56"/>
      <c r="DEK43" s="56"/>
      <c r="DEL43" s="56"/>
      <c r="DEM43" s="56"/>
      <c r="DEN43" s="56"/>
      <c r="DEO43" s="56"/>
      <c r="DEP43" s="56"/>
      <c r="DEQ43" s="56"/>
      <c r="DER43" s="56"/>
      <c r="DES43" s="56"/>
      <c r="DET43" s="56"/>
      <c r="DEU43" s="56"/>
      <c r="DEV43" s="56"/>
      <c r="DEW43" s="56"/>
      <c r="DEX43" s="56"/>
      <c r="DEY43" s="56"/>
      <c r="DEZ43" s="56"/>
      <c r="DFA43" s="56"/>
      <c r="DFB43" s="56"/>
      <c r="DFC43" s="56"/>
      <c r="DFD43" s="56"/>
      <c r="DFE43" s="56"/>
      <c r="DFF43" s="56"/>
      <c r="DFG43" s="56"/>
      <c r="DFH43" s="56"/>
      <c r="DFI43" s="56"/>
      <c r="DFJ43" s="56"/>
      <c r="DFK43" s="56"/>
      <c r="DFL43" s="56"/>
      <c r="DFM43" s="56"/>
      <c r="DFN43" s="56"/>
      <c r="DFO43" s="56"/>
      <c r="DFP43" s="56"/>
      <c r="DFQ43" s="56"/>
      <c r="DFR43" s="56"/>
      <c r="DFS43" s="56"/>
      <c r="DFT43" s="56"/>
      <c r="DFU43" s="56"/>
      <c r="DFV43" s="56"/>
      <c r="DFW43" s="56"/>
      <c r="DFX43" s="56"/>
      <c r="DFY43" s="56"/>
      <c r="DFZ43" s="56"/>
      <c r="DGA43" s="56"/>
      <c r="DGB43" s="56"/>
      <c r="DGC43" s="56"/>
      <c r="DGD43" s="56"/>
      <c r="DGE43" s="56"/>
      <c r="DGF43" s="56"/>
      <c r="DGG43" s="56"/>
      <c r="DGH43" s="56"/>
      <c r="DGI43" s="56"/>
      <c r="DGJ43" s="56"/>
      <c r="DGK43" s="56"/>
      <c r="DGL43" s="56"/>
      <c r="DGM43" s="56"/>
      <c r="DGN43" s="56"/>
      <c r="DGO43" s="56"/>
      <c r="DGP43" s="56"/>
      <c r="DGQ43" s="56"/>
      <c r="DGR43" s="56"/>
      <c r="DGS43" s="56"/>
      <c r="DGT43" s="56"/>
      <c r="DGU43" s="56"/>
      <c r="DGV43" s="56"/>
      <c r="DGW43" s="56"/>
      <c r="DGX43" s="56"/>
      <c r="DGY43" s="56"/>
      <c r="DGZ43" s="56"/>
      <c r="DHA43" s="56"/>
      <c r="DHB43" s="56"/>
      <c r="DHC43" s="56"/>
      <c r="DHD43" s="56"/>
      <c r="DHE43" s="56"/>
      <c r="DHF43" s="56"/>
      <c r="DHG43" s="56"/>
      <c r="DHH43" s="56"/>
      <c r="DHI43" s="56"/>
      <c r="DHJ43" s="56"/>
      <c r="DHK43" s="56"/>
      <c r="DHL43" s="56"/>
      <c r="DHM43" s="56"/>
      <c r="DHN43" s="56"/>
      <c r="DHO43" s="56"/>
      <c r="DHP43" s="56"/>
      <c r="DHQ43" s="56"/>
      <c r="DHR43" s="56"/>
      <c r="DHS43" s="56"/>
      <c r="DHT43" s="56"/>
      <c r="DHU43" s="56"/>
      <c r="DHV43" s="56"/>
      <c r="DHW43" s="56"/>
      <c r="DHX43" s="56"/>
      <c r="DHY43" s="56"/>
      <c r="DHZ43" s="56"/>
      <c r="DIA43" s="56"/>
      <c r="DIB43" s="56"/>
      <c r="DIC43" s="56"/>
      <c r="DID43" s="56"/>
      <c r="DIE43" s="56"/>
      <c r="DIF43" s="56"/>
      <c r="DIG43" s="56"/>
      <c r="DIH43" s="56"/>
      <c r="DII43" s="56"/>
      <c r="DIJ43" s="56"/>
      <c r="DIK43" s="56"/>
      <c r="DIL43" s="56"/>
      <c r="DIM43" s="56"/>
      <c r="DIN43" s="56"/>
      <c r="DIO43" s="56"/>
      <c r="DIP43" s="56"/>
      <c r="DIQ43" s="56"/>
      <c r="DIR43" s="56"/>
      <c r="DIS43" s="56"/>
      <c r="DIT43" s="56"/>
      <c r="DIU43" s="56"/>
      <c r="DIV43" s="56"/>
      <c r="DIW43" s="56"/>
      <c r="DIX43" s="56"/>
      <c r="DIY43" s="56"/>
      <c r="DIZ43" s="56"/>
      <c r="DJA43" s="56"/>
      <c r="DJB43" s="56"/>
      <c r="DJC43" s="56"/>
      <c r="DJD43" s="56"/>
      <c r="DJE43" s="56"/>
      <c r="DJF43" s="56"/>
      <c r="DJG43" s="56"/>
      <c r="DJH43" s="56"/>
      <c r="DJI43" s="56"/>
      <c r="DJJ43" s="56"/>
      <c r="DJK43" s="56"/>
      <c r="DJL43" s="56"/>
      <c r="DJM43" s="56"/>
      <c r="DJN43" s="56"/>
      <c r="DJO43" s="56"/>
      <c r="DJP43" s="56"/>
      <c r="DJQ43" s="56"/>
      <c r="DJR43" s="56"/>
      <c r="DJS43" s="56"/>
      <c r="DJT43" s="56"/>
      <c r="DJU43" s="56"/>
      <c r="DJV43" s="56"/>
      <c r="DJW43" s="56"/>
      <c r="DJX43" s="56"/>
      <c r="DJY43" s="56"/>
      <c r="DJZ43" s="56"/>
      <c r="DKA43" s="56"/>
      <c r="DKB43" s="56"/>
      <c r="DKC43" s="56"/>
      <c r="DKD43" s="56"/>
      <c r="DKE43" s="56"/>
      <c r="DKF43" s="56"/>
      <c r="DKG43" s="56"/>
      <c r="DKH43" s="56"/>
      <c r="DKI43" s="56"/>
      <c r="DKJ43" s="56"/>
      <c r="DKK43" s="56"/>
      <c r="DKL43" s="56"/>
      <c r="DKM43" s="56"/>
      <c r="DKN43" s="56"/>
      <c r="DKO43" s="56"/>
      <c r="DKP43" s="56"/>
      <c r="DKQ43" s="56"/>
      <c r="DKR43" s="56"/>
      <c r="DKS43" s="56"/>
      <c r="DKT43" s="56"/>
      <c r="DKU43" s="56"/>
      <c r="DKV43" s="56"/>
      <c r="DKW43" s="56"/>
      <c r="DKX43" s="56"/>
      <c r="DKY43" s="56"/>
      <c r="DKZ43" s="56"/>
      <c r="DLA43" s="56"/>
      <c r="DLB43" s="56"/>
      <c r="DLC43" s="56"/>
      <c r="DLD43" s="56"/>
      <c r="DLE43" s="56"/>
      <c r="DLF43" s="56"/>
      <c r="DLG43" s="56"/>
      <c r="DLH43" s="56"/>
      <c r="DLI43" s="56"/>
      <c r="DLJ43" s="56"/>
      <c r="DLK43" s="56"/>
      <c r="DLL43" s="56"/>
      <c r="DLM43" s="56"/>
      <c r="DLN43" s="56"/>
      <c r="DLO43" s="56"/>
      <c r="DLP43" s="56"/>
      <c r="DLQ43" s="56"/>
      <c r="DLR43" s="56"/>
      <c r="DLS43" s="56"/>
      <c r="DLT43" s="56"/>
      <c r="DLU43" s="56"/>
      <c r="DLV43" s="56"/>
      <c r="DLW43" s="56"/>
      <c r="DLX43" s="56"/>
      <c r="DLY43" s="56"/>
      <c r="DLZ43" s="56"/>
      <c r="DMA43" s="56"/>
      <c r="DMB43" s="56"/>
      <c r="DMC43" s="56"/>
      <c r="DMD43" s="56"/>
      <c r="DME43" s="56"/>
      <c r="DMF43" s="56"/>
      <c r="DMG43" s="56"/>
      <c r="DMH43" s="56"/>
      <c r="DMI43" s="56"/>
      <c r="DMJ43" s="56"/>
      <c r="DMK43" s="56"/>
      <c r="DML43" s="56"/>
      <c r="DMM43" s="56"/>
      <c r="DMN43" s="56"/>
      <c r="DMO43" s="56"/>
      <c r="DMP43" s="56"/>
      <c r="DMQ43" s="56"/>
      <c r="DMR43" s="56"/>
      <c r="DMS43" s="56"/>
      <c r="DMT43" s="56"/>
      <c r="DMU43" s="56"/>
      <c r="DMV43" s="56"/>
      <c r="DMW43" s="56"/>
      <c r="DMX43" s="56"/>
      <c r="DMY43" s="56"/>
      <c r="DMZ43" s="56"/>
      <c r="DNA43" s="56"/>
      <c r="DNB43" s="56"/>
      <c r="DNC43" s="56"/>
      <c r="DND43" s="56"/>
      <c r="DNE43" s="56"/>
      <c r="DNF43" s="56"/>
      <c r="DNG43" s="56"/>
      <c r="DNH43" s="56"/>
      <c r="DNI43" s="56"/>
      <c r="DNJ43" s="56"/>
      <c r="DNK43" s="56"/>
      <c r="DNL43" s="56"/>
      <c r="DNM43" s="56"/>
      <c r="DNN43" s="56"/>
      <c r="DNO43" s="56"/>
      <c r="DNP43" s="56"/>
      <c r="DNQ43" s="56"/>
      <c r="DNR43" s="56"/>
      <c r="DNS43" s="56"/>
      <c r="DNT43" s="56"/>
      <c r="DNU43" s="56"/>
      <c r="DNV43" s="56"/>
      <c r="DNW43" s="56"/>
      <c r="DNX43" s="56"/>
      <c r="DNY43" s="56"/>
      <c r="DNZ43" s="56"/>
      <c r="DOA43" s="56"/>
      <c r="DOB43" s="56"/>
      <c r="DOC43" s="56"/>
      <c r="DOD43" s="56"/>
      <c r="DOE43" s="56"/>
      <c r="DOF43" s="56"/>
      <c r="DOG43" s="56"/>
      <c r="DOH43" s="56"/>
      <c r="DOI43" s="56"/>
      <c r="DOJ43" s="56"/>
      <c r="DOK43" s="56"/>
      <c r="DOL43" s="56"/>
      <c r="DOM43" s="56"/>
      <c r="DON43" s="56"/>
      <c r="DOO43" s="56"/>
      <c r="DOP43" s="56"/>
      <c r="DOQ43" s="56"/>
      <c r="DOR43" s="56"/>
      <c r="DOS43" s="56"/>
      <c r="DOT43" s="56"/>
      <c r="DOU43" s="56"/>
      <c r="DOV43" s="56"/>
      <c r="DOW43" s="56"/>
      <c r="DOX43" s="56"/>
      <c r="DOY43" s="56"/>
      <c r="DOZ43" s="56"/>
      <c r="DPA43" s="56"/>
      <c r="DPB43" s="56"/>
      <c r="DPC43" s="56"/>
      <c r="DPD43" s="56"/>
      <c r="DPE43" s="56"/>
      <c r="DPF43" s="56"/>
      <c r="DPG43" s="56"/>
      <c r="DPH43" s="56"/>
      <c r="DPI43" s="56"/>
      <c r="DPJ43" s="56"/>
      <c r="DPK43" s="56"/>
      <c r="DPL43" s="56"/>
      <c r="DPM43" s="56"/>
      <c r="DPN43" s="56"/>
      <c r="DPO43" s="56"/>
      <c r="DPP43" s="56"/>
      <c r="DPQ43" s="56"/>
      <c r="DPR43" s="56"/>
      <c r="DPS43" s="56"/>
      <c r="DPT43" s="56"/>
      <c r="DPU43" s="56"/>
      <c r="DPV43" s="56"/>
      <c r="DPW43" s="56"/>
      <c r="DPX43" s="56"/>
      <c r="DPY43" s="56"/>
      <c r="DPZ43" s="56"/>
      <c r="DQA43" s="56"/>
      <c r="DQB43" s="56"/>
      <c r="DQC43" s="56"/>
      <c r="DQD43" s="56"/>
      <c r="DQE43" s="56"/>
      <c r="DQF43" s="56"/>
      <c r="DQG43" s="56"/>
      <c r="DQH43" s="56"/>
      <c r="DQI43" s="56"/>
      <c r="DQJ43" s="56"/>
      <c r="DQK43" s="56"/>
      <c r="DQL43" s="56"/>
      <c r="DQM43" s="56"/>
      <c r="DQN43" s="56"/>
      <c r="DQO43" s="56"/>
      <c r="DQP43" s="56"/>
      <c r="DQQ43" s="56"/>
      <c r="DQR43" s="56"/>
      <c r="DQS43" s="56"/>
      <c r="DQT43" s="56"/>
      <c r="DQU43" s="56"/>
      <c r="DQV43" s="56"/>
      <c r="DQW43" s="56"/>
      <c r="DQX43" s="56"/>
      <c r="DQY43" s="56"/>
      <c r="DQZ43" s="56"/>
      <c r="DRA43" s="56"/>
      <c r="DRB43" s="56"/>
      <c r="DRC43" s="56"/>
      <c r="DRD43" s="56"/>
      <c r="DRE43" s="56"/>
      <c r="DRF43" s="56"/>
      <c r="DRG43" s="56"/>
      <c r="DRH43" s="56"/>
      <c r="DRI43" s="56"/>
      <c r="DRJ43" s="56"/>
      <c r="DRK43" s="56"/>
      <c r="DRL43" s="56"/>
      <c r="DRM43" s="56"/>
      <c r="DRN43" s="56"/>
      <c r="DRO43" s="56"/>
      <c r="DRP43" s="56"/>
      <c r="DRQ43" s="56"/>
      <c r="DRR43" s="56"/>
      <c r="DRS43" s="56"/>
      <c r="DRT43" s="56"/>
      <c r="DRU43" s="56"/>
      <c r="DRV43" s="56"/>
      <c r="DRW43" s="56"/>
      <c r="DRX43" s="56"/>
      <c r="DRY43" s="56"/>
      <c r="DRZ43" s="56"/>
      <c r="DSA43" s="56"/>
      <c r="DSB43" s="56"/>
      <c r="DSC43" s="56"/>
      <c r="DSD43" s="56"/>
      <c r="DSE43" s="56"/>
      <c r="DSF43" s="56"/>
      <c r="DSG43" s="56"/>
      <c r="DSH43" s="56"/>
      <c r="DSI43" s="56"/>
      <c r="DSJ43" s="56"/>
      <c r="DSK43" s="56"/>
      <c r="DSL43" s="56"/>
      <c r="DSM43" s="56"/>
      <c r="DSN43" s="56"/>
      <c r="DSO43" s="56"/>
      <c r="DSP43" s="56"/>
      <c r="DSQ43" s="56"/>
      <c r="DSR43" s="56"/>
      <c r="DSS43" s="56"/>
      <c r="DST43" s="56"/>
      <c r="DSU43" s="56"/>
      <c r="DSV43" s="56"/>
      <c r="DSW43" s="56"/>
      <c r="DSX43" s="56"/>
      <c r="DSY43" s="56"/>
      <c r="DSZ43" s="56"/>
      <c r="DTA43" s="56"/>
      <c r="DTB43" s="56"/>
      <c r="DTC43" s="56"/>
      <c r="DTD43" s="56"/>
      <c r="DTE43" s="56"/>
      <c r="DTF43" s="56"/>
      <c r="DTG43" s="56"/>
      <c r="DTH43" s="56"/>
      <c r="DTI43" s="56"/>
      <c r="DTJ43" s="56"/>
      <c r="DTK43" s="56"/>
      <c r="DTL43" s="56"/>
      <c r="DTM43" s="56"/>
      <c r="DTN43" s="56"/>
      <c r="DTO43" s="56"/>
      <c r="DTP43" s="56"/>
      <c r="DTQ43" s="56"/>
      <c r="DTR43" s="56"/>
      <c r="DTS43" s="56"/>
      <c r="DTT43" s="56"/>
      <c r="DTU43" s="56"/>
      <c r="DTV43" s="56"/>
      <c r="DTW43" s="56"/>
      <c r="DTX43" s="56"/>
      <c r="DTY43" s="56"/>
      <c r="DTZ43" s="56"/>
      <c r="DUA43" s="56"/>
      <c r="DUB43" s="56"/>
      <c r="DUC43" s="56"/>
      <c r="DUD43" s="56"/>
      <c r="DUE43" s="56"/>
      <c r="DUF43" s="56"/>
      <c r="DUG43" s="56"/>
      <c r="DUH43" s="56"/>
      <c r="DUI43" s="56"/>
      <c r="DUJ43" s="56"/>
      <c r="DUK43" s="56"/>
      <c r="DUL43" s="56"/>
      <c r="DUM43" s="56"/>
      <c r="DUN43" s="56"/>
      <c r="DUO43" s="56"/>
      <c r="DUP43" s="56"/>
      <c r="DUQ43" s="56"/>
      <c r="DUR43" s="56"/>
      <c r="DUS43" s="56"/>
      <c r="DUT43" s="56"/>
      <c r="DUU43" s="56"/>
      <c r="DUV43" s="56"/>
      <c r="DUW43" s="56"/>
      <c r="DUX43" s="56"/>
      <c r="DUY43" s="56"/>
      <c r="DUZ43" s="56"/>
      <c r="DVA43" s="56"/>
      <c r="DVB43" s="56"/>
      <c r="DVC43" s="56"/>
      <c r="DVD43" s="56"/>
      <c r="DVE43" s="56"/>
      <c r="DVF43" s="56"/>
      <c r="DVG43" s="56"/>
      <c r="DVH43" s="56"/>
      <c r="DVI43" s="56"/>
      <c r="DVJ43" s="56"/>
      <c r="DVK43" s="56"/>
      <c r="DVL43" s="56"/>
      <c r="DVM43" s="56"/>
      <c r="DVN43" s="56"/>
      <c r="DVO43" s="56"/>
      <c r="DVP43" s="56"/>
      <c r="DVQ43" s="56"/>
      <c r="DVR43" s="56"/>
      <c r="DVS43" s="56"/>
      <c r="DVT43" s="56"/>
      <c r="DVU43" s="56"/>
      <c r="DVV43" s="56"/>
      <c r="DVW43" s="56"/>
      <c r="DVX43" s="56"/>
      <c r="DVY43" s="56"/>
      <c r="DVZ43" s="56"/>
      <c r="DWA43" s="56"/>
      <c r="DWB43" s="56"/>
      <c r="DWC43" s="56"/>
      <c r="DWD43" s="56"/>
      <c r="DWE43" s="56"/>
      <c r="DWF43" s="56"/>
      <c r="DWG43" s="56"/>
      <c r="DWH43" s="56"/>
      <c r="DWI43" s="56"/>
      <c r="DWJ43" s="56"/>
      <c r="DWK43" s="56"/>
      <c r="DWL43" s="56"/>
      <c r="DWM43" s="56"/>
      <c r="DWN43" s="56"/>
      <c r="DWO43" s="56"/>
      <c r="DWP43" s="56"/>
      <c r="DWQ43" s="56"/>
      <c r="DWR43" s="56"/>
      <c r="DWS43" s="56"/>
      <c r="DWT43" s="56"/>
      <c r="DWU43" s="56"/>
      <c r="DWV43" s="56"/>
      <c r="DWW43" s="56"/>
      <c r="DWX43" s="56"/>
      <c r="DWY43" s="56"/>
      <c r="DWZ43" s="56"/>
      <c r="DXA43" s="56"/>
      <c r="DXB43" s="56"/>
      <c r="DXC43" s="56"/>
      <c r="DXD43" s="56"/>
      <c r="DXE43" s="56"/>
      <c r="DXF43" s="56"/>
      <c r="DXG43" s="56"/>
      <c r="DXH43" s="56"/>
      <c r="DXI43" s="56"/>
      <c r="DXJ43" s="56"/>
      <c r="DXK43" s="56"/>
      <c r="DXL43" s="56"/>
      <c r="DXM43" s="56"/>
      <c r="DXN43" s="56"/>
      <c r="DXO43" s="56"/>
      <c r="DXP43" s="56"/>
      <c r="DXQ43" s="56"/>
      <c r="DXR43" s="56"/>
      <c r="DXS43" s="56"/>
      <c r="DXT43" s="56"/>
      <c r="DXU43" s="56"/>
      <c r="DXV43" s="56"/>
      <c r="DXW43" s="56"/>
      <c r="DXX43" s="56"/>
      <c r="DXY43" s="56"/>
      <c r="DXZ43" s="56"/>
      <c r="DYA43" s="56"/>
      <c r="DYB43" s="56"/>
      <c r="DYC43" s="56"/>
      <c r="DYD43" s="56"/>
      <c r="DYE43" s="56"/>
      <c r="DYF43" s="56"/>
      <c r="DYG43" s="56"/>
      <c r="DYH43" s="56"/>
      <c r="DYI43" s="56"/>
      <c r="DYJ43" s="56"/>
      <c r="DYK43" s="56"/>
      <c r="DYL43" s="56"/>
      <c r="DYM43" s="56"/>
      <c r="DYN43" s="56"/>
      <c r="DYO43" s="56"/>
      <c r="DYP43" s="56"/>
      <c r="DYQ43" s="56"/>
      <c r="DYR43" s="56"/>
      <c r="DYS43" s="56"/>
      <c r="DYT43" s="56"/>
      <c r="DYU43" s="56"/>
      <c r="DYV43" s="56"/>
      <c r="DYW43" s="56"/>
      <c r="DYX43" s="56"/>
      <c r="DYY43" s="56"/>
      <c r="DYZ43" s="56"/>
      <c r="DZA43" s="56"/>
      <c r="DZB43" s="56"/>
      <c r="DZC43" s="56"/>
      <c r="DZD43" s="56"/>
      <c r="DZE43" s="56"/>
      <c r="DZF43" s="56"/>
      <c r="DZG43" s="56"/>
      <c r="DZH43" s="56"/>
      <c r="DZI43" s="56"/>
      <c r="DZJ43" s="56"/>
      <c r="DZK43" s="56"/>
      <c r="DZL43" s="56"/>
      <c r="DZM43" s="56"/>
      <c r="DZN43" s="56"/>
      <c r="DZO43" s="56"/>
      <c r="DZP43" s="56"/>
      <c r="DZQ43" s="56"/>
      <c r="DZR43" s="56"/>
      <c r="DZS43" s="56"/>
      <c r="DZT43" s="56"/>
      <c r="DZU43" s="56"/>
      <c r="DZV43" s="56"/>
      <c r="DZW43" s="56"/>
      <c r="DZX43" s="56"/>
      <c r="DZY43" s="56"/>
      <c r="DZZ43" s="56"/>
      <c r="EAA43" s="56"/>
      <c r="EAB43" s="56"/>
      <c r="EAC43" s="56"/>
      <c r="EAD43" s="56"/>
      <c r="EAE43" s="56"/>
      <c r="EAF43" s="56"/>
      <c r="EAG43" s="56"/>
      <c r="EAH43" s="56"/>
      <c r="EAI43" s="56"/>
      <c r="EAJ43" s="56"/>
      <c r="EAK43" s="56"/>
      <c r="EAL43" s="56"/>
      <c r="EAM43" s="56"/>
      <c r="EAN43" s="56"/>
      <c r="EAO43" s="56"/>
      <c r="EAP43" s="56"/>
      <c r="EAQ43" s="56"/>
      <c r="EAR43" s="56"/>
      <c r="EAS43" s="56"/>
      <c r="EAT43" s="56"/>
      <c r="EAU43" s="56"/>
      <c r="EAV43" s="56"/>
      <c r="EAW43" s="56"/>
      <c r="EAX43" s="56"/>
      <c r="EAY43" s="56"/>
      <c r="EAZ43" s="56"/>
      <c r="EBA43" s="56"/>
      <c r="EBB43" s="56"/>
      <c r="EBC43" s="56"/>
      <c r="EBD43" s="56"/>
      <c r="EBE43" s="56"/>
      <c r="EBF43" s="56"/>
      <c r="EBG43" s="56"/>
      <c r="EBH43" s="56"/>
      <c r="EBI43" s="56"/>
      <c r="EBJ43" s="56"/>
      <c r="EBK43" s="56"/>
      <c r="EBL43" s="56"/>
      <c r="EBM43" s="56"/>
      <c r="EBN43" s="56"/>
      <c r="EBO43" s="56"/>
      <c r="EBP43" s="56"/>
      <c r="EBQ43" s="56"/>
      <c r="EBR43" s="56"/>
      <c r="EBS43" s="56"/>
      <c r="EBT43" s="56"/>
      <c r="EBU43" s="56"/>
      <c r="EBV43" s="56"/>
      <c r="EBW43" s="56"/>
      <c r="EBX43" s="56"/>
      <c r="EBY43" s="56"/>
      <c r="EBZ43" s="56"/>
      <c r="ECA43" s="56"/>
      <c r="ECB43" s="56"/>
      <c r="ECC43" s="56"/>
      <c r="ECD43" s="56"/>
      <c r="ECE43" s="56"/>
      <c r="ECF43" s="56"/>
      <c r="ECG43" s="56"/>
      <c r="ECH43" s="56"/>
      <c r="ECI43" s="56"/>
      <c r="ECJ43" s="56"/>
      <c r="ECK43" s="56"/>
      <c r="ECL43" s="56"/>
      <c r="ECM43" s="56"/>
      <c r="ECN43" s="56"/>
      <c r="ECO43" s="56"/>
      <c r="ECP43" s="56"/>
      <c r="ECQ43" s="56"/>
      <c r="ECR43" s="56"/>
      <c r="ECS43" s="56"/>
      <c r="ECT43" s="56"/>
      <c r="ECU43" s="56"/>
      <c r="ECV43" s="56"/>
      <c r="ECW43" s="56"/>
      <c r="ECX43" s="56"/>
      <c r="ECY43" s="56"/>
      <c r="ECZ43" s="56"/>
      <c r="EDA43" s="56"/>
      <c r="EDB43" s="56"/>
      <c r="EDC43" s="56"/>
      <c r="EDD43" s="56"/>
      <c r="EDE43" s="56"/>
      <c r="EDF43" s="56"/>
      <c r="EDG43" s="56"/>
      <c r="EDH43" s="56"/>
      <c r="EDI43" s="56"/>
      <c r="EDJ43" s="56"/>
      <c r="EDK43" s="56"/>
      <c r="EDL43" s="56"/>
      <c r="EDM43" s="56"/>
      <c r="EDN43" s="56"/>
      <c r="EDO43" s="56"/>
      <c r="EDP43" s="56"/>
      <c r="EDQ43" s="56"/>
      <c r="EDR43" s="56"/>
      <c r="EDS43" s="56"/>
      <c r="EDT43" s="56"/>
      <c r="EDU43" s="56"/>
      <c r="EDV43" s="56"/>
      <c r="EDW43" s="56"/>
      <c r="EDX43" s="56"/>
      <c r="EDY43" s="56"/>
      <c r="EDZ43" s="56"/>
      <c r="EEA43" s="56"/>
      <c r="EEB43" s="56"/>
      <c r="EEC43" s="56"/>
      <c r="EED43" s="56"/>
      <c r="EEE43" s="56"/>
      <c r="EEF43" s="56"/>
      <c r="EEG43" s="56"/>
      <c r="EEH43" s="56"/>
      <c r="EEI43" s="56"/>
      <c r="EEJ43" s="56"/>
      <c r="EEK43" s="56"/>
      <c r="EEL43" s="56"/>
      <c r="EEM43" s="56"/>
      <c r="EEN43" s="56"/>
      <c r="EEO43" s="56"/>
      <c r="EEP43" s="56"/>
      <c r="EEQ43" s="56"/>
      <c r="EER43" s="56"/>
      <c r="EES43" s="56"/>
      <c r="EET43" s="56"/>
      <c r="EEU43" s="56"/>
      <c r="EEV43" s="56"/>
      <c r="EEW43" s="56"/>
      <c r="EEX43" s="56"/>
      <c r="EEY43" s="56"/>
      <c r="EEZ43" s="56"/>
      <c r="EFA43" s="56"/>
      <c r="EFB43" s="56"/>
      <c r="EFC43" s="56"/>
      <c r="EFD43" s="56"/>
      <c r="EFE43" s="56"/>
      <c r="EFF43" s="56"/>
      <c r="EFG43" s="56"/>
      <c r="EFH43" s="56"/>
      <c r="EFI43" s="56"/>
      <c r="EFJ43" s="56"/>
      <c r="EFK43" s="56"/>
      <c r="EFL43" s="56"/>
      <c r="EFM43" s="56"/>
      <c r="EFN43" s="56"/>
      <c r="EFO43" s="56"/>
      <c r="EFP43" s="56"/>
      <c r="EFQ43" s="56"/>
      <c r="EFR43" s="56"/>
      <c r="EFS43" s="56"/>
      <c r="EFT43" s="56"/>
      <c r="EFU43" s="56"/>
      <c r="EFV43" s="56"/>
      <c r="EFW43" s="56"/>
      <c r="EFX43" s="56"/>
      <c r="EFY43" s="56"/>
      <c r="EFZ43" s="56"/>
      <c r="EGA43" s="56"/>
      <c r="EGB43" s="56"/>
      <c r="EGC43" s="56"/>
      <c r="EGD43" s="56"/>
      <c r="EGE43" s="56"/>
      <c r="EGF43" s="56"/>
      <c r="EGG43" s="56"/>
      <c r="EGH43" s="56"/>
      <c r="EGI43" s="56"/>
      <c r="EGJ43" s="56"/>
      <c r="EGK43" s="56"/>
      <c r="EGL43" s="56"/>
      <c r="EGM43" s="56"/>
      <c r="EGN43" s="56"/>
      <c r="EGO43" s="56"/>
      <c r="EGP43" s="56"/>
      <c r="EGQ43" s="56"/>
      <c r="EGR43" s="56"/>
      <c r="EGS43" s="56"/>
      <c r="EGT43" s="56"/>
      <c r="EGU43" s="56"/>
      <c r="EGV43" s="56"/>
      <c r="EGW43" s="56"/>
      <c r="EGX43" s="56"/>
      <c r="EGY43" s="56"/>
      <c r="EGZ43" s="56"/>
      <c r="EHA43" s="56"/>
      <c r="EHB43" s="56"/>
      <c r="EHC43" s="56"/>
      <c r="EHD43" s="56"/>
      <c r="EHE43" s="56"/>
      <c r="EHF43" s="56"/>
      <c r="EHG43" s="56"/>
      <c r="EHH43" s="56"/>
      <c r="EHI43" s="56"/>
      <c r="EHJ43" s="56"/>
      <c r="EHK43" s="56"/>
      <c r="EHL43" s="56"/>
      <c r="EHM43" s="56"/>
      <c r="EHN43" s="56"/>
      <c r="EHO43" s="56"/>
      <c r="EHP43" s="56"/>
      <c r="EHQ43" s="56"/>
      <c r="EHR43" s="56"/>
      <c r="EHS43" s="56"/>
      <c r="EHT43" s="56"/>
      <c r="EHU43" s="56"/>
      <c r="EHV43" s="56"/>
      <c r="EHW43" s="56"/>
      <c r="EHX43" s="56"/>
      <c r="EHY43" s="56"/>
      <c r="EHZ43" s="56"/>
      <c r="EIA43" s="56"/>
      <c r="EIB43" s="56"/>
      <c r="EIC43" s="56"/>
      <c r="EID43" s="56"/>
      <c r="EIE43" s="56"/>
      <c r="EIF43" s="56"/>
      <c r="EIG43" s="56"/>
      <c r="EIH43" s="56"/>
      <c r="EII43" s="56"/>
      <c r="EIJ43" s="56"/>
      <c r="EIK43" s="56"/>
      <c r="EIL43" s="56"/>
      <c r="EIM43" s="56"/>
      <c r="EIN43" s="56"/>
      <c r="EIO43" s="56"/>
      <c r="EIP43" s="56"/>
      <c r="EIQ43" s="56"/>
      <c r="EIR43" s="56"/>
      <c r="EIS43" s="56"/>
      <c r="EIT43" s="56"/>
      <c r="EIU43" s="56"/>
      <c r="EIV43" s="56"/>
      <c r="EIW43" s="56"/>
      <c r="EIX43" s="56"/>
      <c r="EIY43" s="56"/>
      <c r="EIZ43" s="56"/>
      <c r="EJA43" s="56"/>
      <c r="EJB43" s="56"/>
      <c r="EJC43" s="56"/>
      <c r="EJD43" s="56"/>
      <c r="EJE43" s="56"/>
      <c r="EJF43" s="56"/>
      <c r="EJG43" s="56"/>
      <c r="EJH43" s="56"/>
      <c r="EJI43" s="56"/>
      <c r="EJJ43" s="56"/>
      <c r="EJK43" s="56"/>
      <c r="EJL43" s="56"/>
      <c r="EJM43" s="56"/>
      <c r="EJN43" s="56"/>
      <c r="EJO43" s="56"/>
      <c r="EJP43" s="56"/>
      <c r="EJQ43" s="56"/>
      <c r="EJR43" s="56"/>
      <c r="EJS43" s="56"/>
      <c r="EJT43" s="56"/>
      <c r="EJU43" s="56"/>
      <c r="EJV43" s="56"/>
      <c r="EJW43" s="56"/>
      <c r="EJX43" s="56"/>
      <c r="EJY43" s="56"/>
      <c r="EJZ43" s="56"/>
      <c r="EKA43" s="56"/>
      <c r="EKB43" s="56"/>
      <c r="EKC43" s="56"/>
      <c r="EKD43" s="56"/>
      <c r="EKE43" s="56"/>
      <c r="EKF43" s="56"/>
      <c r="EKG43" s="56"/>
      <c r="EKH43" s="56"/>
      <c r="EKI43" s="56"/>
      <c r="EKJ43" s="56"/>
      <c r="EKK43" s="56"/>
      <c r="EKL43" s="56"/>
      <c r="EKM43" s="56"/>
      <c r="EKN43" s="56"/>
      <c r="EKO43" s="56"/>
      <c r="EKP43" s="56"/>
      <c r="EKQ43" s="56"/>
      <c r="EKR43" s="56"/>
      <c r="EKS43" s="56"/>
      <c r="EKT43" s="56"/>
      <c r="EKU43" s="56"/>
      <c r="EKV43" s="56"/>
      <c r="EKW43" s="56"/>
      <c r="EKX43" s="56"/>
      <c r="EKY43" s="56"/>
      <c r="EKZ43" s="56"/>
      <c r="ELA43" s="56"/>
      <c r="ELB43" s="56"/>
      <c r="ELC43" s="56"/>
      <c r="ELD43" s="56"/>
      <c r="ELE43" s="56"/>
      <c r="ELF43" s="56"/>
      <c r="ELG43" s="56"/>
      <c r="ELH43" s="56"/>
      <c r="ELI43" s="56"/>
      <c r="ELJ43" s="56"/>
      <c r="ELK43" s="56"/>
      <c r="ELL43" s="56"/>
      <c r="ELM43" s="56"/>
      <c r="ELN43" s="56"/>
      <c r="ELO43" s="56"/>
      <c r="ELP43" s="56"/>
      <c r="ELQ43" s="56"/>
      <c r="ELR43" s="56"/>
      <c r="ELS43" s="56"/>
      <c r="ELT43" s="56"/>
      <c r="ELU43" s="56"/>
      <c r="ELV43" s="56"/>
      <c r="ELW43" s="56"/>
      <c r="ELX43" s="56"/>
      <c r="ELY43" s="56"/>
      <c r="ELZ43" s="56"/>
      <c r="EMA43" s="56"/>
      <c r="EMB43" s="56"/>
      <c r="EMC43" s="56"/>
      <c r="EMD43" s="56"/>
      <c r="EME43" s="56"/>
      <c r="EMF43" s="56"/>
      <c r="EMG43" s="56"/>
      <c r="EMH43" s="56"/>
      <c r="EMI43" s="56"/>
      <c r="EMJ43" s="56"/>
      <c r="EMK43" s="56"/>
      <c r="EML43" s="56"/>
      <c r="EMM43" s="56"/>
      <c r="EMN43" s="56"/>
      <c r="EMO43" s="56"/>
      <c r="EMP43" s="56"/>
      <c r="EMQ43" s="56"/>
      <c r="EMR43" s="56"/>
      <c r="EMS43" s="56"/>
      <c r="EMT43" s="56"/>
      <c r="EMU43" s="56"/>
      <c r="EMV43" s="56"/>
      <c r="EMW43" s="56"/>
      <c r="EMX43" s="56"/>
      <c r="EMY43" s="56"/>
      <c r="EMZ43" s="56"/>
      <c r="ENA43" s="56"/>
      <c r="ENB43" s="56"/>
      <c r="ENC43" s="56"/>
      <c r="END43" s="56"/>
      <c r="ENE43" s="56"/>
      <c r="ENF43" s="56"/>
      <c r="ENG43" s="56"/>
      <c r="ENH43" s="56"/>
      <c r="ENI43" s="56"/>
      <c r="ENJ43" s="56"/>
      <c r="ENK43" s="56"/>
      <c r="ENL43" s="56"/>
      <c r="ENM43" s="56"/>
      <c r="ENN43" s="56"/>
      <c r="ENO43" s="56"/>
      <c r="ENP43" s="56"/>
      <c r="ENQ43" s="56"/>
      <c r="ENR43" s="56"/>
      <c r="ENS43" s="56"/>
      <c r="ENT43" s="56"/>
      <c r="ENU43" s="56"/>
      <c r="ENV43" s="56"/>
      <c r="ENW43" s="56"/>
      <c r="ENX43" s="56"/>
      <c r="ENY43" s="56"/>
      <c r="ENZ43" s="56"/>
      <c r="EOA43" s="56"/>
      <c r="EOB43" s="56"/>
      <c r="EOC43" s="56"/>
      <c r="EOD43" s="56"/>
      <c r="EOE43" s="56"/>
      <c r="EOF43" s="56"/>
      <c r="EOG43" s="56"/>
      <c r="EOH43" s="56"/>
      <c r="EOI43" s="56"/>
      <c r="EOJ43" s="56"/>
      <c r="EOK43" s="56"/>
      <c r="EOL43" s="56"/>
      <c r="EOM43" s="56"/>
      <c r="EON43" s="56"/>
      <c r="EOO43" s="56"/>
      <c r="EOP43" s="56"/>
      <c r="EOQ43" s="56"/>
      <c r="EOR43" s="56"/>
      <c r="EOS43" s="56"/>
      <c r="EOT43" s="56"/>
      <c r="EOU43" s="56"/>
      <c r="EOV43" s="56"/>
      <c r="EOW43" s="56"/>
      <c r="EOX43" s="56"/>
      <c r="EOY43" s="56"/>
      <c r="EOZ43" s="56"/>
      <c r="EPA43" s="56"/>
      <c r="EPB43" s="56"/>
      <c r="EPC43" s="56"/>
      <c r="EPD43" s="56"/>
      <c r="EPE43" s="56"/>
      <c r="EPF43" s="56"/>
      <c r="EPG43" s="56"/>
      <c r="EPH43" s="56"/>
      <c r="EPI43" s="56"/>
      <c r="EPJ43" s="56"/>
      <c r="EPK43" s="56"/>
      <c r="EPL43" s="56"/>
      <c r="EPM43" s="56"/>
      <c r="EPN43" s="56"/>
      <c r="EPO43" s="56"/>
      <c r="EPP43" s="56"/>
      <c r="EPQ43" s="56"/>
      <c r="EPR43" s="56"/>
      <c r="EPS43" s="56"/>
      <c r="EPT43" s="56"/>
      <c r="EPU43" s="56"/>
      <c r="EPV43" s="56"/>
      <c r="EPW43" s="56"/>
      <c r="EPX43" s="56"/>
      <c r="EPY43" s="56"/>
      <c r="EPZ43" s="56"/>
      <c r="EQA43" s="56"/>
      <c r="EQB43" s="56"/>
      <c r="EQC43" s="56"/>
      <c r="EQD43" s="56"/>
      <c r="EQE43" s="56"/>
      <c r="EQF43" s="56"/>
      <c r="EQG43" s="56"/>
      <c r="EQH43" s="56"/>
      <c r="EQI43" s="56"/>
      <c r="EQJ43" s="56"/>
      <c r="EQK43" s="56"/>
      <c r="EQL43" s="56"/>
      <c r="EQM43" s="56"/>
      <c r="EQN43" s="56"/>
      <c r="EQO43" s="56"/>
      <c r="EQP43" s="56"/>
      <c r="EQQ43" s="56"/>
      <c r="EQR43" s="56"/>
      <c r="EQS43" s="56"/>
      <c r="EQT43" s="56"/>
      <c r="EQU43" s="56"/>
      <c r="EQV43" s="56"/>
      <c r="EQW43" s="56"/>
      <c r="EQX43" s="56"/>
      <c r="EQY43" s="56"/>
      <c r="EQZ43" s="56"/>
      <c r="ERA43" s="56"/>
      <c r="ERB43" s="56"/>
      <c r="ERC43" s="56"/>
      <c r="ERD43" s="56"/>
      <c r="ERE43" s="56"/>
      <c r="ERF43" s="56"/>
      <c r="ERG43" s="56"/>
      <c r="ERH43" s="56"/>
      <c r="ERI43" s="56"/>
      <c r="ERJ43" s="56"/>
      <c r="ERK43" s="56"/>
      <c r="ERL43" s="56"/>
      <c r="ERM43" s="56"/>
      <c r="ERN43" s="56"/>
      <c r="ERO43" s="56"/>
      <c r="ERP43" s="56"/>
      <c r="ERQ43" s="56"/>
      <c r="ERR43" s="56"/>
      <c r="ERS43" s="56"/>
      <c r="ERT43" s="56"/>
      <c r="ERU43" s="56"/>
      <c r="ERV43" s="56"/>
      <c r="ERW43" s="56"/>
      <c r="ERX43" s="56"/>
      <c r="ERY43" s="56"/>
      <c r="ERZ43" s="56"/>
      <c r="ESA43" s="56"/>
      <c r="ESB43" s="56"/>
      <c r="ESC43" s="56"/>
      <c r="ESD43" s="56"/>
      <c r="ESE43" s="56"/>
      <c r="ESF43" s="56"/>
      <c r="ESG43" s="56"/>
      <c r="ESH43" s="56"/>
      <c r="ESI43" s="56"/>
      <c r="ESJ43" s="56"/>
      <c r="ESK43" s="56"/>
      <c r="ESL43" s="56"/>
      <c r="ESM43" s="56"/>
      <c r="ESN43" s="56"/>
      <c r="ESO43" s="56"/>
      <c r="ESP43" s="56"/>
      <c r="ESQ43" s="56"/>
      <c r="ESR43" s="56"/>
      <c r="ESS43" s="56"/>
      <c r="EST43" s="56"/>
      <c r="ESU43" s="56"/>
      <c r="ESV43" s="56"/>
      <c r="ESW43" s="56"/>
      <c r="ESX43" s="56"/>
      <c r="ESY43" s="56"/>
      <c r="ESZ43" s="56"/>
      <c r="ETA43" s="56"/>
      <c r="ETB43" s="56"/>
      <c r="ETC43" s="56"/>
      <c r="ETD43" s="56"/>
      <c r="ETE43" s="56"/>
      <c r="ETF43" s="56"/>
      <c r="ETG43" s="56"/>
      <c r="ETH43" s="56"/>
      <c r="ETI43" s="56"/>
      <c r="ETJ43" s="56"/>
      <c r="ETK43" s="56"/>
      <c r="ETL43" s="56"/>
      <c r="ETM43" s="56"/>
      <c r="ETN43" s="56"/>
      <c r="ETO43" s="56"/>
      <c r="ETP43" s="56"/>
      <c r="ETQ43" s="56"/>
      <c r="ETR43" s="56"/>
      <c r="ETS43" s="56"/>
      <c r="ETT43" s="56"/>
      <c r="ETU43" s="56"/>
      <c r="ETV43" s="56"/>
      <c r="ETW43" s="56"/>
      <c r="ETX43" s="56"/>
      <c r="ETY43" s="56"/>
      <c r="ETZ43" s="56"/>
      <c r="EUA43" s="56"/>
      <c r="EUB43" s="56"/>
      <c r="EUC43" s="56"/>
      <c r="EUD43" s="56"/>
      <c r="EUE43" s="56"/>
      <c r="EUF43" s="56"/>
      <c r="EUG43" s="56"/>
      <c r="EUH43" s="56"/>
      <c r="EUI43" s="56"/>
      <c r="EUJ43" s="56"/>
      <c r="EUK43" s="56"/>
      <c r="EUL43" s="56"/>
      <c r="EUM43" s="56"/>
      <c r="EUN43" s="56"/>
      <c r="EUO43" s="56"/>
      <c r="EUP43" s="56"/>
      <c r="EUQ43" s="56"/>
      <c r="EUR43" s="56"/>
      <c r="EUS43" s="56"/>
      <c r="EUT43" s="56"/>
      <c r="EUU43" s="56"/>
      <c r="EUV43" s="56"/>
      <c r="EUW43" s="56"/>
      <c r="EUX43" s="56"/>
      <c r="EUY43" s="56"/>
      <c r="EUZ43" s="56"/>
      <c r="EVA43" s="56"/>
      <c r="EVB43" s="56"/>
      <c r="EVC43" s="56"/>
      <c r="EVD43" s="56"/>
      <c r="EVE43" s="56"/>
      <c r="EVF43" s="56"/>
      <c r="EVG43" s="56"/>
      <c r="EVH43" s="56"/>
      <c r="EVI43" s="56"/>
      <c r="EVJ43" s="56"/>
      <c r="EVK43" s="56"/>
      <c r="EVL43" s="56"/>
      <c r="EVM43" s="56"/>
      <c r="EVN43" s="56"/>
      <c r="EVO43" s="56"/>
      <c r="EVP43" s="56"/>
      <c r="EVQ43" s="56"/>
      <c r="EVR43" s="56"/>
      <c r="EVS43" s="56"/>
      <c r="EVT43" s="56"/>
      <c r="EVU43" s="56"/>
      <c r="EVV43" s="56"/>
      <c r="EVW43" s="56"/>
      <c r="EVX43" s="56"/>
      <c r="EVY43" s="56"/>
      <c r="EVZ43" s="56"/>
      <c r="EWA43" s="56"/>
      <c r="EWB43" s="56"/>
      <c r="EWC43" s="56"/>
      <c r="EWD43" s="56"/>
      <c r="EWE43" s="56"/>
      <c r="EWF43" s="56"/>
      <c r="EWG43" s="56"/>
      <c r="EWH43" s="56"/>
      <c r="EWI43" s="56"/>
      <c r="EWJ43" s="56"/>
      <c r="EWK43" s="56"/>
      <c r="EWL43" s="56"/>
      <c r="EWM43" s="56"/>
      <c r="EWN43" s="56"/>
      <c r="EWO43" s="56"/>
      <c r="EWP43" s="56"/>
      <c r="EWQ43" s="56"/>
      <c r="EWR43" s="56"/>
      <c r="EWS43" s="56"/>
      <c r="EWT43" s="56"/>
      <c r="EWU43" s="56"/>
      <c r="EWV43" s="56"/>
      <c r="EWW43" s="56"/>
      <c r="EWX43" s="56"/>
      <c r="EWY43" s="56"/>
      <c r="EWZ43" s="56"/>
      <c r="EXA43" s="56"/>
      <c r="EXB43" s="56"/>
      <c r="EXC43" s="56"/>
      <c r="EXD43" s="56"/>
      <c r="EXE43" s="56"/>
      <c r="EXF43" s="56"/>
      <c r="EXG43" s="56"/>
      <c r="EXH43" s="56"/>
      <c r="EXI43" s="56"/>
      <c r="EXJ43" s="56"/>
      <c r="EXK43" s="56"/>
      <c r="EXL43" s="56"/>
      <c r="EXM43" s="56"/>
      <c r="EXN43" s="56"/>
      <c r="EXO43" s="56"/>
      <c r="EXP43" s="56"/>
      <c r="EXQ43" s="56"/>
      <c r="EXR43" s="56"/>
      <c r="EXS43" s="56"/>
      <c r="EXT43" s="56"/>
      <c r="EXU43" s="56"/>
      <c r="EXV43" s="56"/>
      <c r="EXW43" s="56"/>
      <c r="EXX43" s="56"/>
      <c r="EXY43" s="56"/>
      <c r="EXZ43" s="56"/>
      <c r="EYA43" s="56"/>
      <c r="EYB43" s="56"/>
      <c r="EYC43" s="56"/>
      <c r="EYD43" s="56"/>
      <c r="EYE43" s="56"/>
      <c r="EYF43" s="56"/>
      <c r="EYG43" s="56"/>
      <c r="EYH43" s="56"/>
      <c r="EYI43" s="56"/>
      <c r="EYJ43" s="56"/>
      <c r="EYK43" s="56"/>
      <c r="EYL43" s="56"/>
      <c r="EYM43" s="56"/>
      <c r="EYN43" s="56"/>
      <c r="EYO43" s="56"/>
      <c r="EYP43" s="56"/>
      <c r="EYQ43" s="56"/>
      <c r="EYR43" s="56"/>
      <c r="EYS43" s="56"/>
      <c r="EYT43" s="56"/>
      <c r="EYU43" s="56"/>
      <c r="EYV43" s="56"/>
      <c r="EYW43" s="56"/>
      <c r="EYX43" s="56"/>
      <c r="EYY43" s="56"/>
      <c r="EYZ43" s="56"/>
      <c r="EZA43" s="56"/>
      <c r="EZB43" s="56"/>
      <c r="EZC43" s="56"/>
      <c r="EZD43" s="56"/>
      <c r="EZE43" s="56"/>
      <c r="EZF43" s="56"/>
      <c r="EZG43" s="56"/>
      <c r="EZH43" s="56"/>
      <c r="EZI43" s="56"/>
      <c r="EZJ43" s="56"/>
      <c r="EZK43" s="56"/>
      <c r="EZL43" s="56"/>
      <c r="EZM43" s="56"/>
      <c r="EZN43" s="56"/>
      <c r="EZO43" s="56"/>
      <c r="EZP43" s="56"/>
      <c r="EZQ43" s="56"/>
      <c r="EZR43" s="56"/>
      <c r="EZS43" s="56"/>
      <c r="EZT43" s="56"/>
      <c r="EZU43" s="56"/>
      <c r="EZV43" s="56"/>
      <c r="EZW43" s="56"/>
      <c r="EZX43" s="56"/>
      <c r="EZY43" s="56"/>
      <c r="EZZ43" s="56"/>
      <c r="FAA43" s="56"/>
      <c r="FAB43" s="56"/>
      <c r="FAC43" s="56"/>
      <c r="FAD43" s="56"/>
      <c r="FAE43" s="56"/>
      <c r="FAF43" s="56"/>
      <c r="FAG43" s="56"/>
      <c r="FAH43" s="56"/>
      <c r="FAI43" s="56"/>
      <c r="FAJ43" s="56"/>
      <c r="FAK43" s="56"/>
      <c r="FAL43" s="56"/>
      <c r="FAM43" s="56"/>
      <c r="FAN43" s="56"/>
      <c r="FAO43" s="56"/>
      <c r="FAP43" s="56"/>
      <c r="FAQ43" s="56"/>
      <c r="FAR43" s="56"/>
      <c r="FAS43" s="56"/>
      <c r="FAT43" s="56"/>
      <c r="FAU43" s="56"/>
      <c r="FAV43" s="56"/>
      <c r="FAW43" s="56"/>
      <c r="FAX43" s="56"/>
      <c r="FAY43" s="56"/>
      <c r="FAZ43" s="56"/>
      <c r="FBA43" s="56"/>
      <c r="FBB43" s="56"/>
      <c r="FBC43" s="56"/>
      <c r="FBD43" s="56"/>
      <c r="FBE43" s="56"/>
      <c r="FBF43" s="56"/>
      <c r="FBG43" s="56"/>
      <c r="FBH43" s="56"/>
      <c r="FBI43" s="56"/>
      <c r="FBJ43" s="56"/>
      <c r="FBK43" s="56"/>
      <c r="FBL43" s="56"/>
      <c r="FBM43" s="56"/>
      <c r="FBN43" s="56"/>
      <c r="FBO43" s="56"/>
      <c r="FBP43" s="56"/>
      <c r="FBQ43" s="56"/>
      <c r="FBR43" s="56"/>
      <c r="FBS43" s="56"/>
      <c r="FBT43" s="56"/>
      <c r="FBU43" s="56"/>
      <c r="FBV43" s="56"/>
      <c r="FBW43" s="56"/>
      <c r="FBX43" s="56"/>
      <c r="FBY43" s="56"/>
      <c r="FBZ43" s="56"/>
      <c r="FCA43" s="56"/>
      <c r="FCB43" s="56"/>
      <c r="FCC43" s="56"/>
      <c r="FCD43" s="56"/>
      <c r="FCE43" s="56"/>
      <c r="FCF43" s="56"/>
      <c r="FCG43" s="56"/>
      <c r="FCH43" s="56"/>
      <c r="FCI43" s="56"/>
      <c r="FCJ43" s="56"/>
      <c r="FCK43" s="56"/>
      <c r="FCL43" s="56"/>
      <c r="FCM43" s="56"/>
      <c r="FCN43" s="56"/>
      <c r="FCO43" s="56"/>
      <c r="FCP43" s="56"/>
      <c r="FCQ43" s="56"/>
      <c r="FCR43" s="56"/>
      <c r="FCS43" s="56"/>
      <c r="FCT43" s="56"/>
      <c r="FCU43" s="56"/>
      <c r="FCV43" s="56"/>
      <c r="FCW43" s="56"/>
      <c r="FCX43" s="56"/>
      <c r="FCY43" s="56"/>
      <c r="FCZ43" s="56"/>
      <c r="FDA43" s="56"/>
      <c r="FDB43" s="56"/>
      <c r="FDC43" s="56"/>
      <c r="FDD43" s="56"/>
      <c r="FDE43" s="56"/>
      <c r="FDF43" s="56"/>
      <c r="FDG43" s="56"/>
      <c r="FDH43" s="56"/>
      <c r="FDI43" s="56"/>
      <c r="FDJ43" s="56"/>
      <c r="FDK43" s="56"/>
      <c r="FDL43" s="56"/>
      <c r="FDM43" s="56"/>
      <c r="FDN43" s="56"/>
      <c r="FDO43" s="56"/>
      <c r="FDP43" s="56"/>
      <c r="FDQ43" s="56"/>
      <c r="FDR43" s="56"/>
      <c r="FDS43" s="56"/>
      <c r="FDT43" s="56"/>
      <c r="FDU43" s="56"/>
      <c r="FDV43" s="56"/>
      <c r="FDW43" s="56"/>
      <c r="FDX43" s="56"/>
      <c r="FDY43" s="56"/>
      <c r="FDZ43" s="56"/>
      <c r="FEA43" s="56"/>
      <c r="FEB43" s="56"/>
      <c r="FEC43" s="56"/>
      <c r="FED43" s="56"/>
      <c r="FEE43" s="56"/>
      <c r="FEF43" s="56"/>
      <c r="FEG43" s="56"/>
      <c r="FEH43" s="56"/>
      <c r="FEI43" s="56"/>
      <c r="FEJ43" s="56"/>
      <c r="FEK43" s="56"/>
      <c r="FEL43" s="56"/>
      <c r="FEM43" s="56"/>
      <c r="FEN43" s="56"/>
      <c r="FEO43" s="56"/>
      <c r="FEP43" s="56"/>
      <c r="FEQ43" s="56"/>
      <c r="FER43" s="56"/>
      <c r="FES43" s="56"/>
      <c r="FET43" s="56"/>
      <c r="FEU43" s="56"/>
      <c r="FEV43" s="56"/>
      <c r="FEW43" s="56"/>
      <c r="FEX43" s="56"/>
      <c r="FEY43" s="56"/>
      <c r="FEZ43" s="56"/>
      <c r="FFA43" s="56"/>
      <c r="FFB43" s="56"/>
      <c r="FFC43" s="56"/>
      <c r="FFD43" s="56"/>
      <c r="FFE43" s="56"/>
      <c r="FFF43" s="56"/>
      <c r="FFG43" s="56"/>
      <c r="FFH43" s="56"/>
      <c r="FFI43" s="56"/>
      <c r="FFJ43" s="56"/>
      <c r="FFK43" s="56"/>
      <c r="FFL43" s="56"/>
      <c r="FFM43" s="56"/>
      <c r="FFN43" s="56"/>
      <c r="FFO43" s="56"/>
      <c r="FFP43" s="56"/>
      <c r="FFQ43" s="56"/>
      <c r="FFR43" s="56"/>
      <c r="FFS43" s="56"/>
      <c r="FFT43" s="56"/>
      <c r="FFU43" s="56"/>
      <c r="FFV43" s="56"/>
      <c r="FFW43" s="56"/>
      <c r="FFX43" s="56"/>
      <c r="FFY43" s="56"/>
      <c r="FFZ43" s="56"/>
      <c r="FGA43" s="56"/>
      <c r="FGB43" s="56"/>
      <c r="FGC43" s="56"/>
      <c r="FGD43" s="56"/>
      <c r="FGE43" s="56"/>
      <c r="FGF43" s="56"/>
      <c r="FGG43" s="56"/>
      <c r="FGH43" s="56"/>
      <c r="FGI43" s="56"/>
      <c r="FGJ43" s="56"/>
      <c r="FGK43" s="56"/>
      <c r="FGL43" s="56"/>
      <c r="FGM43" s="56"/>
      <c r="FGN43" s="56"/>
      <c r="FGO43" s="56"/>
      <c r="FGP43" s="56"/>
      <c r="FGQ43" s="56"/>
      <c r="FGR43" s="56"/>
      <c r="FGS43" s="56"/>
      <c r="FGT43" s="56"/>
      <c r="FGU43" s="56"/>
      <c r="FGV43" s="56"/>
      <c r="FGW43" s="56"/>
      <c r="FGX43" s="56"/>
      <c r="FGY43" s="56"/>
      <c r="FGZ43" s="56"/>
      <c r="FHA43" s="56"/>
      <c r="FHB43" s="56"/>
      <c r="FHC43" s="56"/>
      <c r="FHD43" s="56"/>
      <c r="FHE43" s="56"/>
      <c r="FHF43" s="56"/>
      <c r="FHG43" s="56"/>
      <c r="FHH43" s="56"/>
      <c r="FHI43" s="56"/>
      <c r="FHJ43" s="56"/>
      <c r="FHK43" s="56"/>
      <c r="FHL43" s="56"/>
      <c r="FHM43" s="56"/>
      <c r="FHN43" s="56"/>
      <c r="FHO43" s="56"/>
      <c r="FHP43" s="56"/>
      <c r="FHQ43" s="56"/>
      <c r="FHR43" s="56"/>
      <c r="FHS43" s="56"/>
      <c r="FHT43" s="56"/>
      <c r="FHU43" s="56"/>
      <c r="FHV43" s="56"/>
      <c r="FHW43" s="56"/>
      <c r="FHX43" s="56"/>
      <c r="FHY43" s="56"/>
      <c r="FHZ43" s="56"/>
      <c r="FIA43" s="56"/>
      <c r="FIB43" s="56"/>
      <c r="FIC43" s="56"/>
      <c r="FID43" s="56"/>
      <c r="FIE43" s="56"/>
      <c r="FIF43" s="56"/>
      <c r="FIG43" s="56"/>
      <c r="FIH43" s="56"/>
      <c r="FII43" s="56"/>
      <c r="FIJ43" s="56"/>
      <c r="FIK43" s="56"/>
      <c r="FIL43" s="56"/>
      <c r="FIM43" s="56"/>
      <c r="FIN43" s="56"/>
      <c r="FIO43" s="56"/>
      <c r="FIP43" s="56"/>
      <c r="FIQ43" s="56"/>
      <c r="FIR43" s="56"/>
      <c r="FIS43" s="56"/>
      <c r="FIT43" s="56"/>
      <c r="FIU43" s="56"/>
      <c r="FIV43" s="56"/>
      <c r="FIW43" s="56"/>
      <c r="FIX43" s="56"/>
      <c r="FIY43" s="56"/>
      <c r="FIZ43" s="56"/>
      <c r="FJA43" s="56"/>
      <c r="FJB43" s="56"/>
      <c r="FJC43" s="56"/>
      <c r="FJD43" s="56"/>
      <c r="FJE43" s="56"/>
      <c r="FJF43" s="56"/>
      <c r="FJG43" s="56"/>
      <c r="FJH43" s="56"/>
      <c r="FJI43" s="56"/>
      <c r="FJJ43" s="56"/>
      <c r="FJK43" s="56"/>
      <c r="FJL43" s="56"/>
      <c r="FJM43" s="56"/>
      <c r="FJN43" s="56"/>
      <c r="FJO43" s="56"/>
      <c r="FJP43" s="56"/>
      <c r="FJQ43" s="56"/>
      <c r="FJR43" s="56"/>
      <c r="FJS43" s="56"/>
      <c r="FJT43" s="56"/>
      <c r="FJU43" s="56"/>
      <c r="FJV43" s="56"/>
      <c r="FJW43" s="56"/>
      <c r="FJX43" s="56"/>
      <c r="FJY43" s="56"/>
      <c r="FJZ43" s="56"/>
      <c r="FKA43" s="56"/>
      <c r="FKB43" s="56"/>
      <c r="FKC43" s="56"/>
      <c r="FKD43" s="56"/>
      <c r="FKE43" s="56"/>
      <c r="FKF43" s="56"/>
      <c r="FKG43" s="56"/>
      <c r="FKH43" s="56"/>
      <c r="FKI43" s="56"/>
      <c r="FKJ43" s="56"/>
      <c r="FKK43" s="56"/>
      <c r="FKL43" s="56"/>
      <c r="FKM43" s="56"/>
      <c r="FKN43" s="56"/>
      <c r="FKO43" s="56"/>
      <c r="FKP43" s="56"/>
      <c r="FKQ43" s="56"/>
      <c r="FKR43" s="56"/>
      <c r="FKS43" s="56"/>
      <c r="FKT43" s="56"/>
      <c r="FKU43" s="56"/>
      <c r="FKV43" s="56"/>
      <c r="FKW43" s="56"/>
      <c r="FKX43" s="56"/>
      <c r="FKY43" s="56"/>
      <c r="FKZ43" s="56"/>
      <c r="FLA43" s="56"/>
      <c r="FLB43" s="56"/>
      <c r="FLC43" s="56"/>
      <c r="FLD43" s="56"/>
      <c r="FLE43" s="56"/>
      <c r="FLF43" s="56"/>
      <c r="FLG43" s="56"/>
      <c r="FLH43" s="56"/>
      <c r="FLI43" s="56"/>
      <c r="FLJ43" s="56"/>
      <c r="FLK43" s="56"/>
      <c r="FLL43" s="56"/>
      <c r="FLM43" s="56"/>
      <c r="FLN43" s="56"/>
      <c r="FLO43" s="56"/>
      <c r="FLP43" s="56"/>
      <c r="FLQ43" s="56"/>
      <c r="FLR43" s="56"/>
      <c r="FLS43" s="56"/>
      <c r="FLT43" s="56"/>
      <c r="FLU43" s="56"/>
      <c r="FLV43" s="56"/>
      <c r="FLW43" s="56"/>
      <c r="FLX43" s="56"/>
      <c r="FLY43" s="56"/>
      <c r="FLZ43" s="56"/>
      <c r="FMA43" s="56"/>
      <c r="FMB43" s="56"/>
      <c r="FMC43" s="56"/>
      <c r="FMD43" s="56"/>
      <c r="FME43" s="56"/>
      <c r="FMF43" s="56"/>
      <c r="FMG43" s="56"/>
      <c r="FMH43" s="56"/>
      <c r="FMI43" s="56"/>
      <c r="FMJ43" s="56"/>
      <c r="FMK43" s="56"/>
      <c r="FML43" s="56"/>
      <c r="FMM43" s="56"/>
      <c r="FMN43" s="56"/>
      <c r="FMO43" s="56"/>
      <c r="FMP43" s="56"/>
      <c r="FMQ43" s="56"/>
      <c r="FMR43" s="56"/>
      <c r="FMS43" s="56"/>
      <c r="FMT43" s="56"/>
      <c r="FMU43" s="56"/>
      <c r="FMV43" s="56"/>
      <c r="FMW43" s="56"/>
      <c r="FMX43" s="56"/>
      <c r="FMY43" s="56"/>
      <c r="FMZ43" s="56"/>
      <c r="FNA43" s="56"/>
      <c r="FNB43" s="56"/>
      <c r="FNC43" s="56"/>
      <c r="FND43" s="56"/>
      <c r="FNE43" s="56"/>
      <c r="FNF43" s="56"/>
      <c r="FNG43" s="56"/>
      <c r="FNH43" s="56"/>
      <c r="FNI43" s="56"/>
      <c r="FNJ43" s="56"/>
      <c r="FNK43" s="56"/>
      <c r="FNL43" s="56"/>
      <c r="FNM43" s="56"/>
      <c r="FNN43" s="56"/>
      <c r="FNO43" s="56"/>
      <c r="FNP43" s="56"/>
      <c r="FNQ43" s="56"/>
      <c r="FNR43" s="56"/>
      <c r="FNS43" s="56"/>
      <c r="FNT43" s="56"/>
      <c r="FNU43" s="56"/>
      <c r="FNV43" s="56"/>
      <c r="FNW43" s="56"/>
      <c r="FNX43" s="56"/>
      <c r="FNY43" s="56"/>
      <c r="FNZ43" s="56"/>
      <c r="FOA43" s="56"/>
      <c r="FOB43" s="56"/>
      <c r="FOC43" s="56"/>
      <c r="FOD43" s="56"/>
      <c r="FOE43" s="56"/>
      <c r="FOF43" s="56"/>
      <c r="FOG43" s="56"/>
      <c r="FOH43" s="56"/>
      <c r="FOI43" s="56"/>
      <c r="FOJ43" s="56"/>
      <c r="FOK43" s="56"/>
      <c r="FOL43" s="56"/>
      <c r="FOM43" s="56"/>
      <c r="FON43" s="56"/>
      <c r="FOO43" s="56"/>
      <c r="FOP43" s="56"/>
      <c r="FOQ43" s="56"/>
      <c r="FOR43" s="56"/>
      <c r="FOS43" s="56"/>
      <c r="FOT43" s="56"/>
      <c r="FOU43" s="56"/>
      <c r="FOV43" s="56"/>
      <c r="FOW43" s="56"/>
      <c r="FOX43" s="56"/>
      <c r="FOY43" s="56"/>
      <c r="FOZ43" s="56"/>
      <c r="FPA43" s="56"/>
      <c r="FPB43" s="56"/>
      <c r="FPC43" s="56"/>
      <c r="FPD43" s="56"/>
      <c r="FPE43" s="56"/>
      <c r="FPF43" s="56"/>
      <c r="FPG43" s="56"/>
      <c r="FPH43" s="56"/>
      <c r="FPI43" s="56"/>
      <c r="FPJ43" s="56"/>
      <c r="FPK43" s="56"/>
      <c r="FPL43" s="56"/>
      <c r="FPM43" s="56"/>
      <c r="FPN43" s="56"/>
      <c r="FPO43" s="56"/>
      <c r="FPP43" s="56"/>
      <c r="FPQ43" s="56"/>
      <c r="FPR43" s="56"/>
      <c r="FPS43" s="56"/>
      <c r="FPT43" s="56"/>
      <c r="FPU43" s="56"/>
      <c r="FPV43" s="56"/>
      <c r="FPW43" s="56"/>
      <c r="FPX43" s="56"/>
      <c r="FPY43" s="56"/>
      <c r="FPZ43" s="56"/>
      <c r="FQA43" s="56"/>
      <c r="FQB43" s="56"/>
      <c r="FQC43" s="56"/>
      <c r="FQD43" s="56"/>
      <c r="FQE43" s="56"/>
      <c r="FQF43" s="56"/>
      <c r="FQG43" s="56"/>
      <c r="FQH43" s="56"/>
      <c r="FQI43" s="56"/>
      <c r="FQJ43" s="56"/>
      <c r="FQK43" s="56"/>
      <c r="FQL43" s="56"/>
      <c r="FQM43" s="56"/>
      <c r="FQN43" s="56"/>
      <c r="FQO43" s="56"/>
      <c r="FQP43" s="56"/>
      <c r="FQQ43" s="56"/>
      <c r="FQR43" s="56"/>
      <c r="FQS43" s="56"/>
      <c r="FQT43" s="56"/>
      <c r="FQU43" s="56"/>
      <c r="FQV43" s="56"/>
      <c r="FQW43" s="56"/>
      <c r="FQX43" s="56"/>
      <c r="FQY43" s="56"/>
      <c r="FQZ43" s="56"/>
      <c r="FRA43" s="56"/>
      <c r="FRB43" s="56"/>
      <c r="FRC43" s="56"/>
      <c r="FRD43" s="56"/>
      <c r="FRE43" s="56"/>
      <c r="FRF43" s="56"/>
      <c r="FRG43" s="56"/>
      <c r="FRH43" s="56"/>
      <c r="FRI43" s="56"/>
      <c r="FRJ43" s="56"/>
      <c r="FRK43" s="56"/>
      <c r="FRL43" s="56"/>
      <c r="FRM43" s="56"/>
      <c r="FRN43" s="56"/>
      <c r="FRO43" s="56"/>
      <c r="FRP43" s="56"/>
      <c r="FRQ43" s="56"/>
      <c r="FRR43" s="56"/>
      <c r="FRS43" s="56"/>
      <c r="FRT43" s="56"/>
      <c r="FRU43" s="56"/>
      <c r="FRV43" s="56"/>
      <c r="FRW43" s="56"/>
      <c r="FRX43" s="56"/>
      <c r="FRY43" s="56"/>
      <c r="FRZ43" s="56"/>
      <c r="FSA43" s="56"/>
      <c r="FSB43" s="56"/>
      <c r="FSC43" s="56"/>
      <c r="FSD43" s="56"/>
      <c r="FSE43" s="56"/>
      <c r="FSF43" s="56"/>
      <c r="FSG43" s="56"/>
      <c r="FSH43" s="56"/>
      <c r="FSI43" s="56"/>
      <c r="FSJ43" s="56"/>
      <c r="FSK43" s="56"/>
      <c r="FSL43" s="56"/>
      <c r="FSM43" s="56"/>
      <c r="FSN43" s="56"/>
      <c r="FSO43" s="56"/>
      <c r="FSP43" s="56"/>
      <c r="FSQ43" s="56"/>
      <c r="FSR43" s="56"/>
      <c r="FSS43" s="56"/>
      <c r="FST43" s="56"/>
      <c r="FSU43" s="56"/>
      <c r="FSV43" s="56"/>
      <c r="FSW43" s="56"/>
      <c r="FSX43" s="56"/>
      <c r="FSY43" s="56"/>
      <c r="FSZ43" s="56"/>
      <c r="FTA43" s="56"/>
      <c r="FTB43" s="56"/>
      <c r="FTC43" s="56"/>
      <c r="FTD43" s="56"/>
      <c r="FTE43" s="56"/>
      <c r="FTF43" s="56"/>
      <c r="FTG43" s="56"/>
      <c r="FTH43" s="56"/>
      <c r="FTI43" s="56"/>
      <c r="FTJ43" s="56"/>
      <c r="FTK43" s="56"/>
      <c r="FTL43" s="56"/>
      <c r="FTM43" s="56"/>
      <c r="FTN43" s="56"/>
      <c r="FTO43" s="56"/>
      <c r="FTP43" s="56"/>
      <c r="FTQ43" s="56"/>
      <c r="FTR43" s="56"/>
      <c r="FTS43" s="56"/>
      <c r="FTT43" s="56"/>
      <c r="FTU43" s="56"/>
      <c r="FTV43" s="56"/>
      <c r="FTW43" s="56"/>
      <c r="FTX43" s="56"/>
      <c r="FTY43" s="56"/>
      <c r="FTZ43" s="56"/>
      <c r="FUA43" s="56"/>
      <c r="FUB43" s="56"/>
      <c r="FUC43" s="56"/>
      <c r="FUD43" s="56"/>
      <c r="FUE43" s="56"/>
      <c r="FUF43" s="56"/>
      <c r="FUG43" s="56"/>
      <c r="FUH43" s="56"/>
      <c r="FUI43" s="56"/>
      <c r="FUJ43" s="56"/>
      <c r="FUK43" s="56"/>
      <c r="FUL43" s="56"/>
      <c r="FUM43" s="56"/>
      <c r="FUN43" s="56"/>
      <c r="FUO43" s="56"/>
      <c r="FUP43" s="56"/>
      <c r="FUQ43" s="56"/>
      <c r="FUR43" s="56"/>
      <c r="FUS43" s="56"/>
      <c r="FUT43" s="56"/>
      <c r="FUU43" s="56"/>
      <c r="FUV43" s="56"/>
      <c r="FUW43" s="56"/>
      <c r="FUX43" s="56"/>
      <c r="FUY43" s="56"/>
      <c r="FUZ43" s="56"/>
      <c r="FVA43" s="56"/>
      <c r="FVB43" s="56"/>
      <c r="FVC43" s="56"/>
      <c r="FVD43" s="56"/>
      <c r="FVE43" s="56"/>
      <c r="FVF43" s="56"/>
      <c r="FVG43" s="56"/>
      <c r="FVH43" s="56"/>
      <c r="FVI43" s="56"/>
      <c r="FVJ43" s="56"/>
      <c r="FVK43" s="56"/>
      <c r="FVL43" s="56"/>
      <c r="FVM43" s="56"/>
      <c r="FVN43" s="56"/>
      <c r="FVO43" s="56"/>
      <c r="FVP43" s="56"/>
      <c r="FVQ43" s="56"/>
      <c r="FVR43" s="56"/>
      <c r="FVS43" s="56"/>
      <c r="FVT43" s="56"/>
      <c r="FVU43" s="56"/>
      <c r="FVV43" s="56"/>
      <c r="FVW43" s="56"/>
      <c r="FVX43" s="56"/>
      <c r="FVY43" s="56"/>
      <c r="FVZ43" s="56"/>
      <c r="FWA43" s="56"/>
      <c r="FWB43" s="56"/>
      <c r="FWC43" s="56"/>
      <c r="FWD43" s="56"/>
      <c r="FWE43" s="56"/>
      <c r="FWF43" s="56"/>
      <c r="FWG43" s="56"/>
      <c r="FWH43" s="56"/>
      <c r="FWI43" s="56"/>
      <c r="FWJ43" s="56"/>
      <c r="FWK43" s="56"/>
      <c r="FWL43" s="56"/>
      <c r="FWM43" s="56"/>
      <c r="FWN43" s="56"/>
      <c r="FWO43" s="56"/>
      <c r="FWP43" s="56"/>
      <c r="FWQ43" s="56"/>
      <c r="FWR43" s="56"/>
      <c r="FWS43" s="56"/>
      <c r="FWT43" s="56"/>
      <c r="FWU43" s="56"/>
      <c r="FWV43" s="56"/>
      <c r="FWW43" s="56"/>
      <c r="FWX43" s="56"/>
      <c r="FWY43" s="56"/>
      <c r="FWZ43" s="56"/>
      <c r="FXA43" s="56"/>
      <c r="FXB43" s="56"/>
      <c r="FXC43" s="56"/>
      <c r="FXD43" s="56"/>
      <c r="FXE43" s="56"/>
      <c r="FXF43" s="56"/>
      <c r="FXG43" s="56"/>
      <c r="FXH43" s="56"/>
      <c r="FXI43" s="56"/>
      <c r="FXJ43" s="56"/>
      <c r="FXK43" s="56"/>
      <c r="FXL43" s="56"/>
      <c r="FXM43" s="56"/>
      <c r="FXN43" s="56"/>
      <c r="FXO43" s="56"/>
      <c r="FXP43" s="56"/>
      <c r="FXQ43" s="56"/>
      <c r="FXR43" s="56"/>
      <c r="FXS43" s="56"/>
      <c r="FXT43" s="56"/>
      <c r="FXU43" s="56"/>
      <c r="FXV43" s="56"/>
      <c r="FXW43" s="56"/>
      <c r="FXX43" s="56"/>
      <c r="FXY43" s="56"/>
      <c r="FXZ43" s="56"/>
      <c r="FYA43" s="56"/>
      <c r="FYB43" s="56"/>
      <c r="FYC43" s="56"/>
      <c r="FYD43" s="56"/>
      <c r="FYE43" s="56"/>
      <c r="FYF43" s="56"/>
      <c r="FYG43" s="56"/>
      <c r="FYH43" s="56"/>
      <c r="FYI43" s="56"/>
      <c r="FYJ43" s="56"/>
      <c r="FYK43" s="56"/>
      <c r="FYL43" s="56"/>
      <c r="FYM43" s="56"/>
      <c r="FYN43" s="56"/>
      <c r="FYO43" s="56"/>
      <c r="FYP43" s="56"/>
      <c r="FYQ43" s="56"/>
      <c r="FYR43" s="56"/>
      <c r="FYS43" s="56"/>
      <c r="FYT43" s="56"/>
      <c r="FYU43" s="56"/>
      <c r="FYV43" s="56"/>
      <c r="FYW43" s="56"/>
      <c r="FYX43" s="56"/>
      <c r="FYY43" s="56"/>
      <c r="FYZ43" s="56"/>
      <c r="FZA43" s="56"/>
      <c r="FZB43" s="56"/>
      <c r="FZC43" s="56"/>
      <c r="FZD43" s="56"/>
      <c r="FZE43" s="56"/>
      <c r="FZF43" s="56"/>
      <c r="FZG43" s="56"/>
      <c r="FZH43" s="56"/>
      <c r="FZI43" s="56"/>
      <c r="FZJ43" s="56"/>
      <c r="FZK43" s="56"/>
      <c r="FZL43" s="56"/>
      <c r="FZM43" s="56"/>
      <c r="FZN43" s="56"/>
      <c r="FZO43" s="56"/>
      <c r="FZP43" s="56"/>
      <c r="FZQ43" s="56"/>
      <c r="FZR43" s="56"/>
      <c r="FZS43" s="56"/>
      <c r="FZT43" s="56"/>
      <c r="FZU43" s="56"/>
      <c r="FZV43" s="56"/>
      <c r="FZW43" s="56"/>
      <c r="FZX43" s="56"/>
      <c r="FZY43" s="56"/>
      <c r="FZZ43" s="56"/>
      <c r="GAA43" s="56"/>
      <c r="GAB43" s="56"/>
      <c r="GAC43" s="56"/>
      <c r="GAD43" s="56"/>
      <c r="GAE43" s="56"/>
      <c r="GAF43" s="56"/>
      <c r="GAG43" s="56"/>
      <c r="GAH43" s="56"/>
      <c r="GAI43" s="56"/>
      <c r="GAJ43" s="56"/>
      <c r="GAK43" s="56"/>
      <c r="GAL43" s="56"/>
      <c r="GAM43" s="56"/>
      <c r="GAN43" s="56"/>
      <c r="GAO43" s="56"/>
      <c r="GAP43" s="56"/>
      <c r="GAQ43" s="56"/>
      <c r="GAR43" s="56"/>
      <c r="GAS43" s="56"/>
      <c r="GAT43" s="56"/>
      <c r="GAU43" s="56"/>
      <c r="GAV43" s="56"/>
      <c r="GAW43" s="56"/>
      <c r="GAX43" s="56"/>
      <c r="GAY43" s="56"/>
      <c r="GAZ43" s="56"/>
      <c r="GBA43" s="56"/>
      <c r="GBB43" s="56"/>
      <c r="GBC43" s="56"/>
      <c r="GBD43" s="56"/>
      <c r="GBE43" s="56"/>
      <c r="GBF43" s="56"/>
      <c r="GBG43" s="56"/>
      <c r="GBH43" s="56"/>
      <c r="GBI43" s="56"/>
      <c r="GBJ43" s="56"/>
      <c r="GBK43" s="56"/>
      <c r="GBL43" s="56"/>
      <c r="GBM43" s="56"/>
      <c r="GBN43" s="56"/>
      <c r="GBO43" s="56"/>
      <c r="GBP43" s="56"/>
      <c r="GBQ43" s="56"/>
      <c r="GBR43" s="56"/>
      <c r="GBS43" s="56"/>
      <c r="GBT43" s="56"/>
      <c r="GBU43" s="56"/>
      <c r="GBV43" s="56"/>
      <c r="GBW43" s="56"/>
      <c r="GBX43" s="56"/>
      <c r="GBY43" s="56"/>
      <c r="GBZ43" s="56"/>
      <c r="GCA43" s="56"/>
      <c r="GCB43" s="56"/>
      <c r="GCC43" s="56"/>
      <c r="GCD43" s="56"/>
      <c r="GCE43" s="56"/>
      <c r="GCF43" s="56"/>
      <c r="GCG43" s="56"/>
      <c r="GCH43" s="56"/>
      <c r="GCI43" s="56"/>
      <c r="GCJ43" s="56"/>
      <c r="GCK43" s="56"/>
      <c r="GCL43" s="56"/>
      <c r="GCM43" s="56"/>
      <c r="GCN43" s="56"/>
      <c r="GCO43" s="56"/>
      <c r="GCP43" s="56"/>
      <c r="GCQ43" s="56"/>
      <c r="GCR43" s="56"/>
      <c r="GCS43" s="56"/>
      <c r="GCT43" s="56"/>
      <c r="GCU43" s="56"/>
      <c r="GCV43" s="56"/>
      <c r="GCW43" s="56"/>
      <c r="GCX43" s="56"/>
      <c r="GCY43" s="56"/>
      <c r="GCZ43" s="56"/>
      <c r="GDA43" s="56"/>
      <c r="GDB43" s="56"/>
      <c r="GDC43" s="56"/>
      <c r="GDD43" s="56"/>
      <c r="GDE43" s="56"/>
      <c r="GDF43" s="56"/>
      <c r="GDG43" s="56"/>
      <c r="GDH43" s="56"/>
      <c r="GDI43" s="56"/>
      <c r="GDJ43" s="56"/>
      <c r="GDK43" s="56"/>
      <c r="GDL43" s="56"/>
      <c r="GDM43" s="56"/>
      <c r="GDN43" s="56"/>
      <c r="GDO43" s="56"/>
      <c r="GDP43" s="56"/>
      <c r="GDQ43" s="56"/>
      <c r="GDR43" s="56"/>
      <c r="GDS43" s="56"/>
      <c r="GDT43" s="56"/>
      <c r="GDU43" s="56"/>
      <c r="GDV43" s="56"/>
      <c r="GDW43" s="56"/>
      <c r="GDX43" s="56"/>
      <c r="GDY43" s="56"/>
      <c r="GDZ43" s="56"/>
      <c r="GEA43" s="56"/>
      <c r="GEB43" s="56"/>
      <c r="GEC43" s="56"/>
      <c r="GED43" s="56"/>
      <c r="GEE43" s="56"/>
      <c r="GEF43" s="56"/>
      <c r="GEG43" s="56"/>
      <c r="GEH43" s="56"/>
      <c r="GEI43" s="56"/>
      <c r="GEJ43" s="56"/>
      <c r="GEK43" s="56"/>
      <c r="GEL43" s="56"/>
      <c r="GEM43" s="56"/>
      <c r="GEN43" s="56"/>
      <c r="GEO43" s="56"/>
      <c r="GEP43" s="56"/>
      <c r="GEQ43" s="56"/>
      <c r="GER43" s="56"/>
      <c r="GES43" s="56"/>
      <c r="GET43" s="56"/>
      <c r="GEU43" s="56"/>
      <c r="GEV43" s="56"/>
      <c r="GEW43" s="56"/>
      <c r="GEX43" s="56"/>
      <c r="GEY43" s="56"/>
      <c r="GEZ43" s="56"/>
      <c r="GFA43" s="56"/>
      <c r="GFB43" s="56"/>
      <c r="GFC43" s="56"/>
      <c r="GFD43" s="56"/>
      <c r="GFE43" s="56"/>
      <c r="GFF43" s="56"/>
      <c r="GFG43" s="56"/>
      <c r="GFH43" s="56"/>
      <c r="GFI43" s="56"/>
      <c r="GFJ43" s="56"/>
      <c r="GFK43" s="56"/>
      <c r="GFL43" s="56"/>
      <c r="GFM43" s="56"/>
      <c r="GFN43" s="56"/>
      <c r="GFO43" s="56"/>
      <c r="GFP43" s="56"/>
      <c r="GFQ43" s="56"/>
      <c r="GFR43" s="56"/>
      <c r="GFS43" s="56"/>
      <c r="GFT43" s="56"/>
      <c r="GFU43" s="56"/>
      <c r="GFV43" s="56"/>
      <c r="GFW43" s="56"/>
      <c r="GFX43" s="56"/>
      <c r="GFY43" s="56"/>
      <c r="GFZ43" s="56"/>
      <c r="GGA43" s="56"/>
      <c r="GGB43" s="56"/>
      <c r="GGC43" s="56"/>
      <c r="GGD43" s="56"/>
      <c r="GGE43" s="56"/>
      <c r="GGF43" s="56"/>
      <c r="GGG43" s="56"/>
      <c r="GGH43" s="56"/>
      <c r="GGI43" s="56"/>
      <c r="GGJ43" s="56"/>
      <c r="GGK43" s="56"/>
      <c r="GGL43" s="56"/>
      <c r="GGM43" s="56"/>
      <c r="GGN43" s="56"/>
      <c r="GGO43" s="56"/>
      <c r="GGP43" s="56"/>
      <c r="GGQ43" s="56"/>
      <c r="GGR43" s="56"/>
      <c r="GGS43" s="56"/>
      <c r="GGT43" s="56"/>
      <c r="GGU43" s="56"/>
      <c r="GGV43" s="56"/>
      <c r="GGW43" s="56"/>
      <c r="GGX43" s="56"/>
      <c r="GGY43" s="56"/>
      <c r="GGZ43" s="56"/>
      <c r="GHA43" s="56"/>
      <c r="GHB43" s="56"/>
      <c r="GHC43" s="56"/>
      <c r="GHD43" s="56"/>
      <c r="GHE43" s="56"/>
      <c r="GHF43" s="56"/>
      <c r="GHG43" s="56"/>
      <c r="GHH43" s="56"/>
      <c r="GHI43" s="56"/>
      <c r="GHJ43" s="56"/>
      <c r="GHK43" s="56"/>
      <c r="GHL43" s="56"/>
      <c r="GHM43" s="56"/>
      <c r="GHN43" s="56"/>
      <c r="GHO43" s="56"/>
      <c r="GHP43" s="56"/>
      <c r="GHQ43" s="56"/>
      <c r="GHR43" s="56"/>
      <c r="GHS43" s="56"/>
      <c r="GHT43" s="56"/>
      <c r="GHU43" s="56"/>
      <c r="GHV43" s="56"/>
      <c r="GHW43" s="56"/>
      <c r="GHX43" s="56"/>
      <c r="GHY43" s="56"/>
      <c r="GHZ43" s="56"/>
      <c r="GIA43" s="56"/>
      <c r="GIB43" s="56"/>
      <c r="GIC43" s="56"/>
      <c r="GID43" s="56"/>
      <c r="GIE43" s="56"/>
      <c r="GIF43" s="56"/>
      <c r="GIG43" s="56"/>
      <c r="GIH43" s="56"/>
      <c r="GII43" s="56"/>
      <c r="GIJ43" s="56"/>
      <c r="GIK43" s="56"/>
      <c r="GIL43" s="56"/>
      <c r="GIM43" s="56"/>
      <c r="GIN43" s="56"/>
      <c r="GIO43" s="56"/>
      <c r="GIP43" s="56"/>
      <c r="GIQ43" s="56"/>
      <c r="GIR43" s="56"/>
      <c r="GIS43" s="56"/>
      <c r="GIT43" s="56"/>
      <c r="GIU43" s="56"/>
      <c r="GIV43" s="56"/>
      <c r="GIW43" s="56"/>
      <c r="GIX43" s="56"/>
      <c r="GIY43" s="56"/>
      <c r="GIZ43" s="56"/>
      <c r="GJA43" s="56"/>
      <c r="GJB43" s="56"/>
      <c r="GJC43" s="56"/>
      <c r="GJD43" s="56"/>
      <c r="GJE43" s="56"/>
      <c r="GJF43" s="56"/>
      <c r="GJG43" s="56"/>
      <c r="GJH43" s="56"/>
      <c r="GJI43" s="56"/>
      <c r="GJJ43" s="56"/>
      <c r="GJK43" s="56"/>
      <c r="GJL43" s="56"/>
      <c r="GJM43" s="56"/>
      <c r="GJN43" s="56"/>
      <c r="GJO43" s="56"/>
      <c r="GJP43" s="56"/>
      <c r="GJQ43" s="56"/>
      <c r="GJR43" s="56"/>
      <c r="GJS43" s="56"/>
      <c r="GJT43" s="56"/>
      <c r="GJU43" s="56"/>
      <c r="GJV43" s="56"/>
      <c r="GJW43" s="56"/>
      <c r="GJX43" s="56"/>
      <c r="GJY43" s="56"/>
      <c r="GJZ43" s="56"/>
      <c r="GKA43" s="56"/>
      <c r="GKB43" s="56"/>
      <c r="GKC43" s="56"/>
      <c r="GKD43" s="56"/>
      <c r="GKE43" s="56"/>
      <c r="GKF43" s="56"/>
      <c r="GKG43" s="56"/>
      <c r="GKH43" s="56"/>
      <c r="GKI43" s="56"/>
      <c r="GKJ43" s="56"/>
      <c r="GKK43" s="56"/>
      <c r="GKL43" s="56"/>
      <c r="GKM43" s="56"/>
      <c r="GKN43" s="56"/>
      <c r="GKO43" s="56"/>
      <c r="GKP43" s="56"/>
      <c r="GKQ43" s="56"/>
      <c r="GKR43" s="56"/>
      <c r="GKS43" s="56"/>
      <c r="GKT43" s="56"/>
      <c r="GKU43" s="56"/>
      <c r="GKV43" s="56"/>
      <c r="GKW43" s="56"/>
      <c r="GKX43" s="56"/>
      <c r="GKY43" s="56"/>
      <c r="GKZ43" s="56"/>
      <c r="GLA43" s="56"/>
      <c r="GLB43" s="56"/>
      <c r="GLC43" s="56"/>
      <c r="GLD43" s="56"/>
      <c r="GLE43" s="56"/>
      <c r="GLF43" s="56"/>
      <c r="GLG43" s="56"/>
      <c r="GLH43" s="56"/>
      <c r="GLI43" s="56"/>
      <c r="GLJ43" s="56"/>
      <c r="GLK43" s="56"/>
      <c r="GLL43" s="56"/>
      <c r="GLM43" s="56"/>
      <c r="GLN43" s="56"/>
      <c r="GLO43" s="56"/>
      <c r="GLP43" s="56"/>
      <c r="GLQ43" s="56"/>
      <c r="GLR43" s="56"/>
      <c r="GLS43" s="56"/>
      <c r="GLT43" s="56"/>
      <c r="GLU43" s="56"/>
      <c r="GLV43" s="56"/>
      <c r="GLW43" s="56"/>
      <c r="GLX43" s="56"/>
      <c r="GLY43" s="56"/>
      <c r="GLZ43" s="56"/>
      <c r="GMA43" s="56"/>
      <c r="GMB43" s="56"/>
      <c r="GMC43" s="56"/>
      <c r="GMD43" s="56"/>
      <c r="GME43" s="56"/>
      <c r="GMF43" s="56"/>
      <c r="GMG43" s="56"/>
      <c r="GMH43" s="56"/>
      <c r="GMI43" s="56"/>
      <c r="GMJ43" s="56"/>
      <c r="GMK43" s="56"/>
      <c r="GML43" s="56"/>
      <c r="GMM43" s="56"/>
      <c r="GMN43" s="56"/>
      <c r="GMO43" s="56"/>
      <c r="GMP43" s="56"/>
      <c r="GMQ43" s="56"/>
      <c r="GMR43" s="56"/>
      <c r="GMS43" s="56"/>
      <c r="GMT43" s="56"/>
      <c r="GMU43" s="56"/>
      <c r="GMV43" s="56"/>
      <c r="GMW43" s="56"/>
      <c r="GMX43" s="56"/>
      <c r="GMY43" s="56"/>
      <c r="GMZ43" s="56"/>
      <c r="GNA43" s="56"/>
      <c r="GNB43" s="56"/>
      <c r="GNC43" s="56"/>
      <c r="GND43" s="56"/>
      <c r="GNE43" s="56"/>
      <c r="GNF43" s="56"/>
      <c r="GNG43" s="56"/>
      <c r="GNH43" s="56"/>
      <c r="GNI43" s="56"/>
      <c r="GNJ43" s="56"/>
      <c r="GNK43" s="56"/>
      <c r="GNL43" s="56"/>
      <c r="GNM43" s="56"/>
      <c r="GNN43" s="56"/>
      <c r="GNO43" s="56"/>
      <c r="GNP43" s="56"/>
      <c r="GNQ43" s="56"/>
      <c r="GNR43" s="56"/>
      <c r="GNS43" s="56"/>
      <c r="GNT43" s="56"/>
      <c r="GNU43" s="56"/>
      <c r="GNV43" s="56"/>
      <c r="GNW43" s="56"/>
      <c r="GNX43" s="56"/>
      <c r="GNY43" s="56"/>
      <c r="GNZ43" s="56"/>
      <c r="GOA43" s="56"/>
      <c r="GOB43" s="56"/>
      <c r="GOC43" s="56"/>
      <c r="GOD43" s="56"/>
      <c r="GOE43" s="56"/>
      <c r="GOF43" s="56"/>
      <c r="GOG43" s="56"/>
      <c r="GOH43" s="56"/>
      <c r="GOI43" s="56"/>
      <c r="GOJ43" s="56"/>
      <c r="GOK43" s="56"/>
      <c r="GOL43" s="56"/>
      <c r="GOM43" s="56"/>
      <c r="GON43" s="56"/>
      <c r="GOO43" s="56"/>
      <c r="GOP43" s="56"/>
      <c r="GOQ43" s="56"/>
      <c r="GOR43" s="56"/>
      <c r="GOS43" s="56"/>
      <c r="GOT43" s="56"/>
      <c r="GOU43" s="56"/>
      <c r="GOV43" s="56"/>
      <c r="GOW43" s="56"/>
      <c r="GOX43" s="56"/>
      <c r="GOY43" s="56"/>
      <c r="GOZ43" s="56"/>
      <c r="GPA43" s="56"/>
      <c r="GPB43" s="56"/>
      <c r="GPC43" s="56"/>
      <c r="GPD43" s="56"/>
      <c r="GPE43" s="56"/>
      <c r="GPF43" s="56"/>
      <c r="GPG43" s="56"/>
      <c r="GPH43" s="56"/>
      <c r="GPI43" s="56"/>
      <c r="GPJ43" s="56"/>
      <c r="GPK43" s="56"/>
      <c r="GPL43" s="56"/>
      <c r="GPM43" s="56"/>
      <c r="GPN43" s="56"/>
      <c r="GPO43" s="56"/>
      <c r="GPP43" s="56"/>
      <c r="GPQ43" s="56"/>
      <c r="GPR43" s="56"/>
      <c r="GPS43" s="56"/>
      <c r="GPT43" s="56"/>
      <c r="GPU43" s="56"/>
      <c r="GPV43" s="56"/>
      <c r="GPW43" s="56"/>
      <c r="GPX43" s="56"/>
      <c r="GPY43" s="56"/>
      <c r="GPZ43" s="56"/>
      <c r="GQA43" s="56"/>
      <c r="GQB43" s="56"/>
      <c r="GQC43" s="56"/>
      <c r="GQD43" s="56"/>
      <c r="GQE43" s="56"/>
      <c r="GQF43" s="56"/>
      <c r="GQG43" s="56"/>
      <c r="GQH43" s="56"/>
      <c r="GQI43" s="56"/>
      <c r="GQJ43" s="56"/>
      <c r="GQK43" s="56"/>
      <c r="GQL43" s="56"/>
      <c r="GQM43" s="56"/>
      <c r="GQN43" s="56"/>
      <c r="GQO43" s="56"/>
      <c r="GQP43" s="56"/>
      <c r="GQQ43" s="56"/>
      <c r="GQR43" s="56"/>
      <c r="GQS43" s="56"/>
      <c r="GQT43" s="56"/>
      <c r="GQU43" s="56"/>
      <c r="GQV43" s="56"/>
      <c r="GQW43" s="56"/>
      <c r="GQX43" s="56"/>
      <c r="GQY43" s="56"/>
      <c r="GQZ43" s="56"/>
      <c r="GRA43" s="56"/>
      <c r="GRB43" s="56"/>
      <c r="GRC43" s="56"/>
      <c r="GRD43" s="56"/>
      <c r="GRE43" s="56"/>
      <c r="GRF43" s="56"/>
      <c r="GRG43" s="56"/>
      <c r="GRH43" s="56"/>
      <c r="GRI43" s="56"/>
      <c r="GRJ43" s="56"/>
      <c r="GRK43" s="56"/>
      <c r="GRL43" s="56"/>
      <c r="GRM43" s="56"/>
      <c r="GRN43" s="56"/>
      <c r="GRO43" s="56"/>
      <c r="GRP43" s="56"/>
      <c r="GRQ43" s="56"/>
      <c r="GRR43" s="56"/>
      <c r="GRS43" s="56"/>
      <c r="GRT43" s="56"/>
      <c r="GRU43" s="56"/>
      <c r="GRV43" s="56"/>
      <c r="GRW43" s="56"/>
      <c r="GRX43" s="56"/>
      <c r="GRY43" s="56"/>
      <c r="GRZ43" s="56"/>
      <c r="GSA43" s="56"/>
      <c r="GSB43" s="56"/>
      <c r="GSC43" s="56"/>
      <c r="GSD43" s="56"/>
      <c r="GSE43" s="56"/>
      <c r="GSF43" s="56"/>
      <c r="GSG43" s="56"/>
      <c r="GSH43" s="56"/>
      <c r="GSI43" s="56"/>
      <c r="GSJ43" s="56"/>
      <c r="GSK43" s="56"/>
      <c r="GSL43" s="56"/>
      <c r="GSM43" s="56"/>
      <c r="GSN43" s="56"/>
      <c r="GSO43" s="56"/>
      <c r="GSP43" s="56"/>
      <c r="GSQ43" s="56"/>
      <c r="GSR43" s="56"/>
      <c r="GSS43" s="56"/>
      <c r="GST43" s="56"/>
      <c r="GSU43" s="56"/>
      <c r="GSV43" s="56"/>
      <c r="GSW43" s="56"/>
      <c r="GSX43" s="56"/>
      <c r="GSY43" s="56"/>
      <c r="GSZ43" s="56"/>
      <c r="GTA43" s="56"/>
      <c r="GTB43" s="56"/>
      <c r="GTC43" s="56"/>
      <c r="GTD43" s="56"/>
      <c r="GTE43" s="56"/>
      <c r="GTF43" s="56"/>
      <c r="GTG43" s="56"/>
      <c r="GTH43" s="56"/>
      <c r="GTI43" s="56"/>
      <c r="GTJ43" s="56"/>
      <c r="GTK43" s="56"/>
      <c r="GTL43" s="56"/>
      <c r="GTM43" s="56"/>
      <c r="GTN43" s="56"/>
      <c r="GTO43" s="56"/>
      <c r="GTP43" s="56"/>
      <c r="GTQ43" s="56"/>
      <c r="GTR43" s="56"/>
      <c r="GTS43" s="56"/>
      <c r="GTT43" s="56"/>
      <c r="GTU43" s="56"/>
      <c r="GTV43" s="56"/>
      <c r="GTW43" s="56"/>
      <c r="GTX43" s="56"/>
      <c r="GTY43" s="56"/>
      <c r="GTZ43" s="56"/>
      <c r="GUA43" s="56"/>
      <c r="GUB43" s="56"/>
      <c r="GUC43" s="56"/>
      <c r="GUD43" s="56"/>
      <c r="GUE43" s="56"/>
      <c r="GUF43" s="56"/>
      <c r="GUG43" s="56"/>
      <c r="GUH43" s="56"/>
      <c r="GUI43" s="56"/>
      <c r="GUJ43" s="56"/>
      <c r="GUK43" s="56"/>
      <c r="GUL43" s="56"/>
      <c r="GUM43" s="56"/>
      <c r="GUN43" s="56"/>
      <c r="GUO43" s="56"/>
      <c r="GUP43" s="56"/>
      <c r="GUQ43" s="56"/>
      <c r="GUR43" s="56"/>
      <c r="GUS43" s="56"/>
      <c r="GUT43" s="56"/>
      <c r="GUU43" s="56"/>
      <c r="GUV43" s="56"/>
      <c r="GUW43" s="56"/>
      <c r="GUX43" s="56"/>
      <c r="GUY43" s="56"/>
      <c r="GUZ43" s="56"/>
      <c r="GVA43" s="56"/>
      <c r="GVB43" s="56"/>
      <c r="GVC43" s="56"/>
      <c r="GVD43" s="56"/>
      <c r="GVE43" s="56"/>
      <c r="GVF43" s="56"/>
      <c r="GVG43" s="56"/>
      <c r="GVH43" s="56"/>
      <c r="GVI43" s="56"/>
      <c r="GVJ43" s="56"/>
      <c r="GVK43" s="56"/>
      <c r="GVL43" s="56"/>
      <c r="GVM43" s="56"/>
      <c r="GVN43" s="56"/>
      <c r="GVO43" s="56"/>
      <c r="GVP43" s="56"/>
      <c r="GVQ43" s="56"/>
      <c r="GVR43" s="56"/>
      <c r="GVS43" s="56"/>
      <c r="GVT43" s="56"/>
      <c r="GVU43" s="56"/>
      <c r="GVV43" s="56"/>
      <c r="GVW43" s="56"/>
      <c r="GVX43" s="56"/>
      <c r="GVY43" s="56"/>
      <c r="GVZ43" s="56"/>
      <c r="GWA43" s="56"/>
      <c r="GWB43" s="56"/>
      <c r="GWC43" s="56"/>
      <c r="GWD43" s="56"/>
      <c r="GWE43" s="56"/>
      <c r="GWF43" s="56"/>
      <c r="GWG43" s="56"/>
      <c r="GWH43" s="56"/>
      <c r="GWI43" s="56"/>
      <c r="GWJ43" s="56"/>
      <c r="GWK43" s="56"/>
      <c r="GWL43" s="56"/>
      <c r="GWM43" s="56"/>
      <c r="GWN43" s="56"/>
      <c r="GWO43" s="56"/>
      <c r="GWP43" s="56"/>
      <c r="GWQ43" s="56"/>
      <c r="GWR43" s="56"/>
      <c r="GWS43" s="56"/>
      <c r="GWT43" s="56"/>
      <c r="GWU43" s="56"/>
      <c r="GWV43" s="56"/>
      <c r="GWW43" s="56"/>
      <c r="GWX43" s="56"/>
      <c r="GWY43" s="56"/>
      <c r="GWZ43" s="56"/>
      <c r="GXA43" s="56"/>
      <c r="GXB43" s="56"/>
      <c r="GXC43" s="56"/>
      <c r="GXD43" s="56"/>
      <c r="GXE43" s="56"/>
      <c r="GXF43" s="56"/>
      <c r="GXG43" s="56"/>
      <c r="GXH43" s="56"/>
      <c r="GXI43" s="56"/>
      <c r="GXJ43" s="56"/>
      <c r="GXK43" s="56"/>
      <c r="GXL43" s="56"/>
      <c r="GXM43" s="56"/>
      <c r="GXN43" s="56"/>
      <c r="GXO43" s="56"/>
      <c r="GXP43" s="56"/>
      <c r="GXQ43" s="56"/>
      <c r="GXR43" s="56"/>
      <c r="GXS43" s="56"/>
      <c r="GXT43" s="56"/>
      <c r="GXU43" s="56"/>
      <c r="GXV43" s="56"/>
      <c r="GXW43" s="56"/>
      <c r="GXX43" s="56"/>
      <c r="GXY43" s="56"/>
      <c r="GXZ43" s="56"/>
      <c r="GYA43" s="56"/>
      <c r="GYB43" s="56"/>
      <c r="GYC43" s="56"/>
      <c r="GYD43" s="56"/>
      <c r="GYE43" s="56"/>
      <c r="GYF43" s="56"/>
      <c r="GYG43" s="56"/>
      <c r="GYH43" s="56"/>
      <c r="GYI43" s="56"/>
      <c r="GYJ43" s="56"/>
      <c r="GYK43" s="56"/>
      <c r="GYL43" s="56"/>
      <c r="GYM43" s="56"/>
      <c r="GYN43" s="56"/>
      <c r="GYO43" s="56"/>
      <c r="GYP43" s="56"/>
      <c r="GYQ43" s="56"/>
      <c r="GYR43" s="56"/>
      <c r="GYS43" s="56"/>
      <c r="GYT43" s="56"/>
      <c r="GYU43" s="56"/>
      <c r="GYV43" s="56"/>
      <c r="GYW43" s="56"/>
      <c r="GYX43" s="56"/>
      <c r="GYY43" s="56"/>
      <c r="GYZ43" s="56"/>
      <c r="GZA43" s="56"/>
      <c r="GZB43" s="56"/>
      <c r="GZC43" s="56"/>
      <c r="GZD43" s="56"/>
      <c r="GZE43" s="56"/>
      <c r="GZF43" s="56"/>
      <c r="GZG43" s="56"/>
      <c r="GZH43" s="56"/>
      <c r="GZI43" s="56"/>
      <c r="GZJ43" s="56"/>
      <c r="GZK43" s="56"/>
      <c r="GZL43" s="56"/>
      <c r="GZM43" s="56"/>
      <c r="GZN43" s="56"/>
      <c r="GZO43" s="56"/>
      <c r="GZP43" s="56"/>
      <c r="GZQ43" s="56"/>
      <c r="GZR43" s="56"/>
      <c r="GZS43" s="56"/>
      <c r="GZT43" s="56"/>
      <c r="GZU43" s="56"/>
      <c r="GZV43" s="56"/>
      <c r="GZW43" s="56"/>
      <c r="GZX43" s="56"/>
      <c r="GZY43" s="56"/>
      <c r="GZZ43" s="56"/>
      <c r="HAA43" s="56"/>
      <c r="HAB43" s="56"/>
      <c r="HAC43" s="56"/>
      <c r="HAD43" s="56"/>
      <c r="HAE43" s="56"/>
      <c r="HAF43" s="56"/>
      <c r="HAG43" s="56"/>
      <c r="HAH43" s="56"/>
      <c r="HAI43" s="56"/>
      <c r="HAJ43" s="56"/>
      <c r="HAK43" s="56"/>
      <c r="HAL43" s="56"/>
      <c r="HAM43" s="56"/>
      <c r="HAN43" s="56"/>
      <c r="HAO43" s="56"/>
      <c r="HAP43" s="56"/>
      <c r="HAQ43" s="56"/>
      <c r="HAR43" s="56"/>
      <c r="HAS43" s="56"/>
      <c r="HAT43" s="56"/>
      <c r="HAU43" s="56"/>
      <c r="HAV43" s="56"/>
      <c r="HAW43" s="56"/>
      <c r="HAX43" s="56"/>
      <c r="HAY43" s="56"/>
      <c r="HAZ43" s="56"/>
      <c r="HBA43" s="56"/>
      <c r="HBB43" s="56"/>
      <c r="HBC43" s="56"/>
      <c r="HBD43" s="56"/>
      <c r="HBE43" s="56"/>
      <c r="HBF43" s="56"/>
      <c r="HBG43" s="56"/>
      <c r="HBH43" s="56"/>
      <c r="HBI43" s="56"/>
      <c r="HBJ43" s="56"/>
      <c r="HBK43" s="56"/>
      <c r="HBL43" s="56"/>
      <c r="HBM43" s="56"/>
      <c r="HBN43" s="56"/>
      <c r="HBO43" s="56"/>
      <c r="HBP43" s="56"/>
      <c r="HBQ43" s="56"/>
      <c r="HBR43" s="56"/>
      <c r="HBS43" s="56"/>
      <c r="HBT43" s="56"/>
      <c r="HBU43" s="56"/>
      <c r="HBV43" s="56"/>
      <c r="HBW43" s="56"/>
      <c r="HBX43" s="56"/>
      <c r="HBY43" s="56"/>
      <c r="HBZ43" s="56"/>
      <c r="HCA43" s="56"/>
      <c r="HCB43" s="56"/>
      <c r="HCC43" s="56"/>
      <c r="HCD43" s="56"/>
      <c r="HCE43" s="56"/>
      <c r="HCF43" s="56"/>
      <c r="HCG43" s="56"/>
      <c r="HCH43" s="56"/>
      <c r="HCI43" s="56"/>
      <c r="HCJ43" s="56"/>
      <c r="HCK43" s="56"/>
      <c r="HCL43" s="56"/>
      <c r="HCM43" s="56"/>
      <c r="HCN43" s="56"/>
      <c r="HCO43" s="56"/>
      <c r="HCP43" s="56"/>
      <c r="HCQ43" s="56"/>
      <c r="HCR43" s="56"/>
      <c r="HCS43" s="56"/>
      <c r="HCT43" s="56"/>
      <c r="HCU43" s="56"/>
      <c r="HCV43" s="56"/>
      <c r="HCW43" s="56"/>
      <c r="HCX43" s="56"/>
      <c r="HCY43" s="56"/>
      <c r="HCZ43" s="56"/>
      <c r="HDA43" s="56"/>
      <c r="HDB43" s="56"/>
      <c r="HDC43" s="56"/>
      <c r="HDD43" s="56"/>
      <c r="HDE43" s="56"/>
      <c r="HDF43" s="56"/>
      <c r="HDG43" s="56"/>
      <c r="HDH43" s="56"/>
      <c r="HDI43" s="56"/>
      <c r="HDJ43" s="56"/>
      <c r="HDK43" s="56"/>
      <c r="HDL43" s="56"/>
      <c r="HDM43" s="56"/>
      <c r="HDN43" s="56"/>
      <c r="HDO43" s="56"/>
      <c r="HDP43" s="56"/>
      <c r="HDQ43" s="56"/>
      <c r="HDR43" s="56"/>
      <c r="HDS43" s="56"/>
      <c r="HDT43" s="56"/>
      <c r="HDU43" s="56"/>
      <c r="HDV43" s="56"/>
      <c r="HDW43" s="56"/>
      <c r="HDX43" s="56"/>
      <c r="HDY43" s="56"/>
      <c r="HDZ43" s="56"/>
      <c r="HEA43" s="56"/>
      <c r="HEB43" s="56"/>
      <c r="HEC43" s="56"/>
      <c r="HED43" s="56"/>
      <c r="HEE43" s="56"/>
      <c r="HEF43" s="56"/>
      <c r="HEG43" s="56"/>
      <c r="HEH43" s="56"/>
      <c r="HEI43" s="56"/>
      <c r="HEJ43" s="56"/>
      <c r="HEK43" s="56"/>
      <c r="HEL43" s="56"/>
      <c r="HEM43" s="56"/>
      <c r="HEN43" s="56"/>
      <c r="HEO43" s="56"/>
      <c r="HEP43" s="56"/>
      <c r="HEQ43" s="56"/>
      <c r="HER43" s="56"/>
      <c r="HES43" s="56"/>
      <c r="HET43" s="56"/>
      <c r="HEU43" s="56"/>
      <c r="HEV43" s="56"/>
      <c r="HEW43" s="56"/>
      <c r="HEX43" s="56"/>
      <c r="HEY43" s="56"/>
      <c r="HEZ43" s="56"/>
      <c r="HFA43" s="56"/>
      <c r="HFB43" s="56"/>
      <c r="HFC43" s="56"/>
      <c r="HFD43" s="56"/>
      <c r="HFE43" s="56"/>
      <c r="HFF43" s="56"/>
      <c r="HFG43" s="56"/>
      <c r="HFH43" s="56"/>
      <c r="HFI43" s="56"/>
      <c r="HFJ43" s="56"/>
      <c r="HFK43" s="56"/>
      <c r="HFL43" s="56"/>
      <c r="HFM43" s="56"/>
      <c r="HFN43" s="56"/>
      <c r="HFO43" s="56"/>
      <c r="HFP43" s="56"/>
      <c r="HFQ43" s="56"/>
      <c r="HFR43" s="56"/>
      <c r="HFS43" s="56"/>
      <c r="HFT43" s="56"/>
      <c r="HFU43" s="56"/>
      <c r="HFV43" s="56"/>
      <c r="HFW43" s="56"/>
      <c r="HFX43" s="56"/>
      <c r="HFY43" s="56"/>
      <c r="HFZ43" s="56"/>
      <c r="HGA43" s="56"/>
      <c r="HGB43" s="56"/>
      <c r="HGC43" s="56"/>
      <c r="HGD43" s="56"/>
      <c r="HGE43" s="56"/>
      <c r="HGF43" s="56"/>
      <c r="HGG43" s="56"/>
      <c r="HGH43" s="56"/>
      <c r="HGI43" s="56"/>
      <c r="HGJ43" s="56"/>
      <c r="HGK43" s="56"/>
      <c r="HGL43" s="56"/>
      <c r="HGM43" s="56"/>
      <c r="HGN43" s="56"/>
      <c r="HGO43" s="56"/>
      <c r="HGP43" s="56"/>
      <c r="HGQ43" s="56"/>
      <c r="HGR43" s="56"/>
      <c r="HGS43" s="56"/>
      <c r="HGT43" s="56"/>
      <c r="HGU43" s="56"/>
      <c r="HGV43" s="56"/>
      <c r="HGW43" s="56"/>
      <c r="HGX43" s="56"/>
      <c r="HGY43" s="56"/>
      <c r="HGZ43" s="56"/>
      <c r="HHA43" s="56"/>
      <c r="HHB43" s="56"/>
      <c r="HHC43" s="56"/>
      <c r="HHD43" s="56"/>
      <c r="HHE43" s="56"/>
      <c r="HHF43" s="56"/>
      <c r="HHG43" s="56"/>
      <c r="HHH43" s="56"/>
      <c r="HHI43" s="56"/>
      <c r="HHJ43" s="56"/>
      <c r="HHK43" s="56"/>
      <c r="HHL43" s="56"/>
      <c r="HHM43" s="56"/>
      <c r="HHN43" s="56"/>
      <c r="HHO43" s="56"/>
      <c r="HHP43" s="56"/>
      <c r="HHQ43" s="56"/>
      <c r="HHR43" s="56"/>
      <c r="HHS43" s="56"/>
      <c r="HHT43" s="56"/>
      <c r="HHU43" s="56"/>
      <c r="HHV43" s="56"/>
      <c r="HHW43" s="56"/>
      <c r="HHX43" s="56"/>
      <c r="HHY43" s="56"/>
      <c r="HHZ43" s="56"/>
      <c r="HIA43" s="56"/>
      <c r="HIB43" s="56"/>
      <c r="HIC43" s="56"/>
      <c r="HID43" s="56"/>
      <c r="HIE43" s="56"/>
      <c r="HIF43" s="56"/>
      <c r="HIG43" s="56"/>
      <c r="HIH43" s="56"/>
      <c r="HII43" s="56"/>
      <c r="HIJ43" s="56"/>
      <c r="HIK43" s="56"/>
      <c r="HIL43" s="56"/>
      <c r="HIM43" s="56"/>
      <c r="HIN43" s="56"/>
      <c r="HIO43" s="56"/>
      <c r="HIP43" s="56"/>
      <c r="HIQ43" s="56"/>
      <c r="HIR43" s="56"/>
      <c r="HIS43" s="56"/>
      <c r="HIT43" s="56"/>
      <c r="HIU43" s="56"/>
      <c r="HIV43" s="56"/>
      <c r="HIW43" s="56"/>
      <c r="HIX43" s="56"/>
      <c r="HIY43" s="56"/>
      <c r="HIZ43" s="56"/>
      <c r="HJA43" s="56"/>
      <c r="HJB43" s="56"/>
      <c r="HJC43" s="56"/>
      <c r="HJD43" s="56"/>
      <c r="HJE43" s="56"/>
      <c r="HJF43" s="56"/>
      <c r="HJG43" s="56"/>
      <c r="HJH43" s="56"/>
      <c r="HJI43" s="56"/>
      <c r="HJJ43" s="56"/>
      <c r="HJK43" s="56"/>
      <c r="HJL43" s="56"/>
      <c r="HJM43" s="56"/>
      <c r="HJN43" s="56"/>
      <c r="HJO43" s="56"/>
      <c r="HJP43" s="56"/>
      <c r="HJQ43" s="56"/>
      <c r="HJR43" s="56"/>
      <c r="HJS43" s="56"/>
      <c r="HJT43" s="56"/>
      <c r="HJU43" s="56"/>
      <c r="HJV43" s="56"/>
      <c r="HJW43" s="56"/>
      <c r="HJX43" s="56"/>
      <c r="HJY43" s="56"/>
      <c r="HJZ43" s="56"/>
      <c r="HKA43" s="56"/>
      <c r="HKB43" s="56"/>
      <c r="HKC43" s="56"/>
      <c r="HKD43" s="56"/>
      <c r="HKE43" s="56"/>
      <c r="HKF43" s="56"/>
      <c r="HKG43" s="56"/>
      <c r="HKH43" s="56"/>
      <c r="HKI43" s="56"/>
      <c r="HKJ43" s="56"/>
      <c r="HKK43" s="56"/>
      <c r="HKL43" s="56"/>
      <c r="HKM43" s="56"/>
      <c r="HKN43" s="56"/>
      <c r="HKO43" s="56"/>
      <c r="HKP43" s="56"/>
      <c r="HKQ43" s="56"/>
      <c r="HKR43" s="56"/>
      <c r="HKS43" s="56"/>
      <c r="HKT43" s="56"/>
      <c r="HKU43" s="56"/>
      <c r="HKV43" s="56"/>
      <c r="HKW43" s="56"/>
      <c r="HKX43" s="56"/>
      <c r="HKY43" s="56"/>
      <c r="HKZ43" s="56"/>
      <c r="HLA43" s="56"/>
      <c r="HLB43" s="56"/>
      <c r="HLC43" s="56"/>
      <c r="HLD43" s="56"/>
      <c r="HLE43" s="56"/>
      <c r="HLF43" s="56"/>
      <c r="HLG43" s="56"/>
      <c r="HLH43" s="56"/>
      <c r="HLI43" s="56"/>
      <c r="HLJ43" s="56"/>
      <c r="HLK43" s="56"/>
      <c r="HLL43" s="56"/>
      <c r="HLM43" s="56"/>
      <c r="HLN43" s="56"/>
      <c r="HLO43" s="56"/>
      <c r="HLP43" s="56"/>
      <c r="HLQ43" s="56"/>
      <c r="HLR43" s="56"/>
      <c r="HLS43" s="56"/>
      <c r="HLT43" s="56"/>
      <c r="HLU43" s="56"/>
      <c r="HLV43" s="56"/>
      <c r="HLW43" s="56"/>
      <c r="HLX43" s="56"/>
      <c r="HLY43" s="56"/>
      <c r="HLZ43" s="56"/>
      <c r="HMA43" s="56"/>
      <c r="HMB43" s="56"/>
      <c r="HMC43" s="56"/>
      <c r="HMD43" s="56"/>
      <c r="HME43" s="56"/>
      <c r="HMF43" s="56"/>
      <c r="HMG43" s="56"/>
      <c r="HMH43" s="56"/>
      <c r="HMI43" s="56"/>
      <c r="HMJ43" s="56"/>
      <c r="HMK43" s="56"/>
      <c r="HML43" s="56"/>
      <c r="HMM43" s="56"/>
      <c r="HMN43" s="56"/>
      <c r="HMO43" s="56"/>
      <c r="HMP43" s="56"/>
      <c r="HMQ43" s="56"/>
      <c r="HMR43" s="56"/>
      <c r="HMS43" s="56"/>
      <c r="HMT43" s="56"/>
      <c r="HMU43" s="56"/>
      <c r="HMV43" s="56"/>
      <c r="HMW43" s="56"/>
      <c r="HMX43" s="56"/>
      <c r="HMY43" s="56"/>
      <c r="HMZ43" s="56"/>
      <c r="HNA43" s="56"/>
      <c r="HNB43" s="56"/>
      <c r="HNC43" s="56"/>
      <c r="HND43" s="56"/>
      <c r="HNE43" s="56"/>
      <c r="HNF43" s="56"/>
      <c r="HNG43" s="56"/>
      <c r="HNH43" s="56"/>
      <c r="HNI43" s="56"/>
      <c r="HNJ43" s="56"/>
      <c r="HNK43" s="56"/>
      <c r="HNL43" s="56"/>
      <c r="HNM43" s="56"/>
      <c r="HNN43" s="56"/>
      <c r="HNO43" s="56"/>
      <c r="HNP43" s="56"/>
      <c r="HNQ43" s="56"/>
      <c r="HNR43" s="56"/>
      <c r="HNS43" s="56"/>
      <c r="HNT43" s="56"/>
      <c r="HNU43" s="56"/>
      <c r="HNV43" s="56"/>
      <c r="HNW43" s="56"/>
      <c r="HNX43" s="56"/>
      <c r="HNY43" s="56"/>
      <c r="HNZ43" s="56"/>
      <c r="HOA43" s="56"/>
      <c r="HOB43" s="56"/>
      <c r="HOC43" s="56"/>
      <c r="HOD43" s="56"/>
      <c r="HOE43" s="56"/>
      <c r="HOF43" s="56"/>
      <c r="HOG43" s="56"/>
      <c r="HOH43" s="56"/>
      <c r="HOI43" s="56"/>
      <c r="HOJ43" s="56"/>
      <c r="HOK43" s="56"/>
      <c r="HOL43" s="56"/>
      <c r="HOM43" s="56"/>
      <c r="HON43" s="56"/>
      <c r="HOO43" s="56"/>
      <c r="HOP43" s="56"/>
      <c r="HOQ43" s="56"/>
      <c r="HOR43" s="56"/>
      <c r="HOS43" s="56"/>
      <c r="HOT43" s="56"/>
      <c r="HOU43" s="56"/>
      <c r="HOV43" s="56"/>
      <c r="HOW43" s="56"/>
      <c r="HOX43" s="56"/>
      <c r="HOY43" s="56"/>
      <c r="HOZ43" s="56"/>
      <c r="HPA43" s="56"/>
      <c r="HPB43" s="56"/>
      <c r="HPC43" s="56"/>
      <c r="HPD43" s="56"/>
      <c r="HPE43" s="56"/>
      <c r="HPF43" s="56"/>
      <c r="HPG43" s="56"/>
      <c r="HPH43" s="56"/>
      <c r="HPI43" s="56"/>
      <c r="HPJ43" s="56"/>
      <c r="HPK43" s="56"/>
      <c r="HPL43" s="56"/>
      <c r="HPM43" s="56"/>
      <c r="HPN43" s="56"/>
      <c r="HPO43" s="56"/>
      <c r="HPP43" s="56"/>
      <c r="HPQ43" s="56"/>
      <c r="HPR43" s="56"/>
      <c r="HPS43" s="56"/>
      <c r="HPT43" s="56"/>
      <c r="HPU43" s="56"/>
      <c r="HPV43" s="56"/>
      <c r="HPW43" s="56"/>
      <c r="HPX43" s="56"/>
      <c r="HPY43" s="56"/>
      <c r="HPZ43" s="56"/>
      <c r="HQA43" s="56"/>
      <c r="HQB43" s="56"/>
      <c r="HQC43" s="56"/>
      <c r="HQD43" s="56"/>
      <c r="HQE43" s="56"/>
      <c r="HQF43" s="56"/>
      <c r="HQG43" s="56"/>
      <c r="HQH43" s="56"/>
      <c r="HQI43" s="56"/>
      <c r="HQJ43" s="56"/>
      <c r="HQK43" s="56"/>
      <c r="HQL43" s="56"/>
      <c r="HQM43" s="56"/>
      <c r="HQN43" s="56"/>
      <c r="HQO43" s="56"/>
      <c r="HQP43" s="56"/>
      <c r="HQQ43" s="56"/>
      <c r="HQR43" s="56"/>
      <c r="HQS43" s="56"/>
      <c r="HQT43" s="56"/>
      <c r="HQU43" s="56"/>
      <c r="HQV43" s="56"/>
      <c r="HQW43" s="56"/>
      <c r="HQX43" s="56"/>
      <c r="HQY43" s="56"/>
      <c r="HQZ43" s="56"/>
      <c r="HRA43" s="56"/>
      <c r="HRB43" s="56"/>
      <c r="HRC43" s="56"/>
      <c r="HRD43" s="56"/>
      <c r="HRE43" s="56"/>
      <c r="HRF43" s="56"/>
      <c r="HRG43" s="56"/>
      <c r="HRH43" s="56"/>
      <c r="HRI43" s="56"/>
      <c r="HRJ43" s="56"/>
      <c r="HRK43" s="56"/>
      <c r="HRL43" s="56"/>
      <c r="HRM43" s="56"/>
      <c r="HRN43" s="56"/>
      <c r="HRO43" s="56"/>
      <c r="HRP43" s="56"/>
      <c r="HRQ43" s="56"/>
      <c r="HRR43" s="56"/>
      <c r="HRS43" s="56"/>
      <c r="HRT43" s="56"/>
      <c r="HRU43" s="56"/>
      <c r="HRV43" s="56"/>
      <c r="HRW43" s="56"/>
      <c r="HRX43" s="56"/>
      <c r="HRY43" s="56"/>
      <c r="HRZ43" s="56"/>
      <c r="HSA43" s="56"/>
      <c r="HSB43" s="56"/>
      <c r="HSC43" s="56"/>
      <c r="HSD43" s="56"/>
      <c r="HSE43" s="56"/>
      <c r="HSF43" s="56"/>
      <c r="HSG43" s="56"/>
      <c r="HSH43" s="56"/>
      <c r="HSI43" s="56"/>
      <c r="HSJ43" s="56"/>
      <c r="HSK43" s="56"/>
      <c r="HSL43" s="56"/>
      <c r="HSM43" s="56"/>
      <c r="HSN43" s="56"/>
      <c r="HSO43" s="56"/>
      <c r="HSP43" s="56"/>
      <c r="HSQ43" s="56"/>
      <c r="HSR43" s="56"/>
      <c r="HSS43" s="56"/>
      <c r="HST43" s="56"/>
      <c r="HSU43" s="56"/>
      <c r="HSV43" s="56"/>
      <c r="HSW43" s="56"/>
      <c r="HSX43" s="56"/>
      <c r="HSY43" s="56"/>
      <c r="HSZ43" s="56"/>
      <c r="HTA43" s="56"/>
      <c r="HTB43" s="56"/>
      <c r="HTC43" s="56"/>
      <c r="HTD43" s="56"/>
      <c r="HTE43" s="56"/>
      <c r="HTF43" s="56"/>
      <c r="HTG43" s="56"/>
      <c r="HTH43" s="56"/>
      <c r="HTI43" s="56"/>
      <c r="HTJ43" s="56"/>
      <c r="HTK43" s="56"/>
      <c r="HTL43" s="56"/>
      <c r="HTM43" s="56"/>
      <c r="HTN43" s="56"/>
      <c r="HTO43" s="56"/>
      <c r="HTP43" s="56"/>
      <c r="HTQ43" s="56"/>
      <c r="HTR43" s="56"/>
      <c r="HTS43" s="56"/>
      <c r="HTT43" s="56"/>
      <c r="HTU43" s="56"/>
      <c r="HTV43" s="56"/>
      <c r="HTW43" s="56"/>
      <c r="HTX43" s="56"/>
      <c r="HTY43" s="56"/>
      <c r="HTZ43" s="56"/>
      <c r="HUA43" s="56"/>
      <c r="HUB43" s="56"/>
      <c r="HUC43" s="56"/>
      <c r="HUD43" s="56"/>
      <c r="HUE43" s="56"/>
      <c r="HUF43" s="56"/>
      <c r="HUG43" s="56"/>
      <c r="HUH43" s="56"/>
      <c r="HUI43" s="56"/>
      <c r="HUJ43" s="56"/>
      <c r="HUK43" s="56"/>
      <c r="HUL43" s="56"/>
      <c r="HUM43" s="56"/>
      <c r="HUN43" s="56"/>
      <c r="HUO43" s="56"/>
      <c r="HUP43" s="56"/>
      <c r="HUQ43" s="56"/>
      <c r="HUR43" s="56"/>
      <c r="HUS43" s="56"/>
      <c r="HUT43" s="56"/>
      <c r="HUU43" s="56"/>
      <c r="HUV43" s="56"/>
      <c r="HUW43" s="56"/>
      <c r="HUX43" s="56"/>
      <c r="HUY43" s="56"/>
      <c r="HUZ43" s="56"/>
      <c r="HVA43" s="56"/>
      <c r="HVB43" s="56"/>
      <c r="HVC43" s="56"/>
      <c r="HVD43" s="56"/>
      <c r="HVE43" s="56"/>
      <c r="HVF43" s="56"/>
      <c r="HVG43" s="56"/>
      <c r="HVH43" s="56"/>
      <c r="HVI43" s="56"/>
      <c r="HVJ43" s="56"/>
      <c r="HVK43" s="56"/>
      <c r="HVL43" s="56"/>
      <c r="HVM43" s="56"/>
      <c r="HVN43" s="56"/>
      <c r="HVO43" s="56"/>
      <c r="HVP43" s="56"/>
      <c r="HVQ43" s="56"/>
      <c r="HVR43" s="56"/>
      <c r="HVS43" s="56"/>
      <c r="HVT43" s="56"/>
      <c r="HVU43" s="56"/>
      <c r="HVV43" s="56"/>
      <c r="HVW43" s="56"/>
      <c r="HVX43" s="56"/>
      <c r="HVY43" s="56"/>
      <c r="HVZ43" s="56"/>
      <c r="HWA43" s="56"/>
      <c r="HWB43" s="56"/>
      <c r="HWC43" s="56"/>
      <c r="HWD43" s="56"/>
      <c r="HWE43" s="56"/>
      <c r="HWF43" s="56"/>
      <c r="HWG43" s="56"/>
      <c r="HWH43" s="56"/>
      <c r="HWI43" s="56"/>
      <c r="HWJ43" s="56"/>
      <c r="HWK43" s="56"/>
      <c r="HWL43" s="56"/>
      <c r="HWM43" s="56"/>
      <c r="HWN43" s="56"/>
      <c r="HWO43" s="56"/>
      <c r="HWP43" s="56"/>
      <c r="HWQ43" s="56"/>
      <c r="HWR43" s="56"/>
      <c r="HWS43" s="56"/>
      <c r="HWT43" s="56"/>
      <c r="HWU43" s="56"/>
      <c r="HWV43" s="56"/>
      <c r="HWW43" s="56"/>
      <c r="HWX43" s="56"/>
      <c r="HWY43" s="56"/>
      <c r="HWZ43" s="56"/>
      <c r="HXA43" s="56"/>
      <c r="HXB43" s="56"/>
      <c r="HXC43" s="56"/>
      <c r="HXD43" s="56"/>
      <c r="HXE43" s="56"/>
      <c r="HXF43" s="56"/>
      <c r="HXG43" s="56"/>
      <c r="HXH43" s="56"/>
      <c r="HXI43" s="56"/>
      <c r="HXJ43" s="56"/>
      <c r="HXK43" s="56"/>
      <c r="HXL43" s="56"/>
      <c r="HXM43" s="56"/>
      <c r="HXN43" s="56"/>
      <c r="HXO43" s="56"/>
      <c r="HXP43" s="56"/>
      <c r="HXQ43" s="56"/>
      <c r="HXR43" s="56"/>
      <c r="HXS43" s="56"/>
      <c r="HXT43" s="56"/>
      <c r="HXU43" s="56"/>
      <c r="HXV43" s="56"/>
      <c r="HXW43" s="56"/>
      <c r="HXX43" s="56"/>
      <c r="HXY43" s="56"/>
      <c r="HXZ43" s="56"/>
      <c r="HYA43" s="56"/>
      <c r="HYB43" s="56"/>
      <c r="HYC43" s="56"/>
      <c r="HYD43" s="56"/>
      <c r="HYE43" s="56"/>
      <c r="HYF43" s="56"/>
      <c r="HYG43" s="56"/>
      <c r="HYH43" s="56"/>
      <c r="HYI43" s="56"/>
      <c r="HYJ43" s="56"/>
      <c r="HYK43" s="56"/>
      <c r="HYL43" s="56"/>
      <c r="HYM43" s="56"/>
      <c r="HYN43" s="56"/>
      <c r="HYO43" s="56"/>
      <c r="HYP43" s="56"/>
      <c r="HYQ43" s="56"/>
      <c r="HYR43" s="56"/>
      <c r="HYS43" s="56"/>
      <c r="HYT43" s="56"/>
      <c r="HYU43" s="56"/>
      <c r="HYV43" s="56"/>
      <c r="HYW43" s="56"/>
      <c r="HYX43" s="56"/>
      <c r="HYY43" s="56"/>
      <c r="HYZ43" s="56"/>
      <c r="HZA43" s="56"/>
      <c r="HZB43" s="56"/>
      <c r="HZC43" s="56"/>
      <c r="HZD43" s="56"/>
      <c r="HZE43" s="56"/>
      <c r="HZF43" s="56"/>
      <c r="HZG43" s="56"/>
      <c r="HZH43" s="56"/>
      <c r="HZI43" s="56"/>
      <c r="HZJ43" s="56"/>
      <c r="HZK43" s="56"/>
      <c r="HZL43" s="56"/>
      <c r="HZM43" s="56"/>
      <c r="HZN43" s="56"/>
      <c r="HZO43" s="56"/>
      <c r="HZP43" s="56"/>
      <c r="HZQ43" s="56"/>
      <c r="HZR43" s="56"/>
      <c r="HZS43" s="56"/>
      <c r="HZT43" s="56"/>
      <c r="HZU43" s="56"/>
      <c r="HZV43" s="56"/>
      <c r="HZW43" s="56"/>
      <c r="HZX43" s="56"/>
      <c r="HZY43" s="56"/>
      <c r="HZZ43" s="56"/>
      <c r="IAA43" s="56"/>
      <c r="IAB43" s="56"/>
      <c r="IAC43" s="56"/>
      <c r="IAD43" s="56"/>
      <c r="IAE43" s="56"/>
      <c r="IAF43" s="56"/>
      <c r="IAG43" s="56"/>
      <c r="IAH43" s="56"/>
      <c r="IAI43" s="56"/>
      <c r="IAJ43" s="56"/>
      <c r="IAK43" s="56"/>
      <c r="IAL43" s="56"/>
      <c r="IAM43" s="56"/>
      <c r="IAN43" s="56"/>
      <c r="IAO43" s="56"/>
      <c r="IAP43" s="56"/>
      <c r="IAQ43" s="56"/>
      <c r="IAR43" s="56"/>
      <c r="IAS43" s="56"/>
      <c r="IAT43" s="56"/>
      <c r="IAU43" s="56"/>
      <c r="IAV43" s="56"/>
      <c r="IAW43" s="56"/>
      <c r="IAX43" s="56"/>
      <c r="IAY43" s="56"/>
      <c r="IAZ43" s="56"/>
      <c r="IBA43" s="56"/>
      <c r="IBB43" s="56"/>
      <c r="IBC43" s="56"/>
      <c r="IBD43" s="56"/>
      <c r="IBE43" s="56"/>
      <c r="IBF43" s="56"/>
      <c r="IBG43" s="56"/>
      <c r="IBH43" s="56"/>
      <c r="IBI43" s="56"/>
      <c r="IBJ43" s="56"/>
      <c r="IBK43" s="56"/>
      <c r="IBL43" s="56"/>
      <c r="IBM43" s="56"/>
      <c r="IBN43" s="56"/>
      <c r="IBO43" s="56"/>
      <c r="IBP43" s="56"/>
      <c r="IBQ43" s="56"/>
      <c r="IBR43" s="56"/>
      <c r="IBS43" s="56"/>
      <c r="IBT43" s="56"/>
      <c r="IBU43" s="56"/>
      <c r="IBV43" s="56"/>
      <c r="IBW43" s="56"/>
      <c r="IBX43" s="56"/>
      <c r="IBY43" s="56"/>
      <c r="IBZ43" s="56"/>
      <c r="ICA43" s="56"/>
      <c r="ICB43" s="56"/>
      <c r="ICC43" s="56"/>
      <c r="ICD43" s="56"/>
      <c r="ICE43" s="56"/>
      <c r="ICF43" s="56"/>
      <c r="ICG43" s="56"/>
      <c r="ICH43" s="56"/>
      <c r="ICI43" s="56"/>
      <c r="ICJ43" s="56"/>
      <c r="ICK43" s="56"/>
      <c r="ICL43" s="56"/>
      <c r="ICM43" s="56"/>
      <c r="ICN43" s="56"/>
      <c r="ICO43" s="56"/>
      <c r="ICP43" s="56"/>
      <c r="ICQ43" s="56"/>
      <c r="ICR43" s="56"/>
      <c r="ICS43" s="56"/>
      <c r="ICT43" s="56"/>
      <c r="ICU43" s="56"/>
      <c r="ICV43" s="56"/>
      <c r="ICW43" s="56"/>
      <c r="ICX43" s="56"/>
      <c r="ICY43" s="56"/>
      <c r="ICZ43" s="56"/>
      <c r="IDA43" s="56"/>
      <c r="IDB43" s="56"/>
      <c r="IDC43" s="56"/>
      <c r="IDD43" s="56"/>
      <c r="IDE43" s="56"/>
      <c r="IDF43" s="56"/>
      <c r="IDG43" s="56"/>
      <c r="IDH43" s="56"/>
      <c r="IDI43" s="56"/>
      <c r="IDJ43" s="56"/>
      <c r="IDK43" s="56"/>
      <c r="IDL43" s="56"/>
      <c r="IDM43" s="56"/>
      <c r="IDN43" s="56"/>
      <c r="IDO43" s="56"/>
      <c r="IDP43" s="56"/>
      <c r="IDQ43" s="56"/>
      <c r="IDR43" s="56"/>
      <c r="IDS43" s="56"/>
      <c r="IDT43" s="56"/>
      <c r="IDU43" s="56"/>
      <c r="IDV43" s="56"/>
      <c r="IDW43" s="56"/>
      <c r="IDX43" s="56"/>
      <c r="IDY43" s="56"/>
      <c r="IDZ43" s="56"/>
      <c r="IEA43" s="56"/>
      <c r="IEB43" s="56"/>
      <c r="IEC43" s="56"/>
      <c r="IED43" s="56"/>
      <c r="IEE43" s="56"/>
      <c r="IEF43" s="56"/>
      <c r="IEG43" s="56"/>
      <c r="IEH43" s="56"/>
      <c r="IEI43" s="56"/>
      <c r="IEJ43" s="56"/>
      <c r="IEK43" s="56"/>
      <c r="IEL43" s="56"/>
      <c r="IEM43" s="56"/>
      <c r="IEN43" s="56"/>
      <c r="IEO43" s="56"/>
      <c r="IEP43" s="56"/>
      <c r="IEQ43" s="56"/>
      <c r="IER43" s="56"/>
      <c r="IES43" s="56"/>
      <c r="IET43" s="56"/>
      <c r="IEU43" s="56"/>
      <c r="IEV43" s="56"/>
      <c r="IEW43" s="56"/>
      <c r="IEX43" s="56"/>
      <c r="IEY43" s="56"/>
      <c r="IEZ43" s="56"/>
      <c r="IFA43" s="56"/>
      <c r="IFB43" s="56"/>
      <c r="IFC43" s="56"/>
      <c r="IFD43" s="56"/>
      <c r="IFE43" s="56"/>
      <c r="IFF43" s="56"/>
      <c r="IFG43" s="56"/>
      <c r="IFH43" s="56"/>
      <c r="IFI43" s="56"/>
      <c r="IFJ43" s="56"/>
      <c r="IFK43" s="56"/>
      <c r="IFL43" s="56"/>
      <c r="IFM43" s="56"/>
      <c r="IFN43" s="56"/>
      <c r="IFO43" s="56"/>
      <c r="IFP43" s="56"/>
      <c r="IFQ43" s="56"/>
      <c r="IFR43" s="56"/>
      <c r="IFS43" s="56"/>
      <c r="IFT43" s="56"/>
      <c r="IFU43" s="56"/>
      <c r="IFV43" s="56"/>
      <c r="IFW43" s="56"/>
      <c r="IFX43" s="56"/>
      <c r="IFY43" s="56"/>
      <c r="IFZ43" s="56"/>
      <c r="IGA43" s="56"/>
      <c r="IGB43" s="56"/>
      <c r="IGC43" s="56"/>
      <c r="IGD43" s="56"/>
      <c r="IGE43" s="56"/>
      <c r="IGF43" s="56"/>
      <c r="IGG43" s="56"/>
      <c r="IGH43" s="56"/>
      <c r="IGI43" s="56"/>
      <c r="IGJ43" s="56"/>
      <c r="IGK43" s="56"/>
      <c r="IGL43" s="56"/>
      <c r="IGM43" s="56"/>
      <c r="IGN43" s="56"/>
      <c r="IGO43" s="56"/>
      <c r="IGP43" s="56"/>
      <c r="IGQ43" s="56"/>
      <c r="IGR43" s="56"/>
      <c r="IGS43" s="56"/>
      <c r="IGT43" s="56"/>
      <c r="IGU43" s="56"/>
      <c r="IGV43" s="56"/>
      <c r="IGW43" s="56"/>
      <c r="IGX43" s="56"/>
      <c r="IGY43" s="56"/>
      <c r="IGZ43" s="56"/>
      <c r="IHA43" s="56"/>
      <c r="IHB43" s="56"/>
      <c r="IHC43" s="56"/>
      <c r="IHD43" s="56"/>
      <c r="IHE43" s="56"/>
      <c r="IHF43" s="56"/>
      <c r="IHG43" s="56"/>
      <c r="IHH43" s="56"/>
      <c r="IHI43" s="56"/>
      <c r="IHJ43" s="56"/>
      <c r="IHK43" s="56"/>
      <c r="IHL43" s="56"/>
      <c r="IHM43" s="56"/>
      <c r="IHN43" s="56"/>
      <c r="IHO43" s="56"/>
      <c r="IHP43" s="56"/>
      <c r="IHQ43" s="56"/>
      <c r="IHR43" s="56"/>
      <c r="IHS43" s="56"/>
      <c r="IHT43" s="56"/>
      <c r="IHU43" s="56"/>
      <c r="IHV43" s="56"/>
      <c r="IHW43" s="56"/>
      <c r="IHX43" s="56"/>
      <c r="IHY43" s="56"/>
      <c r="IHZ43" s="56"/>
      <c r="IIA43" s="56"/>
      <c r="IIB43" s="56"/>
      <c r="IIC43" s="56"/>
      <c r="IID43" s="56"/>
      <c r="IIE43" s="56"/>
      <c r="IIF43" s="56"/>
      <c r="IIG43" s="56"/>
      <c r="IIH43" s="56"/>
      <c r="III43" s="56"/>
      <c r="IIJ43" s="56"/>
      <c r="IIK43" s="56"/>
      <c r="IIL43" s="56"/>
      <c r="IIM43" s="56"/>
      <c r="IIN43" s="56"/>
      <c r="IIO43" s="56"/>
      <c r="IIP43" s="56"/>
      <c r="IIQ43" s="56"/>
      <c r="IIR43" s="56"/>
      <c r="IIS43" s="56"/>
      <c r="IIT43" s="56"/>
      <c r="IIU43" s="56"/>
      <c r="IIV43" s="56"/>
      <c r="IIW43" s="56"/>
      <c r="IIX43" s="56"/>
      <c r="IIY43" s="56"/>
      <c r="IIZ43" s="56"/>
      <c r="IJA43" s="56"/>
      <c r="IJB43" s="56"/>
      <c r="IJC43" s="56"/>
      <c r="IJD43" s="56"/>
      <c r="IJE43" s="56"/>
      <c r="IJF43" s="56"/>
      <c r="IJG43" s="56"/>
      <c r="IJH43" s="56"/>
      <c r="IJI43" s="56"/>
      <c r="IJJ43" s="56"/>
      <c r="IJK43" s="56"/>
      <c r="IJL43" s="56"/>
      <c r="IJM43" s="56"/>
      <c r="IJN43" s="56"/>
      <c r="IJO43" s="56"/>
      <c r="IJP43" s="56"/>
      <c r="IJQ43" s="56"/>
      <c r="IJR43" s="56"/>
      <c r="IJS43" s="56"/>
      <c r="IJT43" s="56"/>
      <c r="IJU43" s="56"/>
      <c r="IJV43" s="56"/>
      <c r="IJW43" s="56"/>
      <c r="IJX43" s="56"/>
      <c r="IJY43" s="56"/>
      <c r="IJZ43" s="56"/>
      <c r="IKA43" s="56"/>
      <c r="IKB43" s="56"/>
      <c r="IKC43" s="56"/>
      <c r="IKD43" s="56"/>
      <c r="IKE43" s="56"/>
      <c r="IKF43" s="56"/>
      <c r="IKG43" s="56"/>
      <c r="IKH43" s="56"/>
      <c r="IKI43" s="56"/>
      <c r="IKJ43" s="56"/>
      <c r="IKK43" s="56"/>
      <c r="IKL43" s="56"/>
      <c r="IKM43" s="56"/>
      <c r="IKN43" s="56"/>
      <c r="IKO43" s="56"/>
      <c r="IKP43" s="56"/>
      <c r="IKQ43" s="56"/>
      <c r="IKR43" s="56"/>
      <c r="IKS43" s="56"/>
      <c r="IKT43" s="56"/>
      <c r="IKU43" s="56"/>
      <c r="IKV43" s="56"/>
      <c r="IKW43" s="56"/>
      <c r="IKX43" s="56"/>
      <c r="IKY43" s="56"/>
      <c r="IKZ43" s="56"/>
      <c r="ILA43" s="56"/>
      <c r="ILB43" s="56"/>
      <c r="ILC43" s="56"/>
      <c r="ILD43" s="56"/>
      <c r="ILE43" s="56"/>
      <c r="ILF43" s="56"/>
      <c r="ILG43" s="56"/>
      <c r="ILH43" s="56"/>
      <c r="ILI43" s="56"/>
      <c r="ILJ43" s="56"/>
      <c r="ILK43" s="56"/>
      <c r="ILL43" s="56"/>
      <c r="ILM43" s="56"/>
      <c r="ILN43" s="56"/>
      <c r="ILO43" s="56"/>
      <c r="ILP43" s="56"/>
      <c r="ILQ43" s="56"/>
      <c r="ILR43" s="56"/>
      <c r="ILS43" s="56"/>
      <c r="ILT43" s="56"/>
      <c r="ILU43" s="56"/>
      <c r="ILV43" s="56"/>
      <c r="ILW43" s="56"/>
      <c r="ILX43" s="56"/>
      <c r="ILY43" s="56"/>
      <c r="ILZ43" s="56"/>
      <c r="IMA43" s="56"/>
      <c r="IMB43" s="56"/>
      <c r="IMC43" s="56"/>
      <c r="IMD43" s="56"/>
      <c r="IME43" s="56"/>
      <c r="IMF43" s="56"/>
      <c r="IMG43" s="56"/>
      <c r="IMH43" s="56"/>
      <c r="IMI43" s="56"/>
      <c r="IMJ43" s="56"/>
      <c r="IMK43" s="56"/>
      <c r="IML43" s="56"/>
      <c r="IMM43" s="56"/>
      <c r="IMN43" s="56"/>
      <c r="IMO43" s="56"/>
      <c r="IMP43" s="56"/>
      <c r="IMQ43" s="56"/>
      <c r="IMR43" s="56"/>
      <c r="IMS43" s="56"/>
      <c r="IMT43" s="56"/>
      <c r="IMU43" s="56"/>
      <c r="IMV43" s="56"/>
      <c r="IMW43" s="56"/>
      <c r="IMX43" s="56"/>
      <c r="IMY43" s="56"/>
      <c r="IMZ43" s="56"/>
      <c r="INA43" s="56"/>
      <c r="INB43" s="56"/>
      <c r="INC43" s="56"/>
      <c r="IND43" s="56"/>
      <c r="INE43" s="56"/>
      <c r="INF43" s="56"/>
      <c r="ING43" s="56"/>
      <c r="INH43" s="56"/>
      <c r="INI43" s="56"/>
      <c r="INJ43" s="56"/>
      <c r="INK43" s="56"/>
      <c r="INL43" s="56"/>
      <c r="INM43" s="56"/>
      <c r="INN43" s="56"/>
      <c r="INO43" s="56"/>
      <c r="INP43" s="56"/>
      <c r="INQ43" s="56"/>
      <c r="INR43" s="56"/>
      <c r="INS43" s="56"/>
      <c r="INT43" s="56"/>
      <c r="INU43" s="56"/>
      <c r="INV43" s="56"/>
      <c r="INW43" s="56"/>
      <c r="INX43" s="56"/>
      <c r="INY43" s="56"/>
      <c r="INZ43" s="56"/>
      <c r="IOA43" s="56"/>
      <c r="IOB43" s="56"/>
      <c r="IOC43" s="56"/>
      <c r="IOD43" s="56"/>
      <c r="IOE43" s="56"/>
      <c r="IOF43" s="56"/>
      <c r="IOG43" s="56"/>
      <c r="IOH43" s="56"/>
      <c r="IOI43" s="56"/>
      <c r="IOJ43" s="56"/>
      <c r="IOK43" s="56"/>
      <c r="IOL43" s="56"/>
      <c r="IOM43" s="56"/>
      <c r="ION43" s="56"/>
      <c r="IOO43" s="56"/>
      <c r="IOP43" s="56"/>
      <c r="IOQ43" s="56"/>
      <c r="IOR43" s="56"/>
      <c r="IOS43" s="56"/>
      <c r="IOT43" s="56"/>
      <c r="IOU43" s="56"/>
      <c r="IOV43" s="56"/>
      <c r="IOW43" s="56"/>
      <c r="IOX43" s="56"/>
      <c r="IOY43" s="56"/>
      <c r="IOZ43" s="56"/>
      <c r="IPA43" s="56"/>
      <c r="IPB43" s="56"/>
      <c r="IPC43" s="56"/>
      <c r="IPD43" s="56"/>
      <c r="IPE43" s="56"/>
      <c r="IPF43" s="56"/>
      <c r="IPG43" s="56"/>
      <c r="IPH43" s="56"/>
      <c r="IPI43" s="56"/>
      <c r="IPJ43" s="56"/>
      <c r="IPK43" s="56"/>
      <c r="IPL43" s="56"/>
      <c r="IPM43" s="56"/>
      <c r="IPN43" s="56"/>
      <c r="IPO43" s="56"/>
      <c r="IPP43" s="56"/>
      <c r="IPQ43" s="56"/>
      <c r="IPR43" s="56"/>
      <c r="IPS43" s="56"/>
      <c r="IPT43" s="56"/>
      <c r="IPU43" s="56"/>
      <c r="IPV43" s="56"/>
      <c r="IPW43" s="56"/>
      <c r="IPX43" s="56"/>
      <c r="IPY43" s="56"/>
      <c r="IPZ43" s="56"/>
      <c r="IQA43" s="56"/>
      <c r="IQB43" s="56"/>
      <c r="IQC43" s="56"/>
      <c r="IQD43" s="56"/>
      <c r="IQE43" s="56"/>
      <c r="IQF43" s="56"/>
      <c r="IQG43" s="56"/>
      <c r="IQH43" s="56"/>
      <c r="IQI43" s="56"/>
      <c r="IQJ43" s="56"/>
      <c r="IQK43" s="56"/>
      <c r="IQL43" s="56"/>
      <c r="IQM43" s="56"/>
      <c r="IQN43" s="56"/>
      <c r="IQO43" s="56"/>
      <c r="IQP43" s="56"/>
      <c r="IQQ43" s="56"/>
      <c r="IQR43" s="56"/>
      <c r="IQS43" s="56"/>
      <c r="IQT43" s="56"/>
      <c r="IQU43" s="56"/>
      <c r="IQV43" s="56"/>
      <c r="IQW43" s="56"/>
      <c r="IQX43" s="56"/>
      <c r="IQY43" s="56"/>
      <c r="IQZ43" s="56"/>
      <c r="IRA43" s="56"/>
      <c r="IRB43" s="56"/>
      <c r="IRC43" s="56"/>
      <c r="IRD43" s="56"/>
      <c r="IRE43" s="56"/>
      <c r="IRF43" s="56"/>
      <c r="IRG43" s="56"/>
      <c r="IRH43" s="56"/>
      <c r="IRI43" s="56"/>
      <c r="IRJ43" s="56"/>
      <c r="IRK43" s="56"/>
      <c r="IRL43" s="56"/>
      <c r="IRM43" s="56"/>
      <c r="IRN43" s="56"/>
      <c r="IRO43" s="56"/>
      <c r="IRP43" s="56"/>
      <c r="IRQ43" s="56"/>
      <c r="IRR43" s="56"/>
      <c r="IRS43" s="56"/>
      <c r="IRT43" s="56"/>
      <c r="IRU43" s="56"/>
      <c r="IRV43" s="56"/>
      <c r="IRW43" s="56"/>
      <c r="IRX43" s="56"/>
      <c r="IRY43" s="56"/>
      <c r="IRZ43" s="56"/>
      <c r="ISA43" s="56"/>
      <c r="ISB43" s="56"/>
      <c r="ISC43" s="56"/>
      <c r="ISD43" s="56"/>
      <c r="ISE43" s="56"/>
      <c r="ISF43" s="56"/>
      <c r="ISG43" s="56"/>
      <c r="ISH43" s="56"/>
      <c r="ISI43" s="56"/>
      <c r="ISJ43" s="56"/>
      <c r="ISK43" s="56"/>
      <c r="ISL43" s="56"/>
      <c r="ISM43" s="56"/>
      <c r="ISN43" s="56"/>
      <c r="ISO43" s="56"/>
      <c r="ISP43" s="56"/>
      <c r="ISQ43" s="56"/>
      <c r="ISR43" s="56"/>
      <c r="ISS43" s="56"/>
      <c r="IST43" s="56"/>
      <c r="ISU43" s="56"/>
      <c r="ISV43" s="56"/>
      <c r="ISW43" s="56"/>
      <c r="ISX43" s="56"/>
      <c r="ISY43" s="56"/>
      <c r="ISZ43" s="56"/>
      <c r="ITA43" s="56"/>
      <c r="ITB43" s="56"/>
      <c r="ITC43" s="56"/>
      <c r="ITD43" s="56"/>
      <c r="ITE43" s="56"/>
      <c r="ITF43" s="56"/>
      <c r="ITG43" s="56"/>
      <c r="ITH43" s="56"/>
      <c r="ITI43" s="56"/>
      <c r="ITJ43" s="56"/>
      <c r="ITK43" s="56"/>
      <c r="ITL43" s="56"/>
      <c r="ITM43" s="56"/>
      <c r="ITN43" s="56"/>
      <c r="ITO43" s="56"/>
      <c r="ITP43" s="56"/>
      <c r="ITQ43" s="56"/>
      <c r="ITR43" s="56"/>
      <c r="ITS43" s="56"/>
      <c r="ITT43" s="56"/>
      <c r="ITU43" s="56"/>
      <c r="ITV43" s="56"/>
      <c r="ITW43" s="56"/>
      <c r="ITX43" s="56"/>
      <c r="ITY43" s="56"/>
      <c r="ITZ43" s="56"/>
      <c r="IUA43" s="56"/>
      <c r="IUB43" s="56"/>
      <c r="IUC43" s="56"/>
      <c r="IUD43" s="56"/>
      <c r="IUE43" s="56"/>
      <c r="IUF43" s="56"/>
      <c r="IUG43" s="56"/>
      <c r="IUH43" s="56"/>
      <c r="IUI43" s="56"/>
      <c r="IUJ43" s="56"/>
      <c r="IUK43" s="56"/>
      <c r="IUL43" s="56"/>
      <c r="IUM43" s="56"/>
      <c r="IUN43" s="56"/>
      <c r="IUO43" s="56"/>
      <c r="IUP43" s="56"/>
      <c r="IUQ43" s="56"/>
      <c r="IUR43" s="56"/>
      <c r="IUS43" s="56"/>
      <c r="IUT43" s="56"/>
      <c r="IUU43" s="56"/>
      <c r="IUV43" s="56"/>
      <c r="IUW43" s="56"/>
      <c r="IUX43" s="56"/>
      <c r="IUY43" s="56"/>
      <c r="IUZ43" s="56"/>
      <c r="IVA43" s="56"/>
      <c r="IVB43" s="56"/>
      <c r="IVC43" s="56"/>
      <c r="IVD43" s="56"/>
      <c r="IVE43" s="56"/>
      <c r="IVF43" s="56"/>
      <c r="IVG43" s="56"/>
      <c r="IVH43" s="56"/>
      <c r="IVI43" s="56"/>
      <c r="IVJ43" s="56"/>
      <c r="IVK43" s="56"/>
      <c r="IVL43" s="56"/>
      <c r="IVM43" s="56"/>
      <c r="IVN43" s="56"/>
      <c r="IVO43" s="56"/>
      <c r="IVP43" s="56"/>
      <c r="IVQ43" s="56"/>
      <c r="IVR43" s="56"/>
      <c r="IVS43" s="56"/>
      <c r="IVT43" s="56"/>
      <c r="IVU43" s="56"/>
      <c r="IVV43" s="56"/>
      <c r="IVW43" s="56"/>
      <c r="IVX43" s="56"/>
      <c r="IVY43" s="56"/>
      <c r="IVZ43" s="56"/>
      <c r="IWA43" s="56"/>
      <c r="IWB43" s="56"/>
      <c r="IWC43" s="56"/>
      <c r="IWD43" s="56"/>
      <c r="IWE43" s="56"/>
      <c r="IWF43" s="56"/>
      <c r="IWG43" s="56"/>
      <c r="IWH43" s="56"/>
      <c r="IWI43" s="56"/>
      <c r="IWJ43" s="56"/>
      <c r="IWK43" s="56"/>
      <c r="IWL43" s="56"/>
      <c r="IWM43" s="56"/>
      <c r="IWN43" s="56"/>
      <c r="IWO43" s="56"/>
      <c r="IWP43" s="56"/>
      <c r="IWQ43" s="56"/>
      <c r="IWR43" s="56"/>
      <c r="IWS43" s="56"/>
      <c r="IWT43" s="56"/>
      <c r="IWU43" s="56"/>
      <c r="IWV43" s="56"/>
      <c r="IWW43" s="56"/>
      <c r="IWX43" s="56"/>
      <c r="IWY43" s="56"/>
      <c r="IWZ43" s="56"/>
      <c r="IXA43" s="56"/>
      <c r="IXB43" s="56"/>
      <c r="IXC43" s="56"/>
      <c r="IXD43" s="56"/>
      <c r="IXE43" s="56"/>
      <c r="IXF43" s="56"/>
      <c r="IXG43" s="56"/>
      <c r="IXH43" s="56"/>
      <c r="IXI43" s="56"/>
      <c r="IXJ43" s="56"/>
      <c r="IXK43" s="56"/>
      <c r="IXL43" s="56"/>
      <c r="IXM43" s="56"/>
      <c r="IXN43" s="56"/>
      <c r="IXO43" s="56"/>
      <c r="IXP43" s="56"/>
      <c r="IXQ43" s="56"/>
      <c r="IXR43" s="56"/>
      <c r="IXS43" s="56"/>
      <c r="IXT43" s="56"/>
      <c r="IXU43" s="56"/>
      <c r="IXV43" s="56"/>
      <c r="IXW43" s="56"/>
      <c r="IXX43" s="56"/>
      <c r="IXY43" s="56"/>
      <c r="IXZ43" s="56"/>
      <c r="IYA43" s="56"/>
      <c r="IYB43" s="56"/>
      <c r="IYC43" s="56"/>
      <c r="IYD43" s="56"/>
      <c r="IYE43" s="56"/>
      <c r="IYF43" s="56"/>
      <c r="IYG43" s="56"/>
      <c r="IYH43" s="56"/>
      <c r="IYI43" s="56"/>
      <c r="IYJ43" s="56"/>
      <c r="IYK43" s="56"/>
      <c r="IYL43" s="56"/>
      <c r="IYM43" s="56"/>
      <c r="IYN43" s="56"/>
      <c r="IYO43" s="56"/>
      <c r="IYP43" s="56"/>
      <c r="IYQ43" s="56"/>
      <c r="IYR43" s="56"/>
      <c r="IYS43" s="56"/>
      <c r="IYT43" s="56"/>
      <c r="IYU43" s="56"/>
      <c r="IYV43" s="56"/>
      <c r="IYW43" s="56"/>
      <c r="IYX43" s="56"/>
      <c r="IYY43" s="56"/>
      <c r="IYZ43" s="56"/>
      <c r="IZA43" s="56"/>
      <c r="IZB43" s="56"/>
      <c r="IZC43" s="56"/>
      <c r="IZD43" s="56"/>
      <c r="IZE43" s="56"/>
      <c r="IZF43" s="56"/>
      <c r="IZG43" s="56"/>
      <c r="IZH43" s="56"/>
      <c r="IZI43" s="56"/>
      <c r="IZJ43" s="56"/>
      <c r="IZK43" s="56"/>
      <c r="IZL43" s="56"/>
      <c r="IZM43" s="56"/>
      <c r="IZN43" s="56"/>
      <c r="IZO43" s="56"/>
      <c r="IZP43" s="56"/>
      <c r="IZQ43" s="56"/>
      <c r="IZR43" s="56"/>
      <c r="IZS43" s="56"/>
      <c r="IZT43" s="56"/>
      <c r="IZU43" s="56"/>
      <c r="IZV43" s="56"/>
      <c r="IZW43" s="56"/>
      <c r="IZX43" s="56"/>
      <c r="IZY43" s="56"/>
      <c r="IZZ43" s="56"/>
      <c r="JAA43" s="56"/>
      <c r="JAB43" s="56"/>
      <c r="JAC43" s="56"/>
      <c r="JAD43" s="56"/>
      <c r="JAE43" s="56"/>
      <c r="JAF43" s="56"/>
      <c r="JAG43" s="56"/>
      <c r="JAH43" s="56"/>
      <c r="JAI43" s="56"/>
      <c r="JAJ43" s="56"/>
      <c r="JAK43" s="56"/>
      <c r="JAL43" s="56"/>
      <c r="JAM43" s="56"/>
      <c r="JAN43" s="56"/>
      <c r="JAO43" s="56"/>
      <c r="JAP43" s="56"/>
      <c r="JAQ43" s="56"/>
      <c r="JAR43" s="56"/>
      <c r="JAS43" s="56"/>
      <c r="JAT43" s="56"/>
      <c r="JAU43" s="56"/>
      <c r="JAV43" s="56"/>
      <c r="JAW43" s="56"/>
      <c r="JAX43" s="56"/>
      <c r="JAY43" s="56"/>
      <c r="JAZ43" s="56"/>
      <c r="JBA43" s="56"/>
      <c r="JBB43" s="56"/>
      <c r="JBC43" s="56"/>
      <c r="JBD43" s="56"/>
      <c r="JBE43" s="56"/>
      <c r="JBF43" s="56"/>
      <c r="JBG43" s="56"/>
      <c r="JBH43" s="56"/>
      <c r="JBI43" s="56"/>
      <c r="JBJ43" s="56"/>
      <c r="JBK43" s="56"/>
      <c r="JBL43" s="56"/>
      <c r="JBM43" s="56"/>
      <c r="JBN43" s="56"/>
      <c r="JBO43" s="56"/>
      <c r="JBP43" s="56"/>
      <c r="JBQ43" s="56"/>
      <c r="JBR43" s="56"/>
      <c r="JBS43" s="56"/>
      <c r="JBT43" s="56"/>
      <c r="JBU43" s="56"/>
      <c r="JBV43" s="56"/>
      <c r="JBW43" s="56"/>
      <c r="JBX43" s="56"/>
      <c r="JBY43" s="56"/>
      <c r="JBZ43" s="56"/>
      <c r="JCA43" s="56"/>
      <c r="JCB43" s="56"/>
      <c r="JCC43" s="56"/>
      <c r="JCD43" s="56"/>
      <c r="JCE43" s="56"/>
      <c r="JCF43" s="56"/>
      <c r="JCG43" s="56"/>
      <c r="JCH43" s="56"/>
      <c r="JCI43" s="56"/>
      <c r="JCJ43" s="56"/>
      <c r="JCK43" s="56"/>
      <c r="JCL43" s="56"/>
      <c r="JCM43" s="56"/>
      <c r="JCN43" s="56"/>
      <c r="JCO43" s="56"/>
      <c r="JCP43" s="56"/>
      <c r="JCQ43" s="56"/>
      <c r="JCR43" s="56"/>
      <c r="JCS43" s="56"/>
      <c r="JCT43" s="56"/>
      <c r="JCU43" s="56"/>
      <c r="JCV43" s="56"/>
      <c r="JCW43" s="56"/>
      <c r="JCX43" s="56"/>
      <c r="JCY43" s="56"/>
      <c r="JCZ43" s="56"/>
      <c r="JDA43" s="56"/>
      <c r="JDB43" s="56"/>
      <c r="JDC43" s="56"/>
      <c r="JDD43" s="56"/>
      <c r="JDE43" s="56"/>
      <c r="JDF43" s="56"/>
      <c r="JDG43" s="56"/>
      <c r="JDH43" s="56"/>
      <c r="JDI43" s="56"/>
      <c r="JDJ43" s="56"/>
      <c r="JDK43" s="56"/>
      <c r="JDL43" s="56"/>
      <c r="JDM43" s="56"/>
      <c r="JDN43" s="56"/>
      <c r="JDO43" s="56"/>
      <c r="JDP43" s="56"/>
      <c r="JDQ43" s="56"/>
      <c r="JDR43" s="56"/>
      <c r="JDS43" s="56"/>
      <c r="JDT43" s="56"/>
      <c r="JDU43" s="56"/>
      <c r="JDV43" s="56"/>
      <c r="JDW43" s="56"/>
      <c r="JDX43" s="56"/>
      <c r="JDY43" s="56"/>
      <c r="JDZ43" s="56"/>
      <c r="JEA43" s="56"/>
      <c r="JEB43" s="56"/>
      <c r="JEC43" s="56"/>
      <c r="JED43" s="56"/>
      <c r="JEE43" s="56"/>
      <c r="JEF43" s="56"/>
      <c r="JEG43" s="56"/>
      <c r="JEH43" s="56"/>
      <c r="JEI43" s="56"/>
      <c r="JEJ43" s="56"/>
      <c r="JEK43" s="56"/>
      <c r="JEL43" s="56"/>
      <c r="JEM43" s="56"/>
      <c r="JEN43" s="56"/>
      <c r="JEO43" s="56"/>
      <c r="JEP43" s="56"/>
      <c r="JEQ43" s="56"/>
      <c r="JER43" s="56"/>
      <c r="JES43" s="56"/>
      <c r="JET43" s="56"/>
      <c r="JEU43" s="56"/>
      <c r="JEV43" s="56"/>
      <c r="JEW43" s="56"/>
      <c r="JEX43" s="56"/>
      <c r="JEY43" s="56"/>
      <c r="JEZ43" s="56"/>
      <c r="JFA43" s="56"/>
      <c r="JFB43" s="56"/>
      <c r="JFC43" s="56"/>
      <c r="JFD43" s="56"/>
      <c r="JFE43" s="56"/>
      <c r="JFF43" s="56"/>
      <c r="JFG43" s="56"/>
      <c r="JFH43" s="56"/>
      <c r="JFI43" s="56"/>
      <c r="JFJ43" s="56"/>
      <c r="JFK43" s="56"/>
      <c r="JFL43" s="56"/>
      <c r="JFM43" s="56"/>
      <c r="JFN43" s="56"/>
      <c r="JFO43" s="56"/>
      <c r="JFP43" s="56"/>
      <c r="JFQ43" s="56"/>
      <c r="JFR43" s="56"/>
      <c r="JFS43" s="56"/>
      <c r="JFT43" s="56"/>
      <c r="JFU43" s="56"/>
      <c r="JFV43" s="56"/>
      <c r="JFW43" s="56"/>
      <c r="JFX43" s="56"/>
      <c r="JFY43" s="56"/>
      <c r="JFZ43" s="56"/>
      <c r="JGA43" s="56"/>
      <c r="JGB43" s="56"/>
      <c r="JGC43" s="56"/>
      <c r="JGD43" s="56"/>
      <c r="JGE43" s="56"/>
      <c r="JGF43" s="56"/>
      <c r="JGG43" s="56"/>
      <c r="JGH43" s="56"/>
      <c r="JGI43" s="56"/>
      <c r="JGJ43" s="56"/>
      <c r="JGK43" s="56"/>
      <c r="JGL43" s="56"/>
      <c r="JGM43" s="56"/>
      <c r="JGN43" s="56"/>
      <c r="JGO43" s="56"/>
      <c r="JGP43" s="56"/>
      <c r="JGQ43" s="56"/>
      <c r="JGR43" s="56"/>
      <c r="JGS43" s="56"/>
      <c r="JGT43" s="56"/>
      <c r="JGU43" s="56"/>
      <c r="JGV43" s="56"/>
      <c r="JGW43" s="56"/>
      <c r="JGX43" s="56"/>
      <c r="JGY43" s="56"/>
      <c r="JGZ43" s="56"/>
      <c r="JHA43" s="56"/>
      <c r="JHB43" s="56"/>
      <c r="JHC43" s="56"/>
      <c r="JHD43" s="56"/>
      <c r="JHE43" s="56"/>
      <c r="JHF43" s="56"/>
      <c r="JHG43" s="56"/>
      <c r="JHH43" s="56"/>
      <c r="JHI43" s="56"/>
      <c r="JHJ43" s="56"/>
      <c r="JHK43" s="56"/>
      <c r="JHL43" s="56"/>
      <c r="JHM43" s="56"/>
      <c r="JHN43" s="56"/>
      <c r="JHO43" s="56"/>
      <c r="JHP43" s="56"/>
      <c r="JHQ43" s="56"/>
      <c r="JHR43" s="56"/>
      <c r="JHS43" s="56"/>
      <c r="JHT43" s="56"/>
      <c r="JHU43" s="56"/>
      <c r="JHV43" s="56"/>
      <c r="JHW43" s="56"/>
      <c r="JHX43" s="56"/>
      <c r="JHY43" s="56"/>
      <c r="JHZ43" s="56"/>
      <c r="JIA43" s="56"/>
      <c r="JIB43" s="56"/>
      <c r="JIC43" s="56"/>
      <c r="JID43" s="56"/>
      <c r="JIE43" s="56"/>
      <c r="JIF43" s="56"/>
      <c r="JIG43" s="56"/>
      <c r="JIH43" s="56"/>
      <c r="JII43" s="56"/>
      <c r="JIJ43" s="56"/>
      <c r="JIK43" s="56"/>
      <c r="JIL43" s="56"/>
      <c r="JIM43" s="56"/>
      <c r="JIN43" s="56"/>
      <c r="JIO43" s="56"/>
      <c r="JIP43" s="56"/>
      <c r="JIQ43" s="56"/>
      <c r="JIR43" s="56"/>
      <c r="JIS43" s="56"/>
      <c r="JIT43" s="56"/>
      <c r="JIU43" s="56"/>
      <c r="JIV43" s="56"/>
      <c r="JIW43" s="56"/>
      <c r="JIX43" s="56"/>
      <c r="JIY43" s="56"/>
      <c r="JIZ43" s="56"/>
      <c r="JJA43" s="56"/>
      <c r="JJB43" s="56"/>
      <c r="JJC43" s="56"/>
      <c r="JJD43" s="56"/>
      <c r="JJE43" s="56"/>
      <c r="JJF43" s="56"/>
      <c r="JJG43" s="56"/>
      <c r="JJH43" s="56"/>
      <c r="JJI43" s="56"/>
      <c r="JJJ43" s="56"/>
      <c r="JJK43" s="56"/>
      <c r="JJL43" s="56"/>
      <c r="JJM43" s="56"/>
      <c r="JJN43" s="56"/>
      <c r="JJO43" s="56"/>
      <c r="JJP43" s="56"/>
      <c r="JJQ43" s="56"/>
      <c r="JJR43" s="56"/>
      <c r="JJS43" s="56"/>
      <c r="JJT43" s="56"/>
      <c r="JJU43" s="56"/>
      <c r="JJV43" s="56"/>
      <c r="JJW43" s="56"/>
      <c r="JJX43" s="56"/>
      <c r="JJY43" s="56"/>
      <c r="JJZ43" s="56"/>
      <c r="JKA43" s="56"/>
      <c r="JKB43" s="56"/>
      <c r="JKC43" s="56"/>
      <c r="JKD43" s="56"/>
      <c r="JKE43" s="56"/>
      <c r="JKF43" s="56"/>
      <c r="JKG43" s="56"/>
      <c r="JKH43" s="56"/>
      <c r="JKI43" s="56"/>
      <c r="JKJ43" s="56"/>
      <c r="JKK43" s="56"/>
      <c r="JKL43" s="56"/>
      <c r="JKM43" s="56"/>
      <c r="JKN43" s="56"/>
      <c r="JKO43" s="56"/>
      <c r="JKP43" s="56"/>
      <c r="JKQ43" s="56"/>
      <c r="JKR43" s="56"/>
      <c r="JKS43" s="56"/>
      <c r="JKT43" s="56"/>
      <c r="JKU43" s="56"/>
      <c r="JKV43" s="56"/>
      <c r="JKW43" s="56"/>
      <c r="JKX43" s="56"/>
      <c r="JKY43" s="56"/>
      <c r="JKZ43" s="56"/>
      <c r="JLA43" s="56"/>
      <c r="JLB43" s="56"/>
      <c r="JLC43" s="56"/>
      <c r="JLD43" s="56"/>
      <c r="JLE43" s="56"/>
      <c r="JLF43" s="56"/>
      <c r="JLG43" s="56"/>
      <c r="JLH43" s="56"/>
      <c r="JLI43" s="56"/>
      <c r="JLJ43" s="56"/>
      <c r="JLK43" s="56"/>
      <c r="JLL43" s="56"/>
      <c r="JLM43" s="56"/>
      <c r="JLN43" s="56"/>
      <c r="JLO43" s="56"/>
      <c r="JLP43" s="56"/>
      <c r="JLQ43" s="56"/>
      <c r="JLR43" s="56"/>
      <c r="JLS43" s="56"/>
      <c r="JLT43" s="56"/>
      <c r="JLU43" s="56"/>
      <c r="JLV43" s="56"/>
      <c r="JLW43" s="56"/>
      <c r="JLX43" s="56"/>
      <c r="JLY43" s="56"/>
      <c r="JLZ43" s="56"/>
      <c r="JMA43" s="56"/>
      <c r="JMB43" s="56"/>
      <c r="JMC43" s="56"/>
      <c r="JMD43" s="56"/>
      <c r="JME43" s="56"/>
      <c r="JMF43" s="56"/>
      <c r="JMG43" s="56"/>
      <c r="JMH43" s="56"/>
      <c r="JMI43" s="56"/>
      <c r="JMJ43" s="56"/>
      <c r="JMK43" s="56"/>
      <c r="JML43" s="56"/>
      <c r="JMM43" s="56"/>
      <c r="JMN43" s="56"/>
      <c r="JMO43" s="56"/>
      <c r="JMP43" s="56"/>
      <c r="JMQ43" s="56"/>
      <c r="JMR43" s="56"/>
      <c r="JMS43" s="56"/>
      <c r="JMT43" s="56"/>
      <c r="JMU43" s="56"/>
      <c r="JMV43" s="56"/>
      <c r="JMW43" s="56"/>
      <c r="JMX43" s="56"/>
      <c r="JMY43" s="56"/>
      <c r="JMZ43" s="56"/>
      <c r="JNA43" s="56"/>
      <c r="JNB43" s="56"/>
      <c r="JNC43" s="56"/>
      <c r="JND43" s="56"/>
      <c r="JNE43" s="56"/>
      <c r="JNF43" s="56"/>
      <c r="JNG43" s="56"/>
      <c r="JNH43" s="56"/>
      <c r="JNI43" s="56"/>
      <c r="JNJ43" s="56"/>
      <c r="JNK43" s="56"/>
      <c r="JNL43" s="56"/>
      <c r="JNM43" s="56"/>
      <c r="JNN43" s="56"/>
      <c r="JNO43" s="56"/>
      <c r="JNP43" s="56"/>
      <c r="JNQ43" s="56"/>
      <c r="JNR43" s="56"/>
      <c r="JNS43" s="56"/>
      <c r="JNT43" s="56"/>
      <c r="JNU43" s="56"/>
      <c r="JNV43" s="56"/>
      <c r="JNW43" s="56"/>
      <c r="JNX43" s="56"/>
      <c r="JNY43" s="56"/>
      <c r="JNZ43" s="56"/>
      <c r="JOA43" s="56"/>
      <c r="JOB43" s="56"/>
      <c r="JOC43" s="56"/>
      <c r="JOD43" s="56"/>
      <c r="JOE43" s="56"/>
      <c r="JOF43" s="56"/>
      <c r="JOG43" s="56"/>
      <c r="JOH43" s="56"/>
      <c r="JOI43" s="56"/>
      <c r="JOJ43" s="56"/>
      <c r="JOK43" s="56"/>
      <c r="JOL43" s="56"/>
      <c r="JOM43" s="56"/>
      <c r="JON43" s="56"/>
      <c r="JOO43" s="56"/>
      <c r="JOP43" s="56"/>
      <c r="JOQ43" s="56"/>
      <c r="JOR43" s="56"/>
      <c r="JOS43" s="56"/>
      <c r="JOT43" s="56"/>
      <c r="JOU43" s="56"/>
      <c r="JOV43" s="56"/>
      <c r="JOW43" s="56"/>
      <c r="JOX43" s="56"/>
      <c r="JOY43" s="56"/>
      <c r="JOZ43" s="56"/>
      <c r="JPA43" s="56"/>
      <c r="JPB43" s="56"/>
      <c r="JPC43" s="56"/>
      <c r="JPD43" s="56"/>
      <c r="JPE43" s="56"/>
      <c r="JPF43" s="56"/>
      <c r="JPG43" s="56"/>
      <c r="JPH43" s="56"/>
      <c r="JPI43" s="56"/>
      <c r="JPJ43" s="56"/>
      <c r="JPK43" s="56"/>
      <c r="JPL43" s="56"/>
      <c r="JPM43" s="56"/>
      <c r="JPN43" s="56"/>
      <c r="JPO43" s="56"/>
      <c r="JPP43" s="56"/>
      <c r="JPQ43" s="56"/>
      <c r="JPR43" s="56"/>
      <c r="JPS43" s="56"/>
      <c r="JPT43" s="56"/>
      <c r="JPU43" s="56"/>
      <c r="JPV43" s="56"/>
      <c r="JPW43" s="56"/>
      <c r="JPX43" s="56"/>
      <c r="JPY43" s="56"/>
      <c r="JPZ43" s="56"/>
      <c r="JQA43" s="56"/>
      <c r="JQB43" s="56"/>
      <c r="JQC43" s="56"/>
      <c r="JQD43" s="56"/>
      <c r="JQE43" s="56"/>
      <c r="JQF43" s="56"/>
      <c r="JQG43" s="56"/>
      <c r="JQH43" s="56"/>
      <c r="JQI43" s="56"/>
      <c r="JQJ43" s="56"/>
      <c r="JQK43" s="56"/>
      <c r="JQL43" s="56"/>
      <c r="JQM43" s="56"/>
      <c r="JQN43" s="56"/>
      <c r="JQO43" s="56"/>
      <c r="JQP43" s="56"/>
      <c r="JQQ43" s="56"/>
      <c r="JQR43" s="56"/>
      <c r="JQS43" s="56"/>
      <c r="JQT43" s="56"/>
      <c r="JQU43" s="56"/>
      <c r="JQV43" s="56"/>
      <c r="JQW43" s="56"/>
      <c r="JQX43" s="56"/>
      <c r="JQY43" s="56"/>
      <c r="JQZ43" s="56"/>
      <c r="JRA43" s="56"/>
      <c r="JRB43" s="56"/>
      <c r="JRC43" s="56"/>
      <c r="JRD43" s="56"/>
      <c r="JRE43" s="56"/>
      <c r="JRF43" s="56"/>
      <c r="JRG43" s="56"/>
      <c r="JRH43" s="56"/>
      <c r="JRI43" s="56"/>
      <c r="JRJ43" s="56"/>
      <c r="JRK43" s="56"/>
      <c r="JRL43" s="56"/>
      <c r="JRM43" s="56"/>
      <c r="JRN43" s="56"/>
      <c r="JRO43" s="56"/>
      <c r="JRP43" s="56"/>
      <c r="JRQ43" s="56"/>
      <c r="JRR43" s="56"/>
      <c r="JRS43" s="56"/>
      <c r="JRT43" s="56"/>
      <c r="JRU43" s="56"/>
      <c r="JRV43" s="56"/>
      <c r="JRW43" s="56"/>
      <c r="JRX43" s="56"/>
      <c r="JRY43" s="56"/>
      <c r="JRZ43" s="56"/>
      <c r="JSA43" s="56"/>
      <c r="JSB43" s="56"/>
      <c r="JSC43" s="56"/>
      <c r="JSD43" s="56"/>
      <c r="JSE43" s="56"/>
      <c r="JSF43" s="56"/>
      <c r="JSG43" s="56"/>
      <c r="JSH43" s="56"/>
      <c r="JSI43" s="56"/>
      <c r="JSJ43" s="56"/>
      <c r="JSK43" s="56"/>
      <c r="JSL43" s="56"/>
      <c r="JSM43" s="56"/>
      <c r="JSN43" s="56"/>
      <c r="JSO43" s="56"/>
      <c r="JSP43" s="56"/>
      <c r="JSQ43" s="56"/>
      <c r="JSR43" s="56"/>
      <c r="JSS43" s="56"/>
      <c r="JST43" s="56"/>
      <c r="JSU43" s="56"/>
      <c r="JSV43" s="56"/>
      <c r="JSW43" s="56"/>
      <c r="JSX43" s="56"/>
      <c r="JSY43" s="56"/>
      <c r="JSZ43" s="56"/>
      <c r="JTA43" s="56"/>
      <c r="JTB43" s="56"/>
      <c r="JTC43" s="56"/>
      <c r="JTD43" s="56"/>
      <c r="JTE43" s="56"/>
      <c r="JTF43" s="56"/>
      <c r="JTG43" s="56"/>
      <c r="JTH43" s="56"/>
      <c r="JTI43" s="56"/>
      <c r="JTJ43" s="56"/>
      <c r="JTK43" s="56"/>
      <c r="JTL43" s="56"/>
      <c r="JTM43" s="56"/>
      <c r="JTN43" s="56"/>
      <c r="JTO43" s="56"/>
      <c r="JTP43" s="56"/>
      <c r="JTQ43" s="56"/>
      <c r="JTR43" s="56"/>
      <c r="JTS43" s="56"/>
      <c r="JTT43" s="56"/>
      <c r="JTU43" s="56"/>
      <c r="JTV43" s="56"/>
      <c r="JTW43" s="56"/>
      <c r="JTX43" s="56"/>
      <c r="JTY43" s="56"/>
      <c r="JTZ43" s="56"/>
      <c r="JUA43" s="56"/>
      <c r="JUB43" s="56"/>
      <c r="JUC43" s="56"/>
      <c r="JUD43" s="56"/>
      <c r="JUE43" s="56"/>
      <c r="JUF43" s="56"/>
      <c r="JUG43" s="56"/>
      <c r="JUH43" s="56"/>
      <c r="JUI43" s="56"/>
      <c r="JUJ43" s="56"/>
      <c r="JUK43" s="56"/>
      <c r="JUL43" s="56"/>
      <c r="JUM43" s="56"/>
      <c r="JUN43" s="56"/>
      <c r="JUO43" s="56"/>
      <c r="JUP43" s="56"/>
      <c r="JUQ43" s="56"/>
      <c r="JUR43" s="56"/>
      <c r="JUS43" s="56"/>
      <c r="JUT43" s="56"/>
      <c r="JUU43" s="56"/>
      <c r="JUV43" s="56"/>
      <c r="JUW43" s="56"/>
      <c r="JUX43" s="56"/>
      <c r="JUY43" s="56"/>
      <c r="JUZ43" s="56"/>
      <c r="JVA43" s="56"/>
      <c r="JVB43" s="56"/>
      <c r="JVC43" s="56"/>
      <c r="JVD43" s="56"/>
      <c r="JVE43" s="56"/>
      <c r="JVF43" s="56"/>
      <c r="JVG43" s="56"/>
      <c r="JVH43" s="56"/>
      <c r="JVI43" s="56"/>
      <c r="JVJ43" s="56"/>
      <c r="JVK43" s="56"/>
      <c r="JVL43" s="56"/>
      <c r="JVM43" s="56"/>
      <c r="JVN43" s="56"/>
      <c r="JVO43" s="56"/>
      <c r="JVP43" s="56"/>
      <c r="JVQ43" s="56"/>
      <c r="JVR43" s="56"/>
      <c r="JVS43" s="56"/>
      <c r="JVT43" s="56"/>
      <c r="JVU43" s="56"/>
      <c r="JVV43" s="56"/>
      <c r="JVW43" s="56"/>
      <c r="JVX43" s="56"/>
      <c r="JVY43" s="56"/>
      <c r="JVZ43" s="56"/>
      <c r="JWA43" s="56"/>
      <c r="JWB43" s="56"/>
      <c r="JWC43" s="56"/>
      <c r="JWD43" s="56"/>
      <c r="JWE43" s="56"/>
      <c r="JWF43" s="56"/>
      <c r="JWG43" s="56"/>
      <c r="JWH43" s="56"/>
      <c r="JWI43" s="56"/>
      <c r="JWJ43" s="56"/>
      <c r="JWK43" s="56"/>
      <c r="JWL43" s="56"/>
      <c r="JWM43" s="56"/>
      <c r="JWN43" s="56"/>
      <c r="JWO43" s="56"/>
      <c r="JWP43" s="56"/>
      <c r="JWQ43" s="56"/>
      <c r="JWR43" s="56"/>
      <c r="JWS43" s="56"/>
      <c r="JWT43" s="56"/>
      <c r="JWU43" s="56"/>
      <c r="JWV43" s="56"/>
      <c r="JWW43" s="56"/>
      <c r="JWX43" s="56"/>
      <c r="JWY43" s="56"/>
      <c r="JWZ43" s="56"/>
      <c r="JXA43" s="56"/>
      <c r="JXB43" s="56"/>
      <c r="JXC43" s="56"/>
      <c r="JXD43" s="56"/>
      <c r="JXE43" s="56"/>
      <c r="JXF43" s="56"/>
      <c r="JXG43" s="56"/>
      <c r="JXH43" s="56"/>
      <c r="JXI43" s="56"/>
      <c r="JXJ43" s="56"/>
      <c r="JXK43" s="56"/>
      <c r="JXL43" s="56"/>
      <c r="JXM43" s="56"/>
      <c r="JXN43" s="56"/>
      <c r="JXO43" s="56"/>
      <c r="JXP43" s="56"/>
      <c r="JXQ43" s="56"/>
      <c r="JXR43" s="56"/>
      <c r="JXS43" s="56"/>
      <c r="JXT43" s="56"/>
      <c r="JXU43" s="56"/>
      <c r="JXV43" s="56"/>
      <c r="JXW43" s="56"/>
      <c r="JXX43" s="56"/>
      <c r="JXY43" s="56"/>
      <c r="JXZ43" s="56"/>
      <c r="JYA43" s="56"/>
      <c r="JYB43" s="56"/>
      <c r="JYC43" s="56"/>
      <c r="JYD43" s="56"/>
      <c r="JYE43" s="56"/>
      <c r="JYF43" s="56"/>
      <c r="JYG43" s="56"/>
      <c r="JYH43" s="56"/>
      <c r="JYI43" s="56"/>
      <c r="JYJ43" s="56"/>
      <c r="JYK43" s="56"/>
      <c r="JYL43" s="56"/>
      <c r="JYM43" s="56"/>
      <c r="JYN43" s="56"/>
      <c r="JYO43" s="56"/>
      <c r="JYP43" s="56"/>
      <c r="JYQ43" s="56"/>
      <c r="JYR43" s="56"/>
      <c r="JYS43" s="56"/>
      <c r="JYT43" s="56"/>
      <c r="JYU43" s="56"/>
      <c r="JYV43" s="56"/>
      <c r="JYW43" s="56"/>
      <c r="JYX43" s="56"/>
      <c r="JYY43" s="56"/>
      <c r="JYZ43" s="56"/>
      <c r="JZA43" s="56"/>
      <c r="JZB43" s="56"/>
      <c r="JZC43" s="56"/>
      <c r="JZD43" s="56"/>
      <c r="JZE43" s="56"/>
      <c r="JZF43" s="56"/>
      <c r="JZG43" s="56"/>
      <c r="JZH43" s="56"/>
      <c r="JZI43" s="56"/>
      <c r="JZJ43" s="56"/>
      <c r="JZK43" s="56"/>
      <c r="JZL43" s="56"/>
      <c r="JZM43" s="56"/>
      <c r="JZN43" s="56"/>
      <c r="JZO43" s="56"/>
      <c r="JZP43" s="56"/>
      <c r="JZQ43" s="56"/>
      <c r="JZR43" s="56"/>
      <c r="JZS43" s="56"/>
      <c r="JZT43" s="56"/>
      <c r="JZU43" s="56"/>
      <c r="JZV43" s="56"/>
      <c r="JZW43" s="56"/>
      <c r="JZX43" s="56"/>
      <c r="JZY43" s="56"/>
      <c r="JZZ43" s="56"/>
      <c r="KAA43" s="56"/>
      <c r="KAB43" s="56"/>
      <c r="KAC43" s="56"/>
      <c r="KAD43" s="56"/>
      <c r="KAE43" s="56"/>
      <c r="KAF43" s="56"/>
      <c r="KAG43" s="56"/>
      <c r="KAH43" s="56"/>
      <c r="KAI43" s="56"/>
      <c r="KAJ43" s="56"/>
      <c r="KAK43" s="56"/>
      <c r="KAL43" s="56"/>
      <c r="KAM43" s="56"/>
      <c r="KAN43" s="56"/>
      <c r="KAO43" s="56"/>
      <c r="KAP43" s="56"/>
      <c r="KAQ43" s="56"/>
      <c r="KAR43" s="56"/>
      <c r="KAS43" s="56"/>
      <c r="KAT43" s="56"/>
      <c r="KAU43" s="56"/>
      <c r="KAV43" s="56"/>
      <c r="KAW43" s="56"/>
      <c r="KAX43" s="56"/>
      <c r="KAY43" s="56"/>
      <c r="KAZ43" s="56"/>
      <c r="KBA43" s="56"/>
      <c r="KBB43" s="56"/>
      <c r="KBC43" s="56"/>
      <c r="KBD43" s="56"/>
      <c r="KBE43" s="56"/>
      <c r="KBF43" s="56"/>
      <c r="KBG43" s="56"/>
      <c r="KBH43" s="56"/>
      <c r="KBI43" s="56"/>
      <c r="KBJ43" s="56"/>
      <c r="KBK43" s="56"/>
      <c r="KBL43" s="56"/>
      <c r="KBM43" s="56"/>
      <c r="KBN43" s="56"/>
      <c r="KBO43" s="56"/>
      <c r="KBP43" s="56"/>
      <c r="KBQ43" s="56"/>
      <c r="KBR43" s="56"/>
      <c r="KBS43" s="56"/>
      <c r="KBT43" s="56"/>
      <c r="KBU43" s="56"/>
      <c r="KBV43" s="56"/>
      <c r="KBW43" s="56"/>
      <c r="KBX43" s="56"/>
      <c r="KBY43" s="56"/>
      <c r="KBZ43" s="56"/>
      <c r="KCA43" s="56"/>
      <c r="KCB43" s="56"/>
      <c r="KCC43" s="56"/>
      <c r="KCD43" s="56"/>
      <c r="KCE43" s="56"/>
      <c r="KCF43" s="56"/>
      <c r="KCG43" s="56"/>
      <c r="KCH43" s="56"/>
      <c r="KCI43" s="56"/>
      <c r="KCJ43" s="56"/>
      <c r="KCK43" s="56"/>
      <c r="KCL43" s="56"/>
      <c r="KCM43" s="56"/>
      <c r="KCN43" s="56"/>
      <c r="KCO43" s="56"/>
      <c r="KCP43" s="56"/>
      <c r="KCQ43" s="56"/>
      <c r="KCR43" s="56"/>
      <c r="KCS43" s="56"/>
      <c r="KCT43" s="56"/>
      <c r="KCU43" s="56"/>
      <c r="KCV43" s="56"/>
      <c r="KCW43" s="56"/>
      <c r="KCX43" s="56"/>
      <c r="KCY43" s="56"/>
      <c r="KCZ43" s="56"/>
      <c r="KDA43" s="56"/>
      <c r="KDB43" s="56"/>
      <c r="KDC43" s="56"/>
      <c r="KDD43" s="56"/>
      <c r="KDE43" s="56"/>
      <c r="KDF43" s="56"/>
      <c r="KDG43" s="56"/>
      <c r="KDH43" s="56"/>
      <c r="KDI43" s="56"/>
      <c r="KDJ43" s="56"/>
      <c r="KDK43" s="56"/>
      <c r="KDL43" s="56"/>
      <c r="KDM43" s="56"/>
      <c r="KDN43" s="56"/>
      <c r="KDO43" s="56"/>
      <c r="KDP43" s="56"/>
      <c r="KDQ43" s="56"/>
      <c r="KDR43" s="56"/>
      <c r="KDS43" s="56"/>
      <c r="KDT43" s="56"/>
      <c r="KDU43" s="56"/>
      <c r="KDV43" s="56"/>
      <c r="KDW43" s="56"/>
      <c r="KDX43" s="56"/>
      <c r="KDY43" s="56"/>
      <c r="KDZ43" s="56"/>
      <c r="KEA43" s="56"/>
      <c r="KEB43" s="56"/>
      <c r="KEC43" s="56"/>
      <c r="KED43" s="56"/>
      <c r="KEE43" s="56"/>
      <c r="KEF43" s="56"/>
      <c r="KEG43" s="56"/>
      <c r="KEH43" s="56"/>
      <c r="KEI43" s="56"/>
      <c r="KEJ43" s="56"/>
      <c r="KEK43" s="56"/>
      <c r="KEL43" s="56"/>
      <c r="KEM43" s="56"/>
      <c r="KEN43" s="56"/>
      <c r="KEO43" s="56"/>
      <c r="KEP43" s="56"/>
      <c r="KEQ43" s="56"/>
      <c r="KER43" s="56"/>
      <c r="KES43" s="56"/>
      <c r="KET43" s="56"/>
      <c r="KEU43" s="56"/>
      <c r="KEV43" s="56"/>
      <c r="KEW43" s="56"/>
      <c r="KEX43" s="56"/>
      <c r="KEY43" s="56"/>
      <c r="KEZ43" s="56"/>
      <c r="KFA43" s="56"/>
      <c r="KFB43" s="56"/>
      <c r="KFC43" s="56"/>
      <c r="KFD43" s="56"/>
      <c r="KFE43" s="56"/>
      <c r="KFF43" s="56"/>
      <c r="KFG43" s="56"/>
      <c r="KFH43" s="56"/>
      <c r="KFI43" s="56"/>
      <c r="KFJ43" s="56"/>
      <c r="KFK43" s="56"/>
      <c r="KFL43" s="56"/>
      <c r="KFM43" s="56"/>
      <c r="KFN43" s="56"/>
      <c r="KFO43" s="56"/>
      <c r="KFP43" s="56"/>
      <c r="KFQ43" s="56"/>
      <c r="KFR43" s="56"/>
      <c r="KFS43" s="56"/>
      <c r="KFT43" s="56"/>
      <c r="KFU43" s="56"/>
      <c r="KFV43" s="56"/>
      <c r="KFW43" s="56"/>
      <c r="KFX43" s="56"/>
      <c r="KFY43" s="56"/>
      <c r="KFZ43" s="56"/>
      <c r="KGA43" s="56"/>
      <c r="KGB43" s="56"/>
      <c r="KGC43" s="56"/>
      <c r="KGD43" s="56"/>
      <c r="KGE43" s="56"/>
      <c r="KGF43" s="56"/>
      <c r="KGG43" s="56"/>
      <c r="KGH43" s="56"/>
      <c r="KGI43" s="56"/>
      <c r="KGJ43" s="56"/>
      <c r="KGK43" s="56"/>
      <c r="KGL43" s="56"/>
      <c r="KGM43" s="56"/>
      <c r="KGN43" s="56"/>
      <c r="KGO43" s="56"/>
      <c r="KGP43" s="56"/>
      <c r="KGQ43" s="56"/>
      <c r="KGR43" s="56"/>
      <c r="KGS43" s="56"/>
      <c r="KGT43" s="56"/>
      <c r="KGU43" s="56"/>
      <c r="KGV43" s="56"/>
      <c r="KGW43" s="56"/>
      <c r="KGX43" s="56"/>
      <c r="KGY43" s="56"/>
      <c r="KGZ43" s="56"/>
      <c r="KHA43" s="56"/>
      <c r="KHB43" s="56"/>
      <c r="KHC43" s="56"/>
      <c r="KHD43" s="56"/>
      <c r="KHE43" s="56"/>
      <c r="KHF43" s="56"/>
      <c r="KHG43" s="56"/>
      <c r="KHH43" s="56"/>
      <c r="KHI43" s="56"/>
      <c r="KHJ43" s="56"/>
      <c r="KHK43" s="56"/>
      <c r="KHL43" s="56"/>
      <c r="KHM43" s="56"/>
      <c r="KHN43" s="56"/>
      <c r="KHO43" s="56"/>
      <c r="KHP43" s="56"/>
      <c r="KHQ43" s="56"/>
      <c r="KHR43" s="56"/>
      <c r="KHS43" s="56"/>
      <c r="KHT43" s="56"/>
      <c r="KHU43" s="56"/>
      <c r="KHV43" s="56"/>
      <c r="KHW43" s="56"/>
      <c r="KHX43" s="56"/>
      <c r="KHY43" s="56"/>
      <c r="KHZ43" s="56"/>
      <c r="KIA43" s="56"/>
      <c r="KIB43" s="56"/>
      <c r="KIC43" s="56"/>
      <c r="KID43" s="56"/>
      <c r="KIE43" s="56"/>
      <c r="KIF43" s="56"/>
      <c r="KIG43" s="56"/>
      <c r="KIH43" s="56"/>
      <c r="KII43" s="56"/>
      <c r="KIJ43" s="56"/>
      <c r="KIK43" s="56"/>
      <c r="KIL43" s="56"/>
      <c r="KIM43" s="56"/>
      <c r="KIN43" s="56"/>
      <c r="KIO43" s="56"/>
      <c r="KIP43" s="56"/>
      <c r="KIQ43" s="56"/>
      <c r="KIR43" s="56"/>
      <c r="KIS43" s="56"/>
      <c r="KIT43" s="56"/>
      <c r="KIU43" s="56"/>
      <c r="KIV43" s="56"/>
      <c r="KIW43" s="56"/>
      <c r="KIX43" s="56"/>
      <c r="KIY43" s="56"/>
      <c r="KIZ43" s="56"/>
      <c r="KJA43" s="56"/>
      <c r="KJB43" s="56"/>
      <c r="KJC43" s="56"/>
      <c r="KJD43" s="56"/>
      <c r="KJE43" s="56"/>
      <c r="KJF43" s="56"/>
      <c r="KJG43" s="56"/>
      <c r="KJH43" s="56"/>
      <c r="KJI43" s="56"/>
      <c r="KJJ43" s="56"/>
      <c r="KJK43" s="56"/>
      <c r="KJL43" s="56"/>
      <c r="KJM43" s="56"/>
      <c r="KJN43" s="56"/>
      <c r="KJO43" s="56"/>
      <c r="KJP43" s="56"/>
      <c r="KJQ43" s="56"/>
      <c r="KJR43" s="56"/>
      <c r="KJS43" s="56"/>
      <c r="KJT43" s="56"/>
      <c r="KJU43" s="56"/>
      <c r="KJV43" s="56"/>
      <c r="KJW43" s="56"/>
      <c r="KJX43" s="56"/>
      <c r="KJY43" s="56"/>
      <c r="KJZ43" s="56"/>
      <c r="KKA43" s="56"/>
      <c r="KKB43" s="56"/>
      <c r="KKC43" s="56"/>
      <c r="KKD43" s="56"/>
      <c r="KKE43" s="56"/>
      <c r="KKF43" s="56"/>
      <c r="KKG43" s="56"/>
      <c r="KKH43" s="56"/>
      <c r="KKI43" s="56"/>
      <c r="KKJ43" s="56"/>
      <c r="KKK43" s="56"/>
      <c r="KKL43" s="56"/>
      <c r="KKM43" s="56"/>
      <c r="KKN43" s="56"/>
      <c r="KKO43" s="56"/>
      <c r="KKP43" s="56"/>
      <c r="KKQ43" s="56"/>
      <c r="KKR43" s="56"/>
      <c r="KKS43" s="56"/>
      <c r="KKT43" s="56"/>
      <c r="KKU43" s="56"/>
      <c r="KKV43" s="56"/>
      <c r="KKW43" s="56"/>
      <c r="KKX43" s="56"/>
      <c r="KKY43" s="56"/>
      <c r="KKZ43" s="56"/>
      <c r="KLA43" s="56"/>
      <c r="KLB43" s="56"/>
      <c r="KLC43" s="56"/>
      <c r="KLD43" s="56"/>
      <c r="KLE43" s="56"/>
      <c r="KLF43" s="56"/>
      <c r="KLG43" s="56"/>
      <c r="KLH43" s="56"/>
      <c r="KLI43" s="56"/>
      <c r="KLJ43" s="56"/>
      <c r="KLK43" s="56"/>
      <c r="KLL43" s="56"/>
      <c r="KLM43" s="56"/>
      <c r="KLN43" s="56"/>
      <c r="KLO43" s="56"/>
      <c r="KLP43" s="56"/>
      <c r="KLQ43" s="56"/>
      <c r="KLR43" s="56"/>
      <c r="KLS43" s="56"/>
      <c r="KLT43" s="56"/>
      <c r="KLU43" s="56"/>
      <c r="KLV43" s="56"/>
      <c r="KLW43" s="56"/>
      <c r="KLX43" s="56"/>
      <c r="KLY43" s="56"/>
      <c r="KLZ43" s="56"/>
      <c r="KMA43" s="56"/>
      <c r="KMB43" s="56"/>
      <c r="KMC43" s="56"/>
      <c r="KMD43" s="56"/>
      <c r="KME43" s="56"/>
      <c r="KMF43" s="56"/>
      <c r="KMG43" s="56"/>
      <c r="KMH43" s="56"/>
      <c r="KMI43" s="56"/>
      <c r="KMJ43" s="56"/>
      <c r="KMK43" s="56"/>
      <c r="KML43" s="56"/>
      <c r="KMM43" s="56"/>
      <c r="KMN43" s="56"/>
      <c r="KMO43" s="56"/>
      <c r="KMP43" s="56"/>
      <c r="KMQ43" s="56"/>
      <c r="KMR43" s="56"/>
      <c r="KMS43" s="56"/>
      <c r="KMT43" s="56"/>
      <c r="KMU43" s="56"/>
      <c r="KMV43" s="56"/>
      <c r="KMW43" s="56"/>
      <c r="KMX43" s="56"/>
      <c r="KMY43" s="56"/>
      <c r="KMZ43" s="56"/>
      <c r="KNA43" s="56"/>
      <c r="KNB43" s="56"/>
      <c r="KNC43" s="56"/>
      <c r="KND43" s="56"/>
      <c r="KNE43" s="56"/>
      <c r="KNF43" s="56"/>
      <c r="KNG43" s="56"/>
      <c r="KNH43" s="56"/>
      <c r="KNI43" s="56"/>
      <c r="KNJ43" s="56"/>
      <c r="KNK43" s="56"/>
      <c r="KNL43" s="56"/>
      <c r="KNM43" s="56"/>
      <c r="KNN43" s="56"/>
      <c r="KNO43" s="56"/>
      <c r="KNP43" s="56"/>
      <c r="KNQ43" s="56"/>
      <c r="KNR43" s="56"/>
      <c r="KNS43" s="56"/>
      <c r="KNT43" s="56"/>
      <c r="KNU43" s="56"/>
      <c r="KNV43" s="56"/>
      <c r="KNW43" s="56"/>
      <c r="KNX43" s="56"/>
      <c r="KNY43" s="56"/>
      <c r="KNZ43" s="56"/>
      <c r="KOA43" s="56"/>
      <c r="KOB43" s="56"/>
      <c r="KOC43" s="56"/>
      <c r="KOD43" s="56"/>
      <c r="KOE43" s="56"/>
      <c r="KOF43" s="56"/>
      <c r="KOG43" s="56"/>
      <c r="KOH43" s="56"/>
      <c r="KOI43" s="56"/>
      <c r="KOJ43" s="56"/>
      <c r="KOK43" s="56"/>
      <c r="KOL43" s="56"/>
      <c r="KOM43" s="56"/>
      <c r="KON43" s="56"/>
      <c r="KOO43" s="56"/>
      <c r="KOP43" s="56"/>
      <c r="KOQ43" s="56"/>
      <c r="KOR43" s="56"/>
      <c r="KOS43" s="56"/>
      <c r="KOT43" s="56"/>
      <c r="KOU43" s="56"/>
      <c r="KOV43" s="56"/>
      <c r="KOW43" s="56"/>
      <c r="KOX43" s="56"/>
      <c r="KOY43" s="56"/>
      <c r="KOZ43" s="56"/>
      <c r="KPA43" s="56"/>
      <c r="KPB43" s="56"/>
      <c r="KPC43" s="56"/>
      <c r="KPD43" s="56"/>
      <c r="KPE43" s="56"/>
      <c r="KPF43" s="56"/>
      <c r="KPG43" s="56"/>
      <c r="KPH43" s="56"/>
      <c r="KPI43" s="56"/>
      <c r="KPJ43" s="56"/>
      <c r="KPK43" s="56"/>
      <c r="KPL43" s="56"/>
      <c r="KPM43" s="56"/>
      <c r="KPN43" s="56"/>
      <c r="KPO43" s="56"/>
      <c r="KPP43" s="56"/>
      <c r="KPQ43" s="56"/>
      <c r="KPR43" s="56"/>
      <c r="KPS43" s="56"/>
      <c r="KPT43" s="56"/>
      <c r="KPU43" s="56"/>
      <c r="KPV43" s="56"/>
      <c r="KPW43" s="56"/>
      <c r="KPX43" s="56"/>
      <c r="KPY43" s="56"/>
      <c r="KPZ43" s="56"/>
      <c r="KQA43" s="56"/>
      <c r="KQB43" s="56"/>
      <c r="KQC43" s="56"/>
      <c r="KQD43" s="56"/>
      <c r="KQE43" s="56"/>
      <c r="KQF43" s="56"/>
      <c r="KQG43" s="56"/>
      <c r="KQH43" s="56"/>
      <c r="KQI43" s="56"/>
      <c r="KQJ43" s="56"/>
      <c r="KQK43" s="56"/>
      <c r="KQL43" s="56"/>
      <c r="KQM43" s="56"/>
      <c r="KQN43" s="56"/>
      <c r="KQO43" s="56"/>
      <c r="KQP43" s="56"/>
      <c r="KQQ43" s="56"/>
      <c r="KQR43" s="56"/>
      <c r="KQS43" s="56"/>
      <c r="KQT43" s="56"/>
      <c r="KQU43" s="56"/>
      <c r="KQV43" s="56"/>
      <c r="KQW43" s="56"/>
      <c r="KQX43" s="56"/>
      <c r="KQY43" s="56"/>
      <c r="KQZ43" s="56"/>
      <c r="KRA43" s="56"/>
      <c r="KRB43" s="56"/>
      <c r="KRC43" s="56"/>
      <c r="KRD43" s="56"/>
      <c r="KRE43" s="56"/>
      <c r="KRF43" s="56"/>
      <c r="KRG43" s="56"/>
      <c r="KRH43" s="56"/>
      <c r="KRI43" s="56"/>
      <c r="KRJ43" s="56"/>
      <c r="KRK43" s="56"/>
      <c r="KRL43" s="56"/>
      <c r="KRM43" s="56"/>
      <c r="KRN43" s="56"/>
      <c r="KRO43" s="56"/>
      <c r="KRP43" s="56"/>
      <c r="KRQ43" s="56"/>
      <c r="KRR43" s="56"/>
      <c r="KRS43" s="56"/>
      <c r="KRT43" s="56"/>
      <c r="KRU43" s="56"/>
      <c r="KRV43" s="56"/>
      <c r="KRW43" s="56"/>
      <c r="KRX43" s="56"/>
      <c r="KRY43" s="56"/>
      <c r="KRZ43" s="56"/>
      <c r="KSA43" s="56"/>
      <c r="KSB43" s="56"/>
      <c r="KSC43" s="56"/>
      <c r="KSD43" s="56"/>
      <c r="KSE43" s="56"/>
      <c r="KSF43" s="56"/>
      <c r="KSG43" s="56"/>
      <c r="KSH43" s="56"/>
      <c r="KSI43" s="56"/>
      <c r="KSJ43" s="56"/>
      <c r="KSK43" s="56"/>
      <c r="KSL43" s="56"/>
      <c r="KSM43" s="56"/>
      <c r="KSN43" s="56"/>
      <c r="KSO43" s="56"/>
      <c r="KSP43" s="56"/>
      <c r="KSQ43" s="56"/>
      <c r="KSR43" s="56"/>
      <c r="KSS43" s="56"/>
      <c r="KST43" s="56"/>
      <c r="KSU43" s="56"/>
      <c r="KSV43" s="56"/>
      <c r="KSW43" s="56"/>
      <c r="KSX43" s="56"/>
      <c r="KSY43" s="56"/>
      <c r="KSZ43" s="56"/>
      <c r="KTA43" s="56"/>
      <c r="KTB43" s="56"/>
      <c r="KTC43" s="56"/>
      <c r="KTD43" s="56"/>
      <c r="KTE43" s="56"/>
      <c r="KTF43" s="56"/>
      <c r="KTG43" s="56"/>
      <c r="KTH43" s="56"/>
      <c r="KTI43" s="56"/>
      <c r="KTJ43" s="56"/>
      <c r="KTK43" s="56"/>
      <c r="KTL43" s="56"/>
      <c r="KTM43" s="56"/>
      <c r="KTN43" s="56"/>
      <c r="KTO43" s="56"/>
      <c r="KTP43" s="56"/>
      <c r="KTQ43" s="56"/>
      <c r="KTR43" s="56"/>
      <c r="KTS43" s="56"/>
      <c r="KTT43" s="56"/>
      <c r="KTU43" s="56"/>
      <c r="KTV43" s="56"/>
      <c r="KTW43" s="56"/>
      <c r="KTX43" s="56"/>
      <c r="KTY43" s="56"/>
      <c r="KTZ43" s="56"/>
      <c r="KUA43" s="56"/>
      <c r="KUB43" s="56"/>
      <c r="KUC43" s="56"/>
      <c r="KUD43" s="56"/>
      <c r="KUE43" s="56"/>
      <c r="KUF43" s="56"/>
      <c r="KUG43" s="56"/>
      <c r="KUH43" s="56"/>
      <c r="KUI43" s="56"/>
      <c r="KUJ43" s="56"/>
      <c r="KUK43" s="56"/>
      <c r="KUL43" s="56"/>
      <c r="KUM43" s="56"/>
      <c r="KUN43" s="56"/>
      <c r="KUO43" s="56"/>
      <c r="KUP43" s="56"/>
      <c r="KUQ43" s="56"/>
      <c r="KUR43" s="56"/>
      <c r="KUS43" s="56"/>
      <c r="KUT43" s="56"/>
      <c r="KUU43" s="56"/>
      <c r="KUV43" s="56"/>
      <c r="KUW43" s="56"/>
      <c r="KUX43" s="56"/>
      <c r="KUY43" s="56"/>
      <c r="KUZ43" s="56"/>
      <c r="KVA43" s="56"/>
      <c r="KVB43" s="56"/>
      <c r="KVC43" s="56"/>
      <c r="KVD43" s="56"/>
      <c r="KVE43" s="56"/>
      <c r="KVF43" s="56"/>
      <c r="KVG43" s="56"/>
      <c r="KVH43" s="56"/>
      <c r="KVI43" s="56"/>
      <c r="KVJ43" s="56"/>
      <c r="KVK43" s="56"/>
      <c r="KVL43" s="56"/>
      <c r="KVM43" s="56"/>
      <c r="KVN43" s="56"/>
      <c r="KVO43" s="56"/>
      <c r="KVP43" s="56"/>
      <c r="KVQ43" s="56"/>
      <c r="KVR43" s="56"/>
      <c r="KVS43" s="56"/>
      <c r="KVT43" s="56"/>
      <c r="KVU43" s="56"/>
      <c r="KVV43" s="56"/>
      <c r="KVW43" s="56"/>
      <c r="KVX43" s="56"/>
      <c r="KVY43" s="56"/>
      <c r="KVZ43" s="56"/>
      <c r="KWA43" s="56"/>
      <c r="KWB43" s="56"/>
      <c r="KWC43" s="56"/>
      <c r="KWD43" s="56"/>
      <c r="KWE43" s="56"/>
      <c r="KWF43" s="56"/>
      <c r="KWG43" s="56"/>
      <c r="KWH43" s="56"/>
      <c r="KWI43" s="56"/>
      <c r="KWJ43" s="56"/>
      <c r="KWK43" s="56"/>
      <c r="KWL43" s="56"/>
      <c r="KWM43" s="56"/>
      <c r="KWN43" s="56"/>
      <c r="KWO43" s="56"/>
      <c r="KWP43" s="56"/>
      <c r="KWQ43" s="56"/>
      <c r="KWR43" s="56"/>
      <c r="KWS43" s="56"/>
      <c r="KWT43" s="56"/>
      <c r="KWU43" s="56"/>
      <c r="KWV43" s="56"/>
      <c r="KWW43" s="56"/>
      <c r="KWX43" s="56"/>
      <c r="KWY43" s="56"/>
      <c r="KWZ43" s="56"/>
      <c r="KXA43" s="56"/>
      <c r="KXB43" s="56"/>
      <c r="KXC43" s="56"/>
      <c r="KXD43" s="56"/>
      <c r="KXE43" s="56"/>
      <c r="KXF43" s="56"/>
      <c r="KXG43" s="56"/>
      <c r="KXH43" s="56"/>
      <c r="KXI43" s="56"/>
      <c r="KXJ43" s="56"/>
      <c r="KXK43" s="56"/>
      <c r="KXL43" s="56"/>
      <c r="KXM43" s="56"/>
      <c r="KXN43" s="56"/>
      <c r="KXO43" s="56"/>
      <c r="KXP43" s="56"/>
      <c r="KXQ43" s="56"/>
      <c r="KXR43" s="56"/>
      <c r="KXS43" s="56"/>
      <c r="KXT43" s="56"/>
      <c r="KXU43" s="56"/>
      <c r="KXV43" s="56"/>
      <c r="KXW43" s="56"/>
      <c r="KXX43" s="56"/>
      <c r="KXY43" s="56"/>
      <c r="KXZ43" s="56"/>
      <c r="KYA43" s="56"/>
      <c r="KYB43" s="56"/>
      <c r="KYC43" s="56"/>
      <c r="KYD43" s="56"/>
      <c r="KYE43" s="56"/>
      <c r="KYF43" s="56"/>
      <c r="KYG43" s="56"/>
      <c r="KYH43" s="56"/>
      <c r="KYI43" s="56"/>
      <c r="KYJ43" s="56"/>
      <c r="KYK43" s="56"/>
      <c r="KYL43" s="56"/>
      <c r="KYM43" s="56"/>
      <c r="KYN43" s="56"/>
      <c r="KYO43" s="56"/>
      <c r="KYP43" s="56"/>
      <c r="KYQ43" s="56"/>
      <c r="KYR43" s="56"/>
      <c r="KYS43" s="56"/>
      <c r="KYT43" s="56"/>
      <c r="KYU43" s="56"/>
      <c r="KYV43" s="56"/>
      <c r="KYW43" s="56"/>
      <c r="KYX43" s="56"/>
      <c r="KYY43" s="56"/>
      <c r="KYZ43" s="56"/>
      <c r="KZA43" s="56"/>
      <c r="KZB43" s="56"/>
      <c r="KZC43" s="56"/>
      <c r="KZD43" s="56"/>
      <c r="KZE43" s="56"/>
      <c r="KZF43" s="56"/>
      <c r="KZG43" s="56"/>
      <c r="KZH43" s="56"/>
      <c r="KZI43" s="56"/>
      <c r="KZJ43" s="56"/>
      <c r="KZK43" s="56"/>
      <c r="KZL43" s="56"/>
      <c r="KZM43" s="56"/>
      <c r="KZN43" s="56"/>
      <c r="KZO43" s="56"/>
      <c r="KZP43" s="56"/>
      <c r="KZQ43" s="56"/>
      <c r="KZR43" s="56"/>
      <c r="KZS43" s="56"/>
      <c r="KZT43" s="56"/>
      <c r="KZU43" s="56"/>
      <c r="KZV43" s="56"/>
      <c r="KZW43" s="56"/>
      <c r="KZX43" s="56"/>
      <c r="KZY43" s="56"/>
      <c r="KZZ43" s="56"/>
      <c r="LAA43" s="56"/>
      <c r="LAB43" s="56"/>
      <c r="LAC43" s="56"/>
      <c r="LAD43" s="56"/>
      <c r="LAE43" s="56"/>
      <c r="LAF43" s="56"/>
      <c r="LAG43" s="56"/>
      <c r="LAH43" s="56"/>
      <c r="LAI43" s="56"/>
      <c r="LAJ43" s="56"/>
      <c r="LAK43" s="56"/>
      <c r="LAL43" s="56"/>
      <c r="LAM43" s="56"/>
      <c r="LAN43" s="56"/>
      <c r="LAO43" s="56"/>
      <c r="LAP43" s="56"/>
      <c r="LAQ43" s="56"/>
      <c r="LAR43" s="56"/>
      <c r="LAS43" s="56"/>
      <c r="LAT43" s="56"/>
      <c r="LAU43" s="56"/>
      <c r="LAV43" s="56"/>
      <c r="LAW43" s="56"/>
      <c r="LAX43" s="56"/>
      <c r="LAY43" s="56"/>
      <c r="LAZ43" s="56"/>
      <c r="LBA43" s="56"/>
      <c r="LBB43" s="56"/>
      <c r="LBC43" s="56"/>
      <c r="LBD43" s="56"/>
      <c r="LBE43" s="56"/>
      <c r="LBF43" s="56"/>
      <c r="LBG43" s="56"/>
      <c r="LBH43" s="56"/>
      <c r="LBI43" s="56"/>
      <c r="LBJ43" s="56"/>
      <c r="LBK43" s="56"/>
      <c r="LBL43" s="56"/>
      <c r="LBM43" s="56"/>
      <c r="LBN43" s="56"/>
      <c r="LBO43" s="56"/>
      <c r="LBP43" s="56"/>
      <c r="LBQ43" s="56"/>
      <c r="LBR43" s="56"/>
      <c r="LBS43" s="56"/>
      <c r="LBT43" s="56"/>
      <c r="LBU43" s="56"/>
      <c r="LBV43" s="56"/>
      <c r="LBW43" s="56"/>
      <c r="LBX43" s="56"/>
      <c r="LBY43" s="56"/>
      <c r="LBZ43" s="56"/>
      <c r="LCA43" s="56"/>
      <c r="LCB43" s="56"/>
      <c r="LCC43" s="56"/>
      <c r="LCD43" s="56"/>
      <c r="LCE43" s="56"/>
      <c r="LCF43" s="56"/>
      <c r="LCG43" s="56"/>
      <c r="LCH43" s="56"/>
      <c r="LCI43" s="56"/>
      <c r="LCJ43" s="56"/>
      <c r="LCK43" s="56"/>
      <c r="LCL43" s="56"/>
      <c r="LCM43" s="56"/>
      <c r="LCN43" s="56"/>
      <c r="LCO43" s="56"/>
      <c r="LCP43" s="56"/>
      <c r="LCQ43" s="56"/>
      <c r="LCR43" s="56"/>
      <c r="LCS43" s="56"/>
      <c r="LCT43" s="56"/>
      <c r="LCU43" s="56"/>
      <c r="LCV43" s="56"/>
      <c r="LCW43" s="56"/>
      <c r="LCX43" s="56"/>
      <c r="LCY43" s="56"/>
      <c r="LCZ43" s="56"/>
      <c r="LDA43" s="56"/>
      <c r="LDB43" s="56"/>
      <c r="LDC43" s="56"/>
      <c r="LDD43" s="56"/>
      <c r="LDE43" s="56"/>
      <c r="LDF43" s="56"/>
      <c r="LDG43" s="56"/>
      <c r="LDH43" s="56"/>
      <c r="LDI43" s="56"/>
      <c r="LDJ43" s="56"/>
      <c r="LDK43" s="56"/>
      <c r="LDL43" s="56"/>
      <c r="LDM43" s="56"/>
      <c r="LDN43" s="56"/>
      <c r="LDO43" s="56"/>
      <c r="LDP43" s="56"/>
      <c r="LDQ43" s="56"/>
      <c r="LDR43" s="56"/>
      <c r="LDS43" s="56"/>
      <c r="LDT43" s="56"/>
      <c r="LDU43" s="56"/>
      <c r="LDV43" s="56"/>
      <c r="LDW43" s="56"/>
      <c r="LDX43" s="56"/>
      <c r="LDY43" s="56"/>
      <c r="LDZ43" s="56"/>
      <c r="LEA43" s="56"/>
      <c r="LEB43" s="56"/>
      <c r="LEC43" s="56"/>
      <c r="LED43" s="56"/>
      <c r="LEE43" s="56"/>
      <c r="LEF43" s="56"/>
      <c r="LEG43" s="56"/>
      <c r="LEH43" s="56"/>
      <c r="LEI43" s="56"/>
      <c r="LEJ43" s="56"/>
      <c r="LEK43" s="56"/>
      <c r="LEL43" s="56"/>
      <c r="LEM43" s="56"/>
      <c r="LEN43" s="56"/>
      <c r="LEO43" s="56"/>
      <c r="LEP43" s="56"/>
      <c r="LEQ43" s="56"/>
      <c r="LER43" s="56"/>
      <c r="LES43" s="56"/>
      <c r="LET43" s="56"/>
      <c r="LEU43" s="56"/>
      <c r="LEV43" s="56"/>
      <c r="LEW43" s="56"/>
      <c r="LEX43" s="56"/>
      <c r="LEY43" s="56"/>
      <c r="LEZ43" s="56"/>
      <c r="LFA43" s="56"/>
      <c r="LFB43" s="56"/>
      <c r="LFC43" s="56"/>
      <c r="LFD43" s="56"/>
      <c r="LFE43" s="56"/>
      <c r="LFF43" s="56"/>
      <c r="LFG43" s="56"/>
      <c r="LFH43" s="56"/>
      <c r="LFI43" s="56"/>
      <c r="LFJ43" s="56"/>
      <c r="LFK43" s="56"/>
      <c r="LFL43" s="56"/>
      <c r="LFM43" s="56"/>
      <c r="LFN43" s="56"/>
      <c r="LFO43" s="56"/>
      <c r="LFP43" s="56"/>
      <c r="LFQ43" s="56"/>
      <c r="LFR43" s="56"/>
      <c r="LFS43" s="56"/>
      <c r="LFT43" s="56"/>
      <c r="LFU43" s="56"/>
      <c r="LFV43" s="56"/>
      <c r="LFW43" s="56"/>
      <c r="LFX43" s="56"/>
      <c r="LFY43" s="56"/>
      <c r="LFZ43" s="56"/>
      <c r="LGA43" s="56"/>
      <c r="LGB43" s="56"/>
      <c r="LGC43" s="56"/>
      <c r="LGD43" s="56"/>
      <c r="LGE43" s="56"/>
      <c r="LGF43" s="56"/>
      <c r="LGG43" s="56"/>
      <c r="LGH43" s="56"/>
      <c r="LGI43" s="56"/>
      <c r="LGJ43" s="56"/>
      <c r="LGK43" s="56"/>
      <c r="LGL43" s="56"/>
      <c r="LGM43" s="56"/>
      <c r="LGN43" s="56"/>
      <c r="LGO43" s="56"/>
      <c r="LGP43" s="56"/>
      <c r="LGQ43" s="56"/>
      <c r="LGR43" s="56"/>
      <c r="LGS43" s="56"/>
      <c r="LGT43" s="56"/>
      <c r="LGU43" s="56"/>
      <c r="LGV43" s="56"/>
      <c r="LGW43" s="56"/>
      <c r="LGX43" s="56"/>
      <c r="LGY43" s="56"/>
      <c r="LGZ43" s="56"/>
      <c r="LHA43" s="56"/>
      <c r="LHB43" s="56"/>
      <c r="LHC43" s="56"/>
      <c r="LHD43" s="56"/>
      <c r="LHE43" s="56"/>
      <c r="LHF43" s="56"/>
      <c r="LHG43" s="56"/>
      <c r="LHH43" s="56"/>
      <c r="LHI43" s="56"/>
      <c r="LHJ43" s="56"/>
      <c r="LHK43" s="56"/>
      <c r="LHL43" s="56"/>
      <c r="LHM43" s="56"/>
      <c r="LHN43" s="56"/>
      <c r="LHO43" s="56"/>
      <c r="LHP43" s="56"/>
      <c r="LHQ43" s="56"/>
      <c r="LHR43" s="56"/>
      <c r="LHS43" s="56"/>
      <c r="LHT43" s="56"/>
      <c r="LHU43" s="56"/>
      <c r="LHV43" s="56"/>
      <c r="LHW43" s="56"/>
      <c r="LHX43" s="56"/>
      <c r="LHY43" s="56"/>
      <c r="LHZ43" s="56"/>
      <c r="LIA43" s="56"/>
      <c r="LIB43" s="56"/>
      <c r="LIC43" s="56"/>
      <c r="LID43" s="56"/>
      <c r="LIE43" s="56"/>
      <c r="LIF43" s="56"/>
      <c r="LIG43" s="56"/>
      <c r="LIH43" s="56"/>
      <c r="LII43" s="56"/>
      <c r="LIJ43" s="56"/>
      <c r="LIK43" s="56"/>
      <c r="LIL43" s="56"/>
      <c r="LIM43" s="56"/>
      <c r="LIN43" s="56"/>
      <c r="LIO43" s="56"/>
      <c r="LIP43" s="56"/>
      <c r="LIQ43" s="56"/>
      <c r="LIR43" s="56"/>
      <c r="LIS43" s="56"/>
      <c r="LIT43" s="56"/>
      <c r="LIU43" s="56"/>
      <c r="LIV43" s="56"/>
      <c r="LIW43" s="56"/>
      <c r="LIX43" s="56"/>
      <c r="LIY43" s="56"/>
      <c r="LIZ43" s="56"/>
      <c r="LJA43" s="56"/>
      <c r="LJB43" s="56"/>
      <c r="LJC43" s="56"/>
      <c r="LJD43" s="56"/>
      <c r="LJE43" s="56"/>
      <c r="LJF43" s="56"/>
      <c r="LJG43" s="56"/>
      <c r="LJH43" s="56"/>
      <c r="LJI43" s="56"/>
      <c r="LJJ43" s="56"/>
      <c r="LJK43" s="56"/>
      <c r="LJL43" s="56"/>
      <c r="LJM43" s="56"/>
      <c r="LJN43" s="56"/>
      <c r="LJO43" s="56"/>
      <c r="LJP43" s="56"/>
      <c r="LJQ43" s="56"/>
      <c r="LJR43" s="56"/>
      <c r="LJS43" s="56"/>
      <c r="LJT43" s="56"/>
      <c r="LJU43" s="56"/>
      <c r="LJV43" s="56"/>
      <c r="LJW43" s="56"/>
      <c r="LJX43" s="56"/>
      <c r="LJY43" s="56"/>
      <c r="LJZ43" s="56"/>
      <c r="LKA43" s="56"/>
      <c r="LKB43" s="56"/>
      <c r="LKC43" s="56"/>
      <c r="LKD43" s="56"/>
      <c r="LKE43" s="56"/>
      <c r="LKF43" s="56"/>
      <c r="LKG43" s="56"/>
      <c r="LKH43" s="56"/>
      <c r="LKI43" s="56"/>
      <c r="LKJ43" s="56"/>
      <c r="LKK43" s="56"/>
      <c r="LKL43" s="56"/>
      <c r="LKM43" s="56"/>
      <c r="LKN43" s="56"/>
      <c r="LKO43" s="56"/>
      <c r="LKP43" s="56"/>
      <c r="LKQ43" s="56"/>
      <c r="LKR43" s="56"/>
      <c r="LKS43" s="56"/>
      <c r="LKT43" s="56"/>
      <c r="LKU43" s="56"/>
      <c r="LKV43" s="56"/>
      <c r="LKW43" s="56"/>
      <c r="LKX43" s="56"/>
      <c r="LKY43" s="56"/>
      <c r="LKZ43" s="56"/>
      <c r="LLA43" s="56"/>
      <c r="LLB43" s="56"/>
      <c r="LLC43" s="56"/>
      <c r="LLD43" s="56"/>
      <c r="LLE43" s="56"/>
      <c r="LLF43" s="56"/>
      <c r="LLG43" s="56"/>
      <c r="LLH43" s="56"/>
      <c r="LLI43" s="56"/>
      <c r="LLJ43" s="56"/>
      <c r="LLK43" s="56"/>
      <c r="LLL43" s="56"/>
      <c r="LLM43" s="56"/>
      <c r="LLN43" s="56"/>
      <c r="LLO43" s="56"/>
      <c r="LLP43" s="56"/>
      <c r="LLQ43" s="56"/>
      <c r="LLR43" s="56"/>
      <c r="LLS43" s="56"/>
      <c r="LLT43" s="56"/>
      <c r="LLU43" s="56"/>
      <c r="LLV43" s="56"/>
      <c r="LLW43" s="56"/>
      <c r="LLX43" s="56"/>
      <c r="LLY43" s="56"/>
      <c r="LLZ43" s="56"/>
      <c r="LMA43" s="56"/>
      <c r="LMB43" s="56"/>
      <c r="LMC43" s="56"/>
      <c r="LMD43" s="56"/>
      <c r="LME43" s="56"/>
      <c r="LMF43" s="56"/>
      <c r="LMG43" s="56"/>
      <c r="LMH43" s="56"/>
      <c r="LMI43" s="56"/>
      <c r="LMJ43" s="56"/>
      <c r="LMK43" s="56"/>
      <c r="LML43" s="56"/>
      <c r="LMM43" s="56"/>
      <c r="LMN43" s="56"/>
      <c r="LMO43" s="56"/>
      <c r="LMP43" s="56"/>
      <c r="LMQ43" s="56"/>
      <c r="LMR43" s="56"/>
      <c r="LMS43" s="56"/>
      <c r="LMT43" s="56"/>
      <c r="LMU43" s="56"/>
      <c r="LMV43" s="56"/>
      <c r="LMW43" s="56"/>
      <c r="LMX43" s="56"/>
      <c r="LMY43" s="56"/>
      <c r="LMZ43" s="56"/>
      <c r="LNA43" s="56"/>
      <c r="LNB43" s="56"/>
      <c r="LNC43" s="56"/>
      <c r="LND43" s="56"/>
      <c r="LNE43" s="56"/>
      <c r="LNF43" s="56"/>
      <c r="LNG43" s="56"/>
      <c r="LNH43" s="56"/>
      <c r="LNI43" s="56"/>
      <c r="LNJ43" s="56"/>
      <c r="LNK43" s="56"/>
      <c r="LNL43" s="56"/>
      <c r="LNM43" s="56"/>
      <c r="LNN43" s="56"/>
      <c r="LNO43" s="56"/>
      <c r="LNP43" s="56"/>
      <c r="LNQ43" s="56"/>
      <c r="LNR43" s="56"/>
      <c r="LNS43" s="56"/>
      <c r="LNT43" s="56"/>
      <c r="LNU43" s="56"/>
      <c r="LNV43" s="56"/>
      <c r="LNW43" s="56"/>
      <c r="LNX43" s="56"/>
      <c r="LNY43" s="56"/>
      <c r="LNZ43" s="56"/>
      <c r="LOA43" s="56"/>
      <c r="LOB43" s="56"/>
      <c r="LOC43" s="56"/>
      <c r="LOD43" s="56"/>
      <c r="LOE43" s="56"/>
      <c r="LOF43" s="56"/>
      <c r="LOG43" s="56"/>
      <c r="LOH43" s="56"/>
      <c r="LOI43" s="56"/>
      <c r="LOJ43" s="56"/>
      <c r="LOK43" s="56"/>
      <c r="LOL43" s="56"/>
      <c r="LOM43" s="56"/>
      <c r="LON43" s="56"/>
      <c r="LOO43" s="56"/>
      <c r="LOP43" s="56"/>
      <c r="LOQ43" s="56"/>
      <c r="LOR43" s="56"/>
      <c r="LOS43" s="56"/>
      <c r="LOT43" s="56"/>
      <c r="LOU43" s="56"/>
      <c r="LOV43" s="56"/>
      <c r="LOW43" s="56"/>
      <c r="LOX43" s="56"/>
      <c r="LOY43" s="56"/>
      <c r="LOZ43" s="56"/>
      <c r="LPA43" s="56"/>
      <c r="LPB43" s="56"/>
      <c r="LPC43" s="56"/>
      <c r="LPD43" s="56"/>
      <c r="LPE43" s="56"/>
      <c r="LPF43" s="56"/>
      <c r="LPG43" s="56"/>
      <c r="LPH43" s="56"/>
      <c r="LPI43" s="56"/>
      <c r="LPJ43" s="56"/>
      <c r="LPK43" s="56"/>
      <c r="LPL43" s="56"/>
      <c r="LPM43" s="56"/>
      <c r="LPN43" s="56"/>
      <c r="LPO43" s="56"/>
      <c r="LPP43" s="56"/>
      <c r="LPQ43" s="56"/>
      <c r="LPR43" s="56"/>
      <c r="LPS43" s="56"/>
      <c r="LPT43" s="56"/>
      <c r="LPU43" s="56"/>
      <c r="LPV43" s="56"/>
      <c r="LPW43" s="56"/>
      <c r="LPX43" s="56"/>
      <c r="LPY43" s="56"/>
      <c r="LPZ43" s="56"/>
      <c r="LQA43" s="56"/>
      <c r="LQB43" s="56"/>
      <c r="LQC43" s="56"/>
      <c r="LQD43" s="56"/>
      <c r="LQE43" s="56"/>
      <c r="LQF43" s="56"/>
      <c r="LQG43" s="56"/>
      <c r="LQH43" s="56"/>
      <c r="LQI43" s="56"/>
      <c r="LQJ43" s="56"/>
      <c r="LQK43" s="56"/>
      <c r="LQL43" s="56"/>
      <c r="LQM43" s="56"/>
      <c r="LQN43" s="56"/>
      <c r="LQO43" s="56"/>
      <c r="LQP43" s="56"/>
      <c r="LQQ43" s="56"/>
      <c r="LQR43" s="56"/>
      <c r="LQS43" s="56"/>
      <c r="LQT43" s="56"/>
      <c r="LQU43" s="56"/>
      <c r="LQV43" s="56"/>
      <c r="LQW43" s="56"/>
      <c r="LQX43" s="56"/>
      <c r="LQY43" s="56"/>
      <c r="LQZ43" s="56"/>
      <c r="LRA43" s="56"/>
      <c r="LRB43" s="56"/>
      <c r="LRC43" s="56"/>
      <c r="LRD43" s="56"/>
      <c r="LRE43" s="56"/>
      <c r="LRF43" s="56"/>
      <c r="LRG43" s="56"/>
      <c r="LRH43" s="56"/>
      <c r="LRI43" s="56"/>
      <c r="LRJ43" s="56"/>
      <c r="LRK43" s="56"/>
      <c r="LRL43" s="56"/>
      <c r="LRM43" s="56"/>
      <c r="LRN43" s="56"/>
      <c r="LRO43" s="56"/>
      <c r="LRP43" s="56"/>
      <c r="LRQ43" s="56"/>
      <c r="LRR43" s="56"/>
      <c r="LRS43" s="56"/>
      <c r="LRT43" s="56"/>
      <c r="LRU43" s="56"/>
      <c r="LRV43" s="56"/>
      <c r="LRW43" s="56"/>
      <c r="LRX43" s="56"/>
      <c r="LRY43" s="56"/>
      <c r="LRZ43" s="56"/>
      <c r="LSA43" s="56"/>
      <c r="LSB43" s="56"/>
      <c r="LSC43" s="56"/>
      <c r="LSD43" s="56"/>
      <c r="LSE43" s="56"/>
      <c r="LSF43" s="56"/>
      <c r="LSG43" s="56"/>
      <c r="LSH43" s="56"/>
      <c r="LSI43" s="56"/>
      <c r="LSJ43" s="56"/>
      <c r="LSK43" s="56"/>
      <c r="LSL43" s="56"/>
      <c r="LSM43" s="56"/>
      <c r="LSN43" s="56"/>
      <c r="LSO43" s="56"/>
      <c r="LSP43" s="56"/>
      <c r="LSQ43" s="56"/>
      <c r="LSR43" s="56"/>
      <c r="LSS43" s="56"/>
      <c r="LST43" s="56"/>
      <c r="LSU43" s="56"/>
      <c r="LSV43" s="56"/>
      <c r="LSW43" s="56"/>
      <c r="LSX43" s="56"/>
      <c r="LSY43" s="56"/>
      <c r="LSZ43" s="56"/>
      <c r="LTA43" s="56"/>
      <c r="LTB43" s="56"/>
      <c r="LTC43" s="56"/>
      <c r="LTD43" s="56"/>
      <c r="LTE43" s="56"/>
      <c r="LTF43" s="56"/>
      <c r="LTG43" s="56"/>
      <c r="LTH43" s="56"/>
      <c r="LTI43" s="56"/>
      <c r="LTJ43" s="56"/>
      <c r="LTK43" s="56"/>
      <c r="LTL43" s="56"/>
      <c r="LTM43" s="56"/>
      <c r="LTN43" s="56"/>
      <c r="LTO43" s="56"/>
      <c r="LTP43" s="56"/>
      <c r="LTQ43" s="56"/>
      <c r="LTR43" s="56"/>
      <c r="LTS43" s="56"/>
      <c r="LTT43" s="56"/>
      <c r="LTU43" s="56"/>
      <c r="LTV43" s="56"/>
      <c r="LTW43" s="56"/>
      <c r="LTX43" s="56"/>
      <c r="LTY43" s="56"/>
      <c r="LTZ43" s="56"/>
      <c r="LUA43" s="56"/>
      <c r="LUB43" s="56"/>
      <c r="LUC43" s="56"/>
      <c r="LUD43" s="56"/>
      <c r="LUE43" s="56"/>
      <c r="LUF43" s="56"/>
      <c r="LUG43" s="56"/>
      <c r="LUH43" s="56"/>
      <c r="LUI43" s="56"/>
      <c r="LUJ43" s="56"/>
      <c r="LUK43" s="56"/>
      <c r="LUL43" s="56"/>
      <c r="LUM43" s="56"/>
      <c r="LUN43" s="56"/>
      <c r="LUO43" s="56"/>
      <c r="LUP43" s="56"/>
      <c r="LUQ43" s="56"/>
      <c r="LUR43" s="56"/>
      <c r="LUS43" s="56"/>
      <c r="LUT43" s="56"/>
      <c r="LUU43" s="56"/>
      <c r="LUV43" s="56"/>
      <c r="LUW43" s="56"/>
      <c r="LUX43" s="56"/>
      <c r="LUY43" s="56"/>
      <c r="LUZ43" s="56"/>
      <c r="LVA43" s="56"/>
      <c r="LVB43" s="56"/>
      <c r="LVC43" s="56"/>
      <c r="LVD43" s="56"/>
      <c r="LVE43" s="56"/>
      <c r="LVF43" s="56"/>
      <c r="LVG43" s="56"/>
      <c r="LVH43" s="56"/>
      <c r="LVI43" s="56"/>
      <c r="LVJ43" s="56"/>
      <c r="LVK43" s="56"/>
      <c r="LVL43" s="56"/>
      <c r="LVM43" s="56"/>
      <c r="LVN43" s="56"/>
      <c r="LVO43" s="56"/>
      <c r="LVP43" s="56"/>
      <c r="LVQ43" s="56"/>
      <c r="LVR43" s="56"/>
      <c r="LVS43" s="56"/>
      <c r="LVT43" s="56"/>
      <c r="LVU43" s="56"/>
      <c r="LVV43" s="56"/>
      <c r="LVW43" s="56"/>
      <c r="LVX43" s="56"/>
      <c r="LVY43" s="56"/>
      <c r="LVZ43" s="56"/>
      <c r="LWA43" s="56"/>
      <c r="LWB43" s="56"/>
      <c r="LWC43" s="56"/>
      <c r="LWD43" s="56"/>
      <c r="LWE43" s="56"/>
      <c r="LWF43" s="56"/>
      <c r="LWG43" s="56"/>
      <c r="LWH43" s="56"/>
      <c r="LWI43" s="56"/>
      <c r="LWJ43" s="56"/>
      <c r="LWK43" s="56"/>
      <c r="LWL43" s="56"/>
      <c r="LWM43" s="56"/>
      <c r="LWN43" s="56"/>
      <c r="LWO43" s="56"/>
      <c r="LWP43" s="56"/>
      <c r="LWQ43" s="56"/>
      <c r="LWR43" s="56"/>
      <c r="LWS43" s="56"/>
      <c r="LWT43" s="56"/>
      <c r="LWU43" s="56"/>
      <c r="LWV43" s="56"/>
      <c r="LWW43" s="56"/>
      <c r="LWX43" s="56"/>
      <c r="LWY43" s="56"/>
      <c r="LWZ43" s="56"/>
      <c r="LXA43" s="56"/>
      <c r="LXB43" s="56"/>
      <c r="LXC43" s="56"/>
      <c r="LXD43" s="56"/>
      <c r="LXE43" s="56"/>
      <c r="LXF43" s="56"/>
      <c r="LXG43" s="56"/>
      <c r="LXH43" s="56"/>
      <c r="LXI43" s="56"/>
      <c r="LXJ43" s="56"/>
      <c r="LXK43" s="56"/>
      <c r="LXL43" s="56"/>
      <c r="LXM43" s="56"/>
      <c r="LXN43" s="56"/>
      <c r="LXO43" s="56"/>
      <c r="LXP43" s="56"/>
      <c r="LXQ43" s="56"/>
      <c r="LXR43" s="56"/>
      <c r="LXS43" s="56"/>
      <c r="LXT43" s="56"/>
      <c r="LXU43" s="56"/>
      <c r="LXV43" s="56"/>
      <c r="LXW43" s="56"/>
      <c r="LXX43" s="56"/>
      <c r="LXY43" s="56"/>
      <c r="LXZ43" s="56"/>
      <c r="LYA43" s="56"/>
      <c r="LYB43" s="56"/>
      <c r="LYC43" s="56"/>
      <c r="LYD43" s="56"/>
      <c r="LYE43" s="56"/>
      <c r="LYF43" s="56"/>
      <c r="LYG43" s="56"/>
      <c r="LYH43" s="56"/>
      <c r="LYI43" s="56"/>
      <c r="LYJ43" s="56"/>
      <c r="LYK43" s="56"/>
      <c r="LYL43" s="56"/>
      <c r="LYM43" s="56"/>
      <c r="LYN43" s="56"/>
      <c r="LYO43" s="56"/>
      <c r="LYP43" s="56"/>
      <c r="LYQ43" s="56"/>
      <c r="LYR43" s="56"/>
      <c r="LYS43" s="56"/>
      <c r="LYT43" s="56"/>
      <c r="LYU43" s="56"/>
      <c r="LYV43" s="56"/>
      <c r="LYW43" s="56"/>
      <c r="LYX43" s="56"/>
      <c r="LYY43" s="56"/>
      <c r="LYZ43" s="56"/>
      <c r="LZA43" s="56"/>
      <c r="LZB43" s="56"/>
      <c r="LZC43" s="56"/>
      <c r="LZD43" s="56"/>
      <c r="LZE43" s="56"/>
      <c r="LZF43" s="56"/>
      <c r="LZG43" s="56"/>
      <c r="LZH43" s="56"/>
      <c r="LZI43" s="56"/>
      <c r="LZJ43" s="56"/>
      <c r="LZK43" s="56"/>
      <c r="LZL43" s="56"/>
      <c r="LZM43" s="56"/>
      <c r="LZN43" s="56"/>
      <c r="LZO43" s="56"/>
      <c r="LZP43" s="56"/>
      <c r="LZQ43" s="56"/>
      <c r="LZR43" s="56"/>
      <c r="LZS43" s="56"/>
      <c r="LZT43" s="56"/>
      <c r="LZU43" s="56"/>
      <c r="LZV43" s="56"/>
      <c r="LZW43" s="56"/>
      <c r="LZX43" s="56"/>
      <c r="LZY43" s="56"/>
      <c r="LZZ43" s="56"/>
      <c r="MAA43" s="56"/>
      <c r="MAB43" s="56"/>
      <c r="MAC43" s="56"/>
      <c r="MAD43" s="56"/>
      <c r="MAE43" s="56"/>
      <c r="MAF43" s="56"/>
      <c r="MAG43" s="56"/>
      <c r="MAH43" s="56"/>
      <c r="MAI43" s="56"/>
      <c r="MAJ43" s="56"/>
      <c r="MAK43" s="56"/>
      <c r="MAL43" s="56"/>
      <c r="MAM43" s="56"/>
      <c r="MAN43" s="56"/>
      <c r="MAO43" s="56"/>
      <c r="MAP43" s="56"/>
      <c r="MAQ43" s="56"/>
      <c r="MAR43" s="56"/>
      <c r="MAS43" s="56"/>
      <c r="MAT43" s="56"/>
      <c r="MAU43" s="56"/>
      <c r="MAV43" s="56"/>
      <c r="MAW43" s="56"/>
      <c r="MAX43" s="56"/>
      <c r="MAY43" s="56"/>
      <c r="MAZ43" s="56"/>
      <c r="MBA43" s="56"/>
      <c r="MBB43" s="56"/>
      <c r="MBC43" s="56"/>
      <c r="MBD43" s="56"/>
      <c r="MBE43" s="56"/>
      <c r="MBF43" s="56"/>
      <c r="MBG43" s="56"/>
      <c r="MBH43" s="56"/>
      <c r="MBI43" s="56"/>
      <c r="MBJ43" s="56"/>
      <c r="MBK43" s="56"/>
      <c r="MBL43" s="56"/>
      <c r="MBM43" s="56"/>
      <c r="MBN43" s="56"/>
      <c r="MBO43" s="56"/>
      <c r="MBP43" s="56"/>
      <c r="MBQ43" s="56"/>
      <c r="MBR43" s="56"/>
      <c r="MBS43" s="56"/>
      <c r="MBT43" s="56"/>
      <c r="MBU43" s="56"/>
      <c r="MBV43" s="56"/>
      <c r="MBW43" s="56"/>
      <c r="MBX43" s="56"/>
      <c r="MBY43" s="56"/>
      <c r="MBZ43" s="56"/>
      <c r="MCA43" s="56"/>
      <c r="MCB43" s="56"/>
      <c r="MCC43" s="56"/>
      <c r="MCD43" s="56"/>
      <c r="MCE43" s="56"/>
      <c r="MCF43" s="56"/>
      <c r="MCG43" s="56"/>
      <c r="MCH43" s="56"/>
      <c r="MCI43" s="56"/>
      <c r="MCJ43" s="56"/>
      <c r="MCK43" s="56"/>
      <c r="MCL43" s="56"/>
      <c r="MCM43" s="56"/>
      <c r="MCN43" s="56"/>
      <c r="MCO43" s="56"/>
      <c r="MCP43" s="56"/>
      <c r="MCQ43" s="56"/>
      <c r="MCR43" s="56"/>
      <c r="MCS43" s="56"/>
      <c r="MCT43" s="56"/>
      <c r="MCU43" s="56"/>
      <c r="MCV43" s="56"/>
      <c r="MCW43" s="56"/>
      <c r="MCX43" s="56"/>
      <c r="MCY43" s="56"/>
      <c r="MCZ43" s="56"/>
      <c r="MDA43" s="56"/>
      <c r="MDB43" s="56"/>
      <c r="MDC43" s="56"/>
      <c r="MDD43" s="56"/>
      <c r="MDE43" s="56"/>
      <c r="MDF43" s="56"/>
      <c r="MDG43" s="56"/>
      <c r="MDH43" s="56"/>
      <c r="MDI43" s="56"/>
      <c r="MDJ43" s="56"/>
      <c r="MDK43" s="56"/>
      <c r="MDL43" s="56"/>
      <c r="MDM43" s="56"/>
      <c r="MDN43" s="56"/>
      <c r="MDO43" s="56"/>
      <c r="MDP43" s="56"/>
      <c r="MDQ43" s="56"/>
      <c r="MDR43" s="56"/>
      <c r="MDS43" s="56"/>
      <c r="MDT43" s="56"/>
      <c r="MDU43" s="56"/>
      <c r="MDV43" s="56"/>
      <c r="MDW43" s="56"/>
      <c r="MDX43" s="56"/>
      <c r="MDY43" s="56"/>
      <c r="MDZ43" s="56"/>
      <c r="MEA43" s="56"/>
      <c r="MEB43" s="56"/>
      <c r="MEC43" s="56"/>
      <c r="MED43" s="56"/>
      <c r="MEE43" s="56"/>
      <c r="MEF43" s="56"/>
      <c r="MEG43" s="56"/>
      <c r="MEH43" s="56"/>
      <c r="MEI43" s="56"/>
      <c r="MEJ43" s="56"/>
      <c r="MEK43" s="56"/>
      <c r="MEL43" s="56"/>
      <c r="MEM43" s="56"/>
      <c r="MEN43" s="56"/>
      <c r="MEO43" s="56"/>
      <c r="MEP43" s="56"/>
      <c r="MEQ43" s="56"/>
      <c r="MER43" s="56"/>
      <c r="MES43" s="56"/>
      <c r="MET43" s="56"/>
      <c r="MEU43" s="56"/>
      <c r="MEV43" s="56"/>
      <c r="MEW43" s="56"/>
      <c r="MEX43" s="56"/>
      <c r="MEY43" s="56"/>
      <c r="MEZ43" s="56"/>
      <c r="MFA43" s="56"/>
      <c r="MFB43" s="56"/>
      <c r="MFC43" s="56"/>
      <c r="MFD43" s="56"/>
      <c r="MFE43" s="56"/>
      <c r="MFF43" s="56"/>
      <c r="MFG43" s="56"/>
      <c r="MFH43" s="56"/>
      <c r="MFI43" s="56"/>
      <c r="MFJ43" s="56"/>
      <c r="MFK43" s="56"/>
      <c r="MFL43" s="56"/>
      <c r="MFM43" s="56"/>
      <c r="MFN43" s="56"/>
      <c r="MFO43" s="56"/>
      <c r="MFP43" s="56"/>
      <c r="MFQ43" s="56"/>
      <c r="MFR43" s="56"/>
      <c r="MFS43" s="56"/>
      <c r="MFT43" s="56"/>
      <c r="MFU43" s="56"/>
      <c r="MFV43" s="56"/>
      <c r="MFW43" s="56"/>
      <c r="MFX43" s="56"/>
      <c r="MFY43" s="56"/>
      <c r="MFZ43" s="56"/>
      <c r="MGA43" s="56"/>
      <c r="MGB43" s="56"/>
      <c r="MGC43" s="56"/>
      <c r="MGD43" s="56"/>
      <c r="MGE43" s="56"/>
      <c r="MGF43" s="56"/>
      <c r="MGG43" s="56"/>
      <c r="MGH43" s="56"/>
      <c r="MGI43" s="56"/>
      <c r="MGJ43" s="56"/>
      <c r="MGK43" s="56"/>
      <c r="MGL43" s="56"/>
      <c r="MGM43" s="56"/>
      <c r="MGN43" s="56"/>
      <c r="MGO43" s="56"/>
      <c r="MGP43" s="56"/>
      <c r="MGQ43" s="56"/>
      <c r="MGR43" s="56"/>
      <c r="MGS43" s="56"/>
      <c r="MGT43" s="56"/>
      <c r="MGU43" s="56"/>
      <c r="MGV43" s="56"/>
      <c r="MGW43" s="56"/>
      <c r="MGX43" s="56"/>
      <c r="MGY43" s="56"/>
      <c r="MGZ43" s="56"/>
      <c r="MHA43" s="56"/>
      <c r="MHB43" s="56"/>
      <c r="MHC43" s="56"/>
      <c r="MHD43" s="56"/>
      <c r="MHE43" s="56"/>
      <c r="MHF43" s="56"/>
      <c r="MHG43" s="56"/>
      <c r="MHH43" s="56"/>
      <c r="MHI43" s="56"/>
      <c r="MHJ43" s="56"/>
      <c r="MHK43" s="56"/>
      <c r="MHL43" s="56"/>
      <c r="MHM43" s="56"/>
      <c r="MHN43" s="56"/>
      <c r="MHO43" s="56"/>
      <c r="MHP43" s="56"/>
      <c r="MHQ43" s="56"/>
      <c r="MHR43" s="56"/>
      <c r="MHS43" s="56"/>
      <c r="MHT43" s="56"/>
      <c r="MHU43" s="56"/>
      <c r="MHV43" s="56"/>
      <c r="MHW43" s="56"/>
      <c r="MHX43" s="56"/>
      <c r="MHY43" s="56"/>
      <c r="MHZ43" s="56"/>
      <c r="MIA43" s="56"/>
      <c r="MIB43" s="56"/>
      <c r="MIC43" s="56"/>
      <c r="MID43" s="56"/>
      <c r="MIE43" s="56"/>
      <c r="MIF43" s="56"/>
      <c r="MIG43" s="56"/>
      <c r="MIH43" s="56"/>
      <c r="MII43" s="56"/>
      <c r="MIJ43" s="56"/>
      <c r="MIK43" s="56"/>
      <c r="MIL43" s="56"/>
      <c r="MIM43" s="56"/>
      <c r="MIN43" s="56"/>
      <c r="MIO43" s="56"/>
      <c r="MIP43" s="56"/>
      <c r="MIQ43" s="56"/>
      <c r="MIR43" s="56"/>
      <c r="MIS43" s="56"/>
      <c r="MIT43" s="56"/>
      <c r="MIU43" s="56"/>
      <c r="MIV43" s="56"/>
      <c r="MIW43" s="56"/>
      <c r="MIX43" s="56"/>
      <c r="MIY43" s="56"/>
      <c r="MIZ43" s="56"/>
      <c r="MJA43" s="56"/>
      <c r="MJB43" s="56"/>
      <c r="MJC43" s="56"/>
      <c r="MJD43" s="56"/>
      <c r="MJE43" s="56"/>
      <c r="MJF43" s="56"/>
      <c r="MJG43" s="56"/>
      <c r="MJH43" s="56"/>
      <c r="MJI43" s="56"/>
      <c r="MJJ43" s="56"/>
      <c r="MJK43" s="56"/>
      <c r="MJL43" s="56"/>
      <c r="MJM43" s="56"/>
      <c r="MJN43" s="56"/>
      <c r="MJO43" s="56"/>
      <c r="MJP43" s="56"/>
      <c r="MJQ43" s="56"/>
      <c r="MJR43" s="56"/>
      <c r="MJS43" s="56"/>
      <c r="MJT43" s="56"/>
      <c r="MJU43" s="56"/>
      <c r="MJV43" s="56"/>
      <c r="MJW43" s="56"/>
      <c r="MJX43" s="56"/>
      <c r="MJY43" s="56"/>
      <c r="MJZ43" s="56"/>
      <c r="MKA43" s="56"/>
      <c r="MKB43" s="56"/>
      <c r="MKC43" s="56"/>
      <c r="MKD43" s="56"/>
      <c r="MKE43" s="56"/>
      <c r="MKF43" s="56"/>
      <c r="MKG43" s="56"/>
      <c r="MKH43" s="56"/>
      <c r="MKI43" s="56"/>
      <c r="MKJ43" s="56"/>
      <c r="MKK43" s="56"/>
      <c r="MKL43" s="56"/>
      <c r="MKM43" s="56"/>
      <c r="MKN43" s="56"/>
      <c r="MKO43" s="56"/>
      <c r="MKP43" s="56"/>
      <c r="MKQ43" s="56"/>
      <c r="MKR43" s="56"/>
      <c r="MKS43" s="56"/>
      <c r="MKT43" s="56"/>
      <c r="MKU43" s="56"/>
      <c r="MKV43" s="56"/>
      <c r="MKW43" s="56"/>
      <c r="MKX43" s="56"/>
      <c r="MKY43" s="56"/>
      <c r="MKZ43" s="56"/>
      <c r="MLA43" s="56"/>
      <c r="MLB43" s="56"/>
      <c r="MLC43" s="56"/>
      <c r="MLD43" s="56"/>
      <c r="MLE43" s="56"/>
      <c r="MLF43" s="56"/>
      <c r="MLG43" s="56"/>
      <c r="MLH43" s="56"/>
      <c r="MLI43" s="56"/>
      <c r="MLJ43" s="56"/>
      <c r="MLK43" s="56"/>
      <c r="MLL43" s="56"/>
      <c r="MLM43" s="56"/>
      <c r="MLN43" s="56"/>
      <c r="MLO43" s="56"/>
      <c r="MLP43" s="56"/>
      <c r="MLQ43" s="56"/>
      <c r="MLR43" s="56"/>
      <c r="MLS43" s="56"/>
      <c r="MLT43" s="56"/>
      <c r="MLU43" s="56"/>
      <c r="MLV43" s="56"/>
      <c r="MLW43" s="56"/>
      <c r="MLX43" s="56"/>
      <c r="MLY43" s="56"/>
      <c r="MLZ43" s="56"/>
      <c r="MMA43" s="56"/>
      <c r="MMB43" s="56"/>
      <c r="MMC43" s="56"/>
      <c r="MMD43" s="56"/>
      <c r="MME43" s="56"/>
      <c r="MMF43" s="56"/>
      <c r="MMG43" s="56"/>
      <c r="MMH43" s="56"/>
      <c r="MMI43" s="56"/>
      <c r="MMJ43" s="56"/>
      <c r="MMK43" s="56"/>
      <c r="MML43" s="56"/>
      <c r="MMM43" s="56"/>
      <c r="MMN43" s="56"/>
      <c r="MMO43" s="56"/>
      <c r="MMP43" s="56"/>
      <c r="MMQ43" s="56"/>
      <c r="MMR43" s="56"/>
      <c r="MMS43" s="56"/>
      <c r="MMT43" s="56"/>
      <c r="MMU43" s="56"/>
      <c r="MMV43" s="56"/>
      <c r="MMW43" s="56"/>
      <c r="MMX43" s="56"/>
      <c r="MMY43" s="56"/>
      <c r="MMZ43" s="56"/>
      <c r="MNA43" s="56"/>
      <c r="MNB43" s="56"/>
      <c r="MNC43" s="56"/>
      <c r="MND43" s="56"/>
      <c r="MNE43" s="56"/>
      <c r="MNF43" s="56"/>
      <c r="MNG43" s="56"/>
      <c r="MNH43" s="56"/>
      <c r="MNI43" s="56"/>
      <c r="MNJ43" s="56"/>
      <c r="MNK43" s="56"/>
      <c r="MNL43" s="56"/>
      <c r="MNM43" s="56"/>
      <c r="MNN43" s="56"/>
      <c r="MNO43" s="56"/>
      <c r="MNP43" s="56"/>
      <c r="MNQ43" s="56"/>
      <c r="MNR43" s="56"/>
      <c r="MNS43" s="56"/>
      <c r="MNT43" s="56"/>
      <c r="MNU43" s="56"/>
      <c r="MNV43" s="56"/>
      <c r="MNW43" s="56"/>
      <c r="MNX43" s="56"/>
      <c r="MNY43" s="56"/>
      <c r="MNZ43" s="56"/>
      <c r="MOA43" s="56"/>
      <c r="MOB43" s="56"/>
      <c r="MOC43" s="56"/>
      <c r="MOD43" s="56"/>
      <c r="MOE43" s="56"/>
      <c r="MOF43" s="56"/>
      <c r="MOG43" s="56"/>
      <c r="MOH43" s="56"/>
      <c r="MOI43" s="56"/>
      <c r="MOJ43" s="56"/>
      <c r="MOK43" s="56"/>
      <c r="MOL43" s="56"/>
      <c r="MOM43" s="56"/>
      <c r="MON43" s="56"/>
      <c r="MOO43" s="56"/>
      <c r="MOP43" s="56"/>
      <c r="MOQ43" s="56"/>
      <c r="MOR43" s="56"/>
      <c r="MOS43" s="56"/>
      <c r="MOT43" s="56"/>
      <c r="MOU43" s="56"/>
      <c r="MOV43" s="56"/>
      <c r="MOW43" s="56"/>
      <c r="MOX43" s="56"/>
      <c r="MOY43" s="56"/>
      <c r="MOZ43" s="56"/>
      <c r="MPA43" s="56"/>
      <c r="MPB43" s="56"/>
      <c r="MPC43" s="56"/>
      <c r="MPD43" s="56"/>
      <c r="MPE43" s="56"/>
      <c r="MPF43" s="56"/>
      <c r="MPG43" s="56"/>
      <c r="MPH43" s="56"/>
      <c r="MPI43" s="56"/>
      <c r="MPJ43" s="56"/>
      <c r="MPK43" s="56"/>
      <c r="MPL43" s="56"/>
      <c r="MPM43" s="56"/>
      <c r="MPN43" s="56"/>
      <c r="MPO43" s="56"/>
      <c r="MPP43" s="56"/>
      <c r="MPQ43" s="56"/>
      <c r="MPR43" s="56"/>
      <c r="MPS43" s="56"/>
      <c r="MPT43" s="56"/>
      <c r="MPU43" s="56"/>
      <c r="MPV43" s="56"/>
      <c r="MPW43" s="56"/>
      <c r="MPX43" s="56"/>
      <c r="MPY43" s="56"/>
      <c r="MPZ43" s="56"/>
      <c r="MQA43" s="56"/>
      <c r="MQB43" s="56"/>
      <c r="MQC43" s="56"/>
      <c r="MQD43" s="56"/>
      <c r="MQE43" s="56"/>
      <c r="MQF43" s="56"/>
      <c r="MQG43" s="56"/>
      <c r="MQH43" s="56"/>
      <c r="MQI43" s="56"/>
      <c r="MQJ43" s="56"/>
      <c r="MQK43" s="56"/>
      <c r="MQL43" s="56"/>
      <c r="MQM43" s="56"/>
      <c r="MQN43" s="56"/>
      <c r="MQO43" s="56"/>
      <c r="MQP43" s="56"/>
      <c r="MQQ43" s="56"/>
      <c r="MQR43" s="56"/>
      <c r="MQS43" s="56"/>
      <c r="MQT43" s="56"/>
      <c r="MQU43" s="56"/>
      <c r="MQV43" s="56"/>
      <c r="MQW43" s="56"/>
      <c r="MQX43" s="56"/>
      <c r="MQY43" s="56"/>
      <c r="MQZ43" s="56"/>
      <c r="MRA43" s="56"/>
      <c r="MRB43" s="56"/>
      <c r="MRC43" s="56"/>
      <c r="MRD43" s="56"/>
      <c r="MRE43" s="56"/>
      <c r="MRF43" s="56"/>
      <c r="MRG43" s="56"/>
      <c r="MRH43" s="56"/>
      <c r="MRI43" s="56"/>
      <c r="MRJ43" s="56"/>
      <c r="MRK43" s="56"/>
      <c r="MRL43" s="56"/>
      <c r="MRM43" s="56"/>
      <c r="MRN43" s="56"/>
      <c r="MRO43" s="56"/>
      <c r="MRP43" s="56"/>
      <c r="MRQ43" s="56"/>
      <c r="MRR43" s="56"/>
      <c r="MRS43" s="56"/>
      <c r="MRT43" s="56"/>
      <c r="MRU43" s="56"/>
      <c r="MRV43" s="56"/>
      <c r="MRW43" s="56"/>
      <c r="MRX43" s="56"/>
      <c r="MRY43" s="56"/>
      <c r="MRZ43" s="56"/>
      <c r="MSA43" s="56"/>
      <c r="MSB43" s="56"/>
      <c r="MSC43" s="56"/>
      <c r="MSD43" s="56"/>
      <c r="MSE43" s="56"/>
      <c r="MSF43" s="56"/>
      <c r="MSG43" s="56"/>
      <c r="MSH43" s="56"/>
      <c r="MSI43" s="56"/>
      <c r="MSJ43" s="56"/>
      <c r="MSK43" s="56"/>
      <c r="MSL43" s="56"/>
      <c r="MSM43" s="56"/>
      <c r="MSN43" s="56"/>
      <c r="MSO43" s="56"/>
      <c r="MSP43" s="56"/>
      <c r="MSQ43" s="56"/>
      <c r="MSR43" s="56"/>
      <c r="MSS43" s="56"/>
      <c r="MST43" s="56"/>
      <c r="MSU43" s="56"/>
      <c r="MSV43" s="56"/>
      <c r="MSW43" s="56"/>
      <c r="MSX43" s="56"/>
      <c r="MSY43" s="56"/>
      <c r="MSZ43" s="56"/>
      <c r="MTA43" s="56"/>
      <c r="MTB43" s="56"/>
      <c r="MTC43" s="56"/>
      <c r="MTD43" s="56"/>
      <c r="MTE43" s="56"/>
      <c r="MTF43" s="56"/>
      <c r="MTG43" s="56"/>
      <c r="MTH43" s="56"/>
      <c r="MTI43" s="56"/>
      <c r="MTJ43" s="56"/>
      <c r="MTK43" s="56"/>
      <c r="MTL43" s="56"/>
      <c r="MTM43" s="56"/>
      <c r="MTN43" s="56"/>
      <c r="MTO43" s="56"/>
      <c r="MTP43" s="56"/>
      <c r="MTQ43" s="56"/>
      <c r="MTR43" s="56"/>
      <c r="MTS43" s="56"/>
      <c r="MTT43" s="56"/>
      <c r="MTU43" s="56"/>
      <c r="MTV43" s="56"/>
      <c r="MTW43" s="56"/>
      <c r="MTX43" s="56"/>
      <c r="MTY43" s="56"/>
      <c r="MTZ43" s="56"/>
      <c r="MUA43" s="56"/>
      <c r="MUB43" s="56"/>
      <c r="MUC43" s="56"/>
      <c r="MUD43" s="56"/>
      <c r="MUE43" s="56"/>
      <c r="MUF43" s="56"/>
      <c r="MUG43" s="56"/>
      <c r="MUH43" s="56"/>
      <c r="MUI43" s="56"/>
      <c r="MUJ43" s="56"/>
      <c r="MUK43" s="56"/>
      <c r="MUL43" s="56"/>
      <c r="MUM43" s="56"/>
      <c r="MUN43" s="56"/>
      <c r="MUO43" s="56"/>
      <c r="MUP43" s="56"/>
      <c r="MUQ43" s="56"/>
      <c r="MUR43" s="56"/>
      <c r="MUS43" s="56"/>
      <c r="MUT43" s="56"/>
      <c r="MUU43" s="56"/>
      <c r="MUV43" s="56"/>
      <c r="MUW43" s="56"/>
      <c r="MUX43" s="56"/>
      <c r="MUY43" s="56"/>
      <c r="MUZ43" s="56"/>
      <c r="MVA43" s="56"/>
      <c r="MVB43" s="56"/>
      <c r="MVC43" s="56"/>
      <c r="MVD43" s="56"/>
      <c r="MVE43" s="56"/>
      <c r="MVF43" s="56"/>
      <c r="MVG43" s="56"/>
      <c r="MVH43" s="56"/>
      <c r="MVI43" s="56"/>
      <c r="MVJ43" s="56"/>
      <c r="MVK43" s="56"/>
      <c r="MVL43" s="56"/>
      <c r="MVM43" s="56"/>
      <c r="MVN43" s="56"/>
      <c r="MVO43" s="56"/>
      <c r="MVP43" s="56"/>
      <c r="MVQ43" s="56"/>
      <c r="MVR43" s="56"/>
      <c r="MVS43" s="56"/>
      <c r="MVT43" s="56"/>
      <c r="MVU43" s="56"/>
      <c r="MVV43" s="56"/>
      <c r="MVW43" s="56"/>
      <c r="MVX43" s="56"/>
      <c r="MVY43" s="56"/>
      <c r="MVZ43" s="56"/>
      <c r="MWA43" s="56"/>
      <c r="MWB43" s="56"/>
      <c r="MWC43" s="56"/>
      <c r="MWD43" s="56"/>
      <c r="MWE43" s="56"/>
      <c r="MWF43" s="56"/>
      <c r="MWG43" s="56"/>
      <c r="MWH43" s="56"/>
      <c r="MWI43" s="56"/>
      <c r="MWJ43" s="56"/>
      <c r="MWK43" s="56"/>
      <c r="MWL43" s="56"/>
      <c r="MWM43" s="56"/>
      <c r="MWN43" s="56"/>
      <c r="MWO43" s="56"/>
      <c r="MWP43" s="56"/>
      <c r="MWQ43" s="56"/>
      <c r="MWR43" s="56"/>
      <c r="MWS43" s="56"/>
      <c r="MWT43" s="56"/>
      <c r="MWU43" s="56"/>
      <c r="MWV43" s="56"/>
      <c r="MWW43" s="56"/>
      <c r="MWX43" s="56"/>
      <c r="MWY43" s="56"/>
      <c r="MWZ43" s="56"/>
      <c r="MXA43" s="56"/>
      <c r="MXB43" s="56"/>
      <c r="MXC43" s="56"/>
      <c r="MXD43" s="56"/>
      <c r="MXE43" s="56"/>
      <c r="MXF43" s="56"/>
      <c r="MXG43" s="56"/>
      <c r="MXH43" s="56"/>
      <c r="MXI43" s="56"/>
      <c r="MXJ43" s="56"/>
      <c r="MXK43" s="56"/>
      <c r="MXL43" s="56"/>
      <c r="MXM43" s="56"/>
      <c r="MXN43" s="56"/>
      <c r="MXO43" s="56"/>
      <c r="MXP43" s="56"/>
      <c r="MXQ43" s="56"/>
      <c r="MXR43" s="56"/>
      <c r="MXS43" s="56"/>
      <c r="MXT43" s="56"/>
      <c r="MXU43" s="56"/>
      <c r="MXV43" s="56"/>
      <c r="MXW43" s="56"/>
      <c r="MXX43" s="56"/>
      <c r="MXY43" s="56"/>
      <c r="MXZ43" s="56"/>
      <c r="MYA43" s="56"/>
      <c r="MYB43" s="56"/>
      <c r="MYC43" s="56"/>
      <c r="MYD43" s="56"/>
      <c r="MYE43" s="56"/>
      <c r="MYF43" s="56"/>
      <c r="MYG43" s="56"/>
      <c r="MYH43" s="56"/>
      <c r="MYI43" s="56"/>
      <c r="MYJ43" s="56"/>
      <c r="MYK43" s="56"/>
      <c r="MYL43" s="56"/>
      <c r="MYM43" s="56"/>
      <c r="MYN43" s="56"/>
      <c r="MYO43" s="56"/>
      <c r="MYP43" s="56"/>
      <c r="MYQ43" s="56"/>
      <c r="MYR43" s="56"/>
      <c r="MYS43" s="56"/>
      <c r="MYT43" s="56"/>
      <c r="MYU43" s="56"/>
      <c r="MYV43" s="56"/>
      <c r="MYW43" s="56"/>
      <c r="MYX43" s="56"/>
      <c r="MYY43" s="56"/>
      <c r="MYZ43" s="56"/>
      <c r="MZA43" s="56"/>
      <c r="MZB43" s="56"/>
      <c r="MZC43" s="56"/>
      <c r="MZD43" s="56"/>
      <c r="MZE43" s="56"/>
      <c r="MZF43" s="56"/>
      <c r="MZG43" s="56"/>
      <c r="MZH43" s="56"/>
      <c r="MZI43" s="56"/>
      <c r="MZJ43" s="56"/>
      <c r="MZK43" s="56"/>
      <c r="MZL43" s="56"/>
      <c r="MZM43" s="56"/>
      <c r="MZN43" s="56"/>
      <c r="MZO43" s="56"/>
      <c r="MZP43" s="56"/>
      <c r="MZQ43" s="56"/>
      <c r="MZR43" s="56"/>
      <c r="MZS43" s="56"/>
      <c r="MZT43" s="56"/>
      <c r="MZU43" s="56"/>
      <c r="MZV43" s="56"/>
      <c r="MZW43" s="56"/>
      <c r="MZX43" s="56"/>
      <c r="MZY43" s="56"/>
      <c r="MZZ43" s="56"/>
      <c r="NAA43" s="56"/>
      <c r="NAB43" s="56"/>
      <c r="NAC43" s="56"/>
      <c r="NAD43" s="56"/>
      <c r="NAE43" s="56"/>
      <c r="NAF43" s="56"/>
      <c r="NAG43" s="56"/>
      <c r="NAH43" s="56"/>
      <c r="NAI43" s="56"/>
      <c r="NAJ43" s="56"/>
      <c r="NAK43" s="56"/>
      <c r="NAL43" s="56"/>
      <c r="NAM43" s="56"/>
      <c r="NAN43" s="56"/>
      <c r="NAO43" s="56"/>
      <c r="NAP43" s="56"/>
      <c r="NAQ43" s="56"/>
      <c r="NAR43" s="56"/>
      <c r="NAS43" s="56"/>
      <c r="NAT43" s="56"/>
      <c r="NAU43" s="56"/>
      <c r="NAV43" s="56"/>
      <c r="NAW43" s="56"/>
      <c r="NAX43" s="56"/>
      <c r="NAY43" s="56"/>
      <c r="NAZ43" s="56"/>
      <c r="NBA43" s="56"/>
      <c r="NBB43" s="56"/>
      <c r="NBC43" s="56"/>
      <c r="NBD43" s="56"/>
      <c r="NBE43" s="56"/>
      <c r="NBF43" s="56"/>
      <c r="NBG43" s="56"/>
      <c r="NBH43" s="56"/>
      <c r="NBI43" s="56"/>
      <c r="NBJ43" s="56"/>
      <c r="NBK43" s="56"/>
      <c r="NBL43" s="56"/>
      <c r="NBM43" s="56"/>
      <c r="NBN43" s="56"/>
      <c r="NBO43" s="56"/>
      <c r="NBP43" s="56"/>
      <c r="NBQ43" s="56"/>
      <c r="NBR43" s="56"/>
      <c r="NBS43" s="56"/>
      <c r="NBT43" s="56"/>
      <c r="NBU43" s="56"/>
      <c r="NBV43" s="56"/>
      <c r="NBW43" s="56"/>
      <c r="NBX43" s="56"/>
      <c r="NBY43" s="56"/>
      <c r="NBZ43" s="56"/>
      <c r="NCA43" s="56"/>
      <c r="NCB43" s="56"/>
      <c r="NCC43" s="56"/>
      <c r="NCD43" s="56"/>
      <c r="NCE43" s="56"/>
      <c r="NCF43" s="56"/>
      <c r="NCG43" s="56"/>
      <c r="NCH43" s="56"/>
      <c r="NCI43" s="56"/>
      <c r="NCJ43" s="56"/>
      <c r="NCK43" s="56"/>
      <c r="NCL43" s="56"/>
      <c r="NCM43" s="56"/>
      <c r="NCN43" s="56"/>
      <c r="NCO43" s="56"/>
      <c r="NCP43" s="56"/>
      <c r="NCQ43" s="56"/>
      <c r="NCR43" s="56"/>
      <c r="NCS43" s="56"/>
      <c r="NCT43" s="56"/>
      <c r="NCU43" s="56"/>
      <c r="NCV43" s="56"/>
      <c r="NCW43" s="56"/>
      <c r="NCX43" s="56"/>
      <c r="NCY43" s="56"/>
      <c r="NCZ43" s="56"/>
      <c r="NDA43" s="56"/>
      <c r="NDB43" s="56"/>
      <c r="NDC43" s="56"/>
      <c r="NDD43" s="56"/>
      <c r="NDE43" s="56"/>
      <c r="NDF43" s="56"/>
      <c r="NDG43" s="56"/>
      <c r="NDH43" s="56"/>
      <c r="NDI43" s="56"/>
      <c r="NDJ43" s="56"/>
      <c r="NDK43" s="56"/>
      <c r="NDL43" s="56"/>
      <c r="NDM43" s="56"/>
      <c r="NDN43" s="56"/>
      <c r="NDO43" s="56"/>
      <c r="NDP43" s="56"/>
      <c r="NDQ43" s="56"/>
      <c r="NDR43" s="56"/>
      <c r="NDS43" s="56"/>
      <c r="NDT43" s="56"/>
      <c r="NDU43" s="56"/>
      <c r="NDV43" s="56"/>
      <c r="NDW43" s="56"/>
      <c r="NDX43" s="56"/>
      <c r="NDY43" s="56"/>
      <c r="NDZ43" s="56"/>
      <c r="NEA43" s="56"/>
      <c r="NEB43" s="56"/>
      <c r="NEC43" s="56"/>
      <c r="NED43" s="56"/>
      <c r="NEE43" s="56"/>
      <c r="NEF43" s="56"/>
      <c r="NEG43" s="56"/>
      <c r="NEH43" s="56"/>
      <c r="NEI43" s="56"/>
      <c r="NEJ43" s="56"/>
      <c r="NEK43" s="56"/>
      <c r="NEL43" s="56"/>
      <c r="NEM43" s="56"/>
      <c r="NEN43" s="56"/>
      <c r="NEO43" s="56"/>
      <c r="NEP43" s="56"/>
      <c r="NEQ43" s="56"/>
      <c r="NER43" s="56"/>
      <c r="NES43" s="56"/>
      <c r="NET43" s="56"/>
      <c r="NEU43" s="56"/>
      <c r="NEV43" s="56"/>
      <c r="NEW43" s="56"/>
      <c r="NEX43" s="56"/>
      <c r="NEY43" s="56"/>
      <c r="NEZ43" s="56"/>
      <c r="NFA43" s="56"/>
      <c r="NFB43" s="56"/>
      <c r="NFC43" s="56"/>
      <c r="NFD43" s="56"/>
      <c r="NFE43" s="56"/>
      <c r="NFF43" s="56"/>
      <c r="NFG43" s="56"/>
      <c r="NFH43" s="56"/>
      <c r="NFI43" s="56"/>
      <c r="NFJ43" s="56"/>
      <c r="NFK43" s="56"/>
      <c r="NFL43" s="56"/>
      <c r="NFM43" s="56"/>
      <c r="NFN43" s="56"/>
      <c r="NFO43" s="56"/>
      <c r="NFP43" s="56"/>
      <c r="NFQ43" s="56"/>
      <c r="NFR43" s="56"/>
      <c r="NFS43" s="56"/>
      <c r="NFT43" s="56"/>
      <c r="NFU43" s="56"/>
      <c r="NFV43" s="56"/>
      <c r="NFW43" s="56"/>
      <c r="NFX43" s="56"/>
      <c r="NFY43" s="56"/>
      <c r="NFZ43" s="56"/>
      <c r="NGA43" s="56"/>
      <c r="NGB43" s="56"/>
      <c r="NGC43" s="56"/>
      <c r="NGD43" s="56"/>
      <c r="NGE43" s="56"/>
      <c r="NGF43" s="56"/>
      <c r="NGG43" s="56"/>
      <c r="NGH43" s="56"/>
      <c r="NGI43" s="56"/>
      <c r="NGJ43" s="56"/>
      <c r="NGK43" s="56"/>
      <c r="NGL43" s="56"/>
      <c r="NGM43" s="56"/>
      <c r="NGN43" s="56"/>
      <c r="NGO43" s="56"/>
      <c r="NGP43" s="56"/>
      <c r="NGQ43" s="56"/>
      <c r="NGR43" s="56"/>
      <c r="NGS43" s="56"/>
      <c r="NGT43" s="56"/>
      <c r="NGU43" s="56"/>
      <c r="NGV43" s="56"/>
      <c r="NGW43" s="56"/>
      <c r="NGX43" s="56"/>
      <c r="NGY43" s="56"/>
      <c r="NGZ43" s="56"/>
      <c r="NHA43" s="56"/>
      <c r="NHB43" s="56"/>
      <c r="NHC43" s="56"/>
      <c r="NHD43" s="56"/>
      <c r="NHE43" s="56"/>
      <c r="NHF43" s="56"/>
      <c r="NHG43" s="56"/>
      <c r="NHH43" s="56"/>
      <c r="NHI43" s="56"/>
      <c r="NHJ43" s="56"/>
      <c r="NHK43" s="56"/>
      <c r="NHL43" s="56"/>
      <c r="NHM43" s="56"/>
      <c r="NHN43" s="56"/>
      <c r="NHO43" s="56"/>
      <c r="NHP43" s="56"/>
      <c r="NHQ43" s="56"/>
      <c r="NHR43" s="56"/>
      <c r="NHS43" s="56"/>
      <c r="NHT43" s="56"/>
      <c r="NHU43" s="56"/>
      <c r="NHV43" s="56"/>
      <c r="NHW43" s="56"/>
      <c r="NHX43" s="56"/>
      <c r="NHY43" s="56"/>
      <c r="NHZ43" s="56"/>
      <c r="NIA43" s="56"/>
      <c r="NIB43" s="56"/>
      <c r="NIC43" s="56"/>
      <c r="NID43" s="56"/>
      <c r="NIE43" s="56"/>
      <c r="NIF43" s="56"/>
      <c r="NIG43" s="56"/>
      <c r="NIH43" s="56"/>
      <c r="NII43" s="56"/>
      <c r="NIJ43" s="56"/>
      <c r="NIK43" s="56"/>
      <c r="NIL43" s="56"/>
      <c r="NIM43" s="56"/>
      <c r="NIN43" s="56"/>
      <c r="NIO43" s="56"/>
      <c r="NIP43" s="56"/>
      <c r="NIQ43" s="56"/>
      <c r="NIR43" s="56"/>
      <c r="NIS43" s="56"/>
      <c r="NIT43" s="56"/>
      <c r="NIU43" s="56"/>
      <c r="NIV43" s="56"/>
      <c r="NIW43" s="56"/>
      <c r="NIX43" s="56"/>
      <c r="NIY43" s="56"/>
      <c r="NIZ43" s="56"/>
      <c r="NJA43" s="56"/>
      <c r="NJB43" s="56"/>
      <c r="NJC43" s="56"/>
      <c r="NJD43" s="56"/>
      <c r="NJE43" s="56"/>
      <c r="NJF43" s="56"/>
      <c r="NJG43" s="56"/>
      <c r="NJH43" s="56"/>
      <c r="NJI43" s="56"/>
      <c r="NJJ43" s="56"/>
      <c r="NJK43" s="56"/>
      <c r="NJL43" s="56"/>
      <c r="NJM43" s="56"/>
      <c r="NJN43" s="56"/>
      <c r="NJO43" s="56"/>
      <c r="NJP43" s="56"/>
      <c r="NJQ43" s="56"/>
      <c r="NJR43" s="56"/>
      <c r="NJS43" s="56"/>
      <c r="NJT43" s="56"/>
      <c r="NJU43" s="56"/>
      <c r="NJV43" s="56"/>
      <c r="NJW43" s="56"/>
      <c r="NJX43" s="56"/>
      <c r="NJY43" s="56"/>
      <c r="NJZ43" s="56"/>
      <c r="NKA43" s="56"/>
      <c r="NKB43" s="56"/>
      <c r="NKC43" s="56"/>
      <c r="NKD43" s="56"/>
      <c r="NKE43" s="56"/>
      <c r="NKF43" s="56"/>
      <c r="NKG43" s="56"/>
      <c r="NKH43" s="56"/>
      <c r="NKI43" s="56"/>
      <c r="NKJ43" s="56"/>
      <c r="NKK43" s="56"/>
      <c r="NKL43" s="56"/>
      <c r="NKM43" s="56"/>
      <c r="NKN43" s="56"/>
      <c r="NKO43" s="56"/>
      <c r="NKP43" s="56"/>
      <c r="NKQ43" s="56"/>
      <c r="NKR43" s="56"/>
      <c r="NKS43" s="56"/>
      <c r="NKT43" s="56"/>
      <c r="NKU43" s="56"/>
      <c r="NKV43" s="56"/>
      <c r="NKW43" s="56"/>
      <c r="NKX43" s="56"/>
      <c r="NKY43" s="56"/>
      <c r="NKZ43" s="56"/>
      <c r="NLA43" s="56"/>
      <c r="NLB43" s="56"/>
      <c r="NLC43" s="56"/>
      <c r="NLD43" s="56"/>
      <c r="NLE43" s="56"/>
      <c r="NLF43" s="56"/>
      <c r="NLG43" s="56"/>
      <c r="NLH43" s="56"/>
      <c r="NLI43" s="56"/>
      <c r="NLJ43" s="56"/>
      <c r="NLK43" s="56"/>
      <c r="NLL43" s="56"/>
      <c r="NLM43" s="56"/>
      <c r="NLN43" s="56"/>
      <c r="NLO43" s="56"/>
      <c r="NLP43" s="56"/>
      <c r="NLQ43" s="56"/>
      <c r="NLR43" s="56"/>
      <c r="NLS43" s="56"/>
      <c r="NLT43" s="56"/>
      <c r="NLU43" s="56"/>
      <c r="NLV43" s="56"/>
      <c r="NLW43" s="56"/>
      <c r="NLX43" s="56"/>
      <c r="NLY43" s="56"/>
      <c r="NLZ43" s="56"/>
      <c r="NMA43" s="56"/>
      <c r="NMB43" s="56"/>
      <c r="NMC43" s="56"/>
      <c r="NMD43" s="56"/>
      <c r="NME43" s="56"/>
      <c r="NMF43" s="56"/>
      <c r="NMG43" s="56"/>
      <c r="NMH43" s="56"/>
      <c r="NMI43" s="56"/>
      <c r="NMJ43" s="56"/>
      <c r="NMK43" s="56"/>
      <c r="NML43" s="56"/>
      <c r="NMM43" s="56"/>
      <c r="NMN43" s="56"/>
      <c r="NMO43" s="56"/>
      <c r="NMP43" s="56"/>
      <c r="NMQ43" s="56"/>
      <c r="NMR43" s="56"/>
      <c r="NMS43" s="56"/>
      <c r="NMT43" s="56"/>
      <c r="NMU43" s="56"/>
      <c r="NMV43" s="56"/>
      <c r="NMW43" s="56"/>
      <c r="NMX43" s="56"/>
      <c r="NMY43" s="56"/>
      <c r="NMZ43" s="56"/>
      <c r="NNA43" s="56"/>
      <c r="NNB43" s="56"/>
      <c r="NNC43" s="56"/>
      <c r="NND43" s="56"/>
      <c r="NNE43" s="56"/>
      <c r="NNF43" s="56"/>
      <c r="NNG43" s="56"/>
      <c r="NNH43" s="56"/>
      <c r="NNI43" s="56"/>
      <c r="NNJ43" s="56"/>
      <c r="NNK43" s="56"/>
      <c r="NNL43" s="56"/>
      <c r="NNM43" s="56"/>
      <c r="NNN43" s="56"/>
      <c r="NNO43" s="56"/>
      <c r="NNP43" s="56"/>
      <c r="NNQ43" s="56"/>
      <c r="NNR43" s="56"/>
      <c r="NNS43" s="56"/>
      <c r="NNT43" s="56"/>
      <c r="NNU43" s="56"/>
      <c r="NNV43" s="56"/>
      <c r="NNW43" s="56"/>
      <c r="NNX43" s="56"/>
      <c r="NNY43" s="56"/>
      <c r="NNZ43" s="56"/>
      <c r="NOA43" s="56"/>
      <c r="NOB43" s="56"/>
      <c r="NOC43" s="56"/>
      <c r="NOD43" s="56"/>
      <c r="NOE43" s="56"/>
      <c r="NOF43" s="56"/>
      <c r="NOG43" s="56"/>
      <c r="NOH43" s="56"/>
      <c r="NOI43" s="56"/>
      <c r="NOJ43" s="56"/>
      <c r="NOK43" s="56"/>
      <c r="NOL43" s="56"/>
      <c r="NOM43" s="56"/>
      <c r="NON43" s="56"/>
      <c r="NOO43" s="56"/>
      <c r="NOP43" s="56"/>
      <c r="NOQ43" s="56"/>
      <c r="NOR43" s="56"/>
      <c r="NOS43" s="56"/>
      <c r="NOT43" s="56"/>
      <c r="NOU43" s="56"/>
      <c r="NOV43" s="56"/>
      <c r="NOW43" s="56"/>
      <c r="NOX43" s="56"/>
      <c r="NOY43" s="56"/>
      <c r="NOZ43" s="56"/>
      <c r="NPA43" s="56"/>
      <c r="NPB43" s="56"/>
      <c r="NPC43" s="56"/>
      <c r="NPD43" s="56"/>
      <c r="NPE43" s="56"/>
      <c r="NPF43" s="56"/>
      <c r="NPG43" s="56"/>
      <c r="NPH43" s="56"/>
      <c r="NPI43" s="56"/>
      <c r="NPJ43" s="56"/>
      <c r="NPK43" s="56"/>
      <c r="NPL43" s="56"/>
      <c r="NPM43" s="56"/>
      <c r="NPN43" s="56"/>
      <c r="NPO43" s="56"/>
      <c r="NPP43" s="56"/>
      <c r="NPQ43" s="56"/>
      <c r="NPR43" s="56"/>
      <c r="NPS43" s="56"/>
      <c r="NPT43" s="56"/>
      <c r="NPU43" s="56"/>
      <c r="NPV43" s="56"/>
      <c r="NPW43" s="56"/>
      <c r="NPX43" s="56"/>
      <c r="NPY43" s="56"/>
      <c r="NPZ43" s="56"/>
      <c r="NQA43" s="56"/>
      <c r="NQB43" s="56"/>
      <c r="NQC43" s="56"/>
      <c r="NQD43" s="56"/>
      <c r="NQE43" s="56"/>
      <c r="NQF43" s="56"/>
      <c r="NQG43" s="56"/>
      <c r="NQH43" s="56"/>
      <c r="NQI43" s="56"/>
      <c r="NQJ43" s="56"/>
      <c r="NQK43" s="56"/>
      <c r="NQL43" s="56"/>
      <c r="NQM43" s="56"/>
      <c r="NQN43" s="56"/>
      <c r="NQO43" s="56"/>
      <c r="NQP43" s="56"/>
      <c r="NQQ43" s="56"/>
      <c r="NQR43" s="56"/>
      <c r="NQS43" s="56"/>
      <c r="NQT43" s="56"/>
      <c r="NQU43" s="56"/>
      <c r="NQV43" s="56"/>
      <c r="NQW43" s="56"/>
      <c r="NQX43" s="56"/>
      <c r="NQY43" s="56"/>
      <c r="NQZ43" s="56"/>
      <c r="NRA43" s="56"/>
      <c r="NRB43" s="56"/>
      <c r="NRC43" s="56"/>
      <c r="NRD43" s="56"/>
      <c r="NRE43" s="56"/>
      <c r="NRF43" s="56"/>
      <c r="NRG43" s="56"/>
      <c r="NRH43" s="56"/>
      <c r="NRI43" s="56"/>
      <c r="NRJ43" s="56"/>
      <c r="NRK43" s="56"/>
      <c r="NRL43" s="56"/>
      <c r="NRM43" s="56"/>
      <c r="NRN43" s="56"/>
      <c r="NRO43" s="56"/>
      <c r="NRP43" s="56"/>
      <c r="NRQ43" s="56"/>
      <c r="NRR43" s="56"/>
      <c r="NRS43" s="56"/>
      <c r="NRT43" s="56"/>
      <c r="NRU43" s="56"/>
      <c r="NRV43" s="56"/>
      <c r="NRW43" s="56"/>
      <c r="NRX43" s="56"/>
      <c r="NRY43" s="56"/>
      <c r="NRZ43" s="56"/>
      <c r="NSA43" s="56"/>
      <c r="NSB43" s="56"/>
      <c r="NSC43" s="56"/>
      <c r="NSD43" s="56"/>
      <c r="NSE43" s="56"/>
      <c r="NSF43" s="56"/>
      <c r="NSG43" s="56"/>
      <c r="NSH43" s="56"/>
      <c r="NSI43" s="56"/>
      <c r="NSJ43" s="56"/>
      <c r="NSK43" s="56"/>
      <c r="NSL43" s="56"/>
      <c r="NSM43" s="56"/>
      <c r="NSN43" s="56"/>
      <c r="NSO43" s="56"/>
      <c r="NSP43" s="56"/>
      <c r="NSQ43" s="56"/>
      <c r="NSR43" s="56"/>
      <c r="NSS43" s="56"/>
      <c r="NST43" s="56"/>
      <c r="NSU43" s="56"/>
      <c r="NSV43" s="56"/>
      <c r="NSW43" s="56"/>
      <c r="NSX43" s="56"/>
      <c r="NSY43" s="56"/>
      <c r="NSZ43" s="56"/>
      <c r="NTA43" s="56"/>
      <c r="NTB43" s="56"/>
      <c r="NTC43" s="56"/>
      <c r="NTD43" s="56"/>
      <c r="NTE43" s="56"/>
      <c r="NTF43" s="56"/>
      <c r="NTG43" s="56"/>
      <c r="NTH43" s="56"/>
      <c r="NTI43" s="56"/>
      <c r="NTJ43" s="56"/>
      <c r="NTK43" s="56"/>
      <c r="NTL43" s="56"/>
      <c r="NTM43" s="56"/>
      <c r="NTN43" s="56"/>
      <c r="NTO43" s="56"/>
      <c r="NTP43" s="56"/>
      <c r="NTQ43" s="56"/>
      <c r="NTR43" s="56"/>
      <c r="NTS43" s="56"/>
      <c r="NTT43" s="56"/>
      <c r="NTU43" s="56"/>
      <c r="NTV43" s="56"/>
      <c r="NTW43" s="56"/>
      <c r="NTX43" s="56"/>
      <c r="NTY43" s="56"/>
      <c r="NTZ43" s="56"/>
      <c r="NUA43" s="56"/>
      <c r="NUB43" s="56"/>
      <c r="NUC43" s="56"/>
      <c r="NUD43" s="56"/>
      <c r="NUE43" s="56"/>
      <c r="NUF43" s="56"/>
      <c r="NUG43" s="56"/>
      <c r="NUH43" s="56"/>
      <c r="NUI43" s="56"/>
      <c r="NUJ43" s="56"/>
      <c r="NUK43" s="56"/>
      <c r="NUL43" s="56"/>
      <c r="NUM43" s="56"/>
      <c r="NUN43" s="56"/>
      <c r="NUO43" s="56"/>
      <c r="NUP43" s="56"/>
      <c r="NUQ43" s="56"/>
      <c r="NUR43" s="56"/>
      <c r="NUS43" s="56"/>
      <c r="NUT43" s="56"/>
      <c r="NUU43" s="56"/>
      <c r="NUV43" s="56"/>
      <c r="NUW43" s="56"/>
      <c r="NUX43" s="56"/>
      <c r="NUY43" s="56"/>
      <c r="NUZ43" s="56"/>
      <c r="NVA43" s="56"/>
      <c r="NVB43" s="56"/>
      <c r="NVC43" s="56"/>
      <c r="NVD43" s="56"/>
      <c r="NVE43" s="56"/>
      <c r="NVF43" s="56"/>
      <c r="NVG43" s="56"/>
      <c r="NVH43" s="56"/>
      <c r="NVI43" s="56"/>
      <c r="NVJ43" s="56"/>
      <c r="NVK43" s="56"/>
      <c r="NVL43" s="56"/>
      <c r="NVM43" s="56"/>
      <c r="NVN43" s="56"/>
      <c r="NVO43" s="56"/>
      <c r="NVP43" s="56"/>
      <c r="NVQ43" s="56"/>
      <c r="NVR43" s="56"/>
      <c r="NVS43" s="56"/>
      <c r="NVT43" s="56"/>
      <c r="NVU43" s="56"/>
      <c r="NVV43" s="56"/>
      <c r="NVW43" s="56"/>
      <c r="NVX43" s="56"/>
      <c r="NVY43" s="56"/>
      <c r="NVZ43" s="56"/>
      <c r="NWA43" s="56"/>
      <c r="NWB43" s="56"/>
      <c r="NWC43" s="56"/>
      <c r="NWD43" s="56"/>
      <c r="NWE43" s="56"/>
      <c r="NWF43" s="56"/>
      <c r="NWG43" s="56"/>
      <c r="NWH43" s="56"/>
      <c r="NWI43" s="56"/>
      <c r="NWJ43" s="56"/>
      <c r="NWK43" s="56"/>
      <c r="NWL43" s="56"/>
      <c r="NWM43" s="56"/>
      <c r="NWN43" s="56"/>
      <c r="NWO43" s="56"/>
      <c r="NWP43" s="56"/>
      <c r="NWQ43" s="56"/>
      <c r="NWR43" s="56"/>
      <c r="NWS43" s="56"/>
      <c r="NWT43" s="56"/>
      <c r="NWU43" s="56"/>
      <c r="NWV43" s="56"/>
      <c r="NWW43" s="56"/>
      <c r="NWX43" s="56"/>
      <c r="NWY43" s="56"/>
      <c r="NWZ43" s="56"/>
      <c r="NXA43" s="56"/>
      <c r="NXB43" s="56"/>
      <c r="NXC43" s="56"/>
      <c r="NXD43" s="56"/>
      <c r="NXE43" s="56"/>
      <c r="NXF43" s="56"/>
      <c r="NXG43" s="56"/>
      <c r="NXH43" s="56"/>
      <c r="NXI43" s="56"/>
      <c r="NXJ43" s="56"/>
      <c r="NXK43" s="56"/>
      <c r="NXL43" s="56"/>
      <c r="NXM43" s="56"/>
      <c r="NXN43" s="56"/>
      <c r="NXO43" s="56"/>
      <c r="NXP43" s="56"/>
      <c r="NXQ43" s="56"/>
      <c r="NXR43" s="56"/>
      <c r="NXS43" s="56"/>
      <c r="NXT43" s="56"/>
      <c r="NXU43" s="56"/>
      <c r="NXV43" s="56"/>
      <c r="NXW43" s="56"/>
      <c r="NXX43" s="56"/>
      <c r="NXY43" s="56"/>
      <c r="NXZ43" s="56"/>
      <c r="NYA43" s="56"/>
      <c r="NYB43" s="56"/>
      <c r="NYC43" s="56"/>
      <c r="NYD43" s="56"/>
      <c r="NYE43" s="56"/>
      <c r="NYF43" s="56"/>
      <c r="NYG43" s="56"/>
      <c r="NYH43" s="56"/>
      <c r="NYI43" s="56"/>
      <c r="NYJ43" s="56"/>
      <c r="NYK43" s="56"/>
      <c r="NYL43" s="56"/>
      <c r="NYM43" s="56"/>
      <c r="NYN43" s="56"/>
      <c r="NYO43" s="56"/>
      <c r="NYP43" s="56"/>
      <c r="NYQ43" s="56"/>
      <c r="NYR43" s="56"/>
      <c r="NYS43" s="56"/>
      <c r="NYT43" s="56"/>
      <c r="NYU43" s="56"/>
      <c r="NYV43" s="56"/>
      <c r="NYW43" s="56"/>
      <c r="NYX43" s="56"/>
      <c r="NYY43" s="56"/>
      <c r="NYZ43" s="56"/>
      <c r="NZA43" s="56"/>
      <c r="NZB43" s="56"/>
      <c r="NZC43" s="56"/>
      <c r="NZD43" s="56"/>
      <c r="NZE43" s="56"/>
      <c r="NZF43" s="56"/>
      <c r="NZG43" s="56"/>
      <c r="NZH43" s="56"/>
      <c r="NZI43" s="56"/>
      <c r="NZJ43" s="56"/>
      <c r="NZK43" s="56"/>
      <c r="NZL43" s="56"/>
      <c r="NZM43" s="56"/>
      <c r="NZN43" s="56"/>
      <c r="NZO43" s="56"/>
      <c r="NZP43" s="56"/>
      <c r="NZQ43" s="56"/>
      <c r="NZR43" s="56"/>
      <c r="NZS43" s="56"/>
      <c r="NZT43" s="56"/>
      <c r="NZU43" s="56"/>
      <c r="NZV43" s="56"/>
      <c r="NZW43" s="56"/>
      <c r="NZX43" s="56"/>
      <c r="NZY43" s="56"/>
      <c r="NZZ43" s="56"/>
      <c r="OAA43" s="56"/>
      <c r="OAB43" s="56"/>
      <c r="OAC43" s="56"/>
      <c r="OAD43" s="56"/>
      <c r="OAE43" s="56"/>
      <c r="OAF43" s="56"/>
      <c r="OAG43" s="56"/>
      <c r="OAH43" s="56"/>
      <c r="OAI43" s="56"/>
      <c r="OAJ43" s="56"/>
      <c r="OAK43" s="56"/>
      <c r="OAL43" s="56"/>
      <c r="OAM43" s="56"/>
      <c r="OAN43" s="56"/>
      <c r="OAO43" s="56"/>
      <c r="OAP43" s="56"/>
      <c r="OAQ43" s="56"/>
      <c r="OAR43" s="56"/>
      <c r="OAS43" s="56"/>
      <c r="OAT43" s="56"/>
      <c r="OAU43" s="56"/>
      <c r="OAV43" s="56"/>
      <c r="OAW43" s="56"/>
      <c r="OAX43" s="56"/>
      <c r="OAY43" s="56"/>
      <c r="OAZ43" s="56"/>
      <c r="OBA43" s="56"/>
      <c r="OBB43" s="56"/>
      <c r="OBC43" s="56"/>
      <c r="OBD43" s="56"/>
      <c r="OBE43" s="56"/>
      <c r="OBF43" s="56"/>
      <c r="OBG43" s="56"/>
      <c r="OBH43" s="56"/>
      <c r="OBI43" s="56"/>
      <c r="OBJ43" s="56"/>
      <c r="OBK43" s="56"/>
      <c r="OBL43" s="56"/>
      <c r="OBM43" s="56"/>
      <c r="OBN43" s="56"/>
      <c r="OBO43" s="56"/>
      <c r="OBP43" s="56"/>
      <c r="OBQ43" s="56"/>
      <c r="OBR43" s="56"/>
      <c r="OBS43" s="56"/>
      <c r="OBT43" s="56"/>
      <c r="OBU43" s="56"/>
      <c r="OBV43" s="56"/>
      <c r="OBW43" s="56"/>
      <c r="OBX43" s="56"/>
      <c r="OBY43" s="56"/>
      <c r="OBZ43" s="56"/>
      <c r="OCA43" s="56"/>
      <c r="OCB43" s="56"/>
      <c r="OCC43" s="56"/>
      <c r="OCD43" s="56"/>
      <c r="OCE43" s="56"/>
      <c r="OCF43" s="56"/>
      <c r="OCG43" s="56"/>
      <c r="OCH43" s="56"/>
      <c r="OCI43" s="56"/>
      <c r="OCJ43" s="56"/>
      <c r="OCK43" s="56"/>
      <c r="OCL43" s="56"/>
      <c r="OCM43" s="56"/>
      <c r="OCN43" s="56"/>
      <c r="OCO43" s="56"/>
      <c r="OCP43" s="56"/>
      <c r="OCQ43" s="56"/>
      <c r="OCR43" s="56"/>
      <c r="OCS43" s="56"/>
      <c r="OCT43" s="56"/>
      <c r="OCU43" s="56"/>
      <c r="OCV43" s="56"/>
      <c r="OCW43" s="56"/>
      <c r="OCX43" s="56"/>
      <c r="OCY43" s="56"/>
      <c r="OCZ43" s="56"/>
      <c r="ODA43" s="56"/>
      <c r="ODB43" s="56"/>
      <c r="ODC43" s="56"/>
      <c r="ODD43" s="56"/>
      <c r="ODE43" s="56"/>
      <c r="ODF43" s="56"/>
      <c r="ODG43" s="56"/>
      <c r="ODH43" s="56"/>
      <c r="ODI43" s="56"/>
      <c r="ODJ43" s="56"/>
      <c r="ODK43" s="56"/>
      <c r="ODL43" s="56"/>
      <c r="ODM43" s="56"/>
      <c r="ODN43" s="56"/>
      <c r="ODO43" s="56"/>
      <c r="ODP43" s="56"/>
      <c r="ODQ43" s="56"/>
      <c r="ODR43" s="56"/>
      <c r="ODS43" s="56"/>
      <c r="ODT43" s="56"/>
      <c r="ODU43" s="56"/>
      <c r="ODV43" s="56"/>
      <c r="ODW43" s="56"/>
      <c r="ODX43" s="56"/>
      <c r="ODY43" s="56"/>
      <c r="ODZ43" s="56"/>
      <c r="OEA43" s="56"/>
      <c r="OEB43" s="56"/>
      <c r="OEC43" s="56"/>
      <c r="OED43" s="56"/>
      <c r="OEE43" s="56"/>
      <c r="OEF43" s="56"/>
      <c r="OEG43" s="56"/>
      <c r="OEH43" s="56"/>
      <c r="OEI43" s="56"/>
      <c r="OEJ43" s="56"/>
      <c r="OEK43" s="56"/>
      <c r="OEL43" s="56"/>
      <c r="OEM43" s="56"/>
      <c r="OEN43" s="56"/>
      <c r="OEO43" s="56"/>
      <c r="OEP43" s="56"/>
      <c r="OEQ43" s="56"/>
      <c r="OER43" s="56"/>
      <c r="OES43" s="56"/>
      <c r="OET43" s="56"/>
      <c r="OEU43" s="56"/>
      <c r="OEV43" s="56"/>
      <c r="OEW43" s="56"/>
      <c r="OEX43" s="56"/>
      <c r="OEY43" s="56"/>
      <c r="OEZ43" s="56"/>
      <c r="OFA43" s="56"/>
      <c r="OFB43" s="56"/>
      <c r="OFC43" s="56"/>
      <c r="OFD43" s="56"/>
      <c r="OFE43" s="56"/>
      <c r="OFF43" s="56"/>
      <c r="OFG43" s="56"/>
      <c r="OFH43" s="56"/>
      <c r="OFI43" s="56"/>
      <c r="OFJ43" s="56"/>
      <c r="OFK43" s="56"/>
      <c r="OFL43" s="56"/>
      <c r="OFM43" s="56"/>
      <c r="OFN43" s="56"/>
      <c r="OFO43" s="56"/>
      <c r="OFP43" s="56"/>
      <c r="OFQ43" s="56"/>
      <c r="OFR43" s="56"/>
      <c r="OFS43" s="56"/>
      <c r="OFT43" s="56"/>
      <c r="OFU43" s="56"/>
      <c r="OFV43" s="56"/>
      <c r="OFW43" s="56"/>
      <c r="OFX43" s="56"/>
      <c r="OFY43" s="56"/>
      <c r="OFZ43" s="56"/>
      <c r="OGA43" s="56"/>
      <c r="OGB43" s="56"/>
      <c r="OGC43" s="56"/>
      <c r="OGD43" s="56"/>
      <c r="OGE43" s="56"/>
      <c r="OGF43" s="56"/>
      <c r="OGG43" s="56"/>
      <c r="OGH43" s="56"/>
      <c r="OGI43" s="56"/>
      <c r="OGJ43" s="56"/>
      <c r="OGK43" s="56"/>
      <c r="OGL43" s="56"/>
      <c r="OGM43" s="56"/>
      <c r="OGN43" s="56"/>
      <c r="OGO43" s="56"/>
      <c r="OGP43" s="56"/>
      <c r="OGQ43" s="56"/>
      <c r="OGR43" s="56"/>
      <c r="OGS43" s="56"/>
      <c r="OGT43" s="56"/>
      <c r="OGU43" s="56"/>
      <c r="OGV43" s="56"/>
      <c r="OGW43" s="56"/>
      <c r="OGX43" s="56"/>
      <c r="OGY43" s="56"/>
      <c r="OGZ43" s="56"/>
      <c r="OHA43" s="56"/>
      <c r="OHB43" s="56"/>
      <c r="OHC43" s="56"/>
      <c r="OHD43" s="56"/>
      <c r="OHE43" s="56"/>
      <c r="OHF43" s="56"/>
      <c r="OHG43" s="56"/>
      <c r="OHH43" s="56"/>
      <c r="OHI43" s="56"/>
      <c r="OHJ43" s="56"/>
      <c r="OHK43" s="56"/>
      <c r="OHL43" s="56"/>
      <c r="OHM43" s="56"/>
      <c r="OHN43" s="56"/>
      <c r="OHO43" s="56"/>
      <c r="OHP43" s="56"/>
      <c r="OHQ43" s="56"/>
      <c r="OHR43" s="56"/>
      <c r="OHS43" s="56"/>
      <c r="OHT43" s="56"/>
      <c r="OHU43" s="56"/>
      <c r="OHV43" s="56"/>
      <c r="OHW43" s="56"/>
      <c r="OHX43" s="56"/>
      <c r="OHY43" s="56"/>
      <c r="OHZ43" s="56"/>
      <c r="OIA43" s="56"/>
      <c r="OIB43" s="56"/>
      <c r="OIC43" s="56"/>
      <c r="OID43" s="56"/>
      <c r="OIE43" s="56"/>
      <c r="OIF43" s="56"/>
      <c r="OIG43" s="56"/>
      <c r="OIH43" s="56"/>
      <c r="OII43" s="56"/>
      <c r="OIJ43" s="56"/>
      <c r="OIK43" s="56"/>
      <c r="OIL43" s="56"/>
      <c r="OIM43" s="56"/>
      <c r="OIN43" s="56"/>
      <c r="OIO43" s="56"/>
      <c r="OIP43" s="56"/>
      <c r="OIQ43" s="56"/>
      <c r="OIR43" s="56"/>
      <c r="OIS43" s="56"/>
      <c r="OIT43" s="56"/>
      <c r="OIU43" s="56"/>
      <c r="OIV43" s="56"/>
      <c r="OIW43" s="56"/>
      <c r="OIX43" s="56"/>
      <c r="OIY43" s="56"/>
      <c r="OIZ43" s="56"/>
      <c r="OJA43" s="56"/>
      <c r="OJB43" s="56"/>
      <c r="OJC43" s="56"/>
      <c r="OJD43" s="56"/>
      <c r="OJE43" s="56"/>
      <c r="OJF43" s="56"/>
      <c r="OJG43" s="56"/>
      <c r="OJH43" s="56"/>
      <c r="OJI43" s="56"/>
      <c r="OJJ43" s="56"/>
      <c r="OJK43" s="56"/>
      <c r="OJL43" s="56"/>
      <c r="OJM43" s="56"/>
      <c r="OJN43" s="56"/>
      <c r="OJO43" s="56"/>
      <c r="OJP43" s="56"/>
      <c r="OJQ43" s="56"/>
      <c r="OJR43" s="56"/>
      <c r="OJS43" s="56"/>
      <c r="OJT43" s="56"/>
      <c r="OJU43" s="56"/>
      <c r="OJV43" s="56"/>
      <c r="OJW43" s="56"/>
      <c r="OJX43" s="56"/>
      <c r="OJY43" s="56"/>
      <c r="OJZ43" s="56"/>
      <c r="OKA43" s="56"/>
      <c r="OKB43" s="56"/>
      <c r="OKC43" s="56"/>
      <c r="OKD43" s="56"/>
      <c r="OKE43" s="56"/>
      <c r="OKF43" s="56"/>
      <c r="OKG43" s="56"/>
      <c r="OKH43" s="56"/>
      <c r="OKI43" s="56"/>
      <c r="OKJ43" s="56"/>
      <c r="OKK43" s="56"/>
      <c r="OKL43" s="56"/>
      <c r="OKM43" s="56"/>
      <c r="OKN43" s="56"/>
      <c r="OKO43" s="56"/>
      <c r="OKP43" s="56"/>
      <c r="OKQ43" s="56"/>
      <c r="OKR43" s="56"/>
      <c r="OKS43" s="56"/>
      <c r="OKT43" s="56"/>
      <c r="OKU43" s="56"/>
      <c r="OKV43" s="56"/>
      <c r="OKW43" s="56"/>
      <c r="OKX43" s="56"/>
      <c r="OKY43" s="56"/>
      <c r="OKZ43" s="56"/>
      <c r="OLA43" s="56"/>
      <c r="OLB43" s="56"/>
      <c r="OLC43" s="56"/>
      <c r="OLD43" s="56"/>
      <c r="OLE43" s="56"/>
      <c r="OLF43" s="56"/>
      <c r="OLG43" s="56"/>
      <c r="OLH43" s="56"/>
      <c r="OLI43" s="56"/>
      <c r="OLJ43" s="56"/>
      <c r="OLK43" s="56"/>
      <c r="OLL43" s="56"/>
      <c r="OLM43" s="56"/>
      <c r="OLN43" s="56"/>
      <c r="OLO43" s="56"/>
      <c r="OLP43" s="56"/>
      <c r="OLQ43" s="56"/>
      <c r="OLR43" s="56"/>
      <c r="OLS43" s="56"/>
      <c r="OLT43" s="56"/>
      <c r="OLU43" s="56"/>
      <c r="OLV43" s="56"/>
      <c r="OLW43" s="56"/>
      <c r="OLX43" s="56"/>
      <c r="OLY43" s="56"/>
      <c r="OLZ43" s="56"/>
      <c r="OMA43" s="56"/>
      <c r="OMB43" s="56"/>
      <c r="OMC43" s="56"/>
      <c r="OMD43" s="56"/>
      <c r="OME43" s="56"/>
      <c r="OMF43" s="56"/>
      <c r="OMG43" s="56"/>
      <c r="OMH43" s="56"/>
      <c r="OMI43" s="56"/>
      <c r="OMJ43" s="56"/>
      <c r="OMK43" s="56"/>
      <c r="OML43" s="56"/>
      <c r="OMM43" s="56"/>
      <c r="OMN43" s="56"/>
      <c r="OMO43" s="56"/>
      <c r="OMP43" s="56"/>
      <c r="OMQ43" s="56"/>
      <c r="OMR43" s="56"/>
      <c r="OMS43" s="56"/>
      <c r="OMT43" s="56"/>
      <c r="OMU43" s="56"/>
      <c r="OMV43" s="56"/>
      <c r="OMW43" s="56"/>
      <c r="OMX43" s="56"/>
      <c r="OMY43" s="56"/>
      <c r="OMZ43" s="56"/>
      <c r="ONA43" s="56"/>
      <c r="ONB43" s="56"/>
      <c r="ONC43" s="56"/>
      <c r="OND43" s="56"/>
      <c r="ONE43" s="56"/>
      <c r="ONF43" s="56"/>
      <c r="ONG43" s="56"/>
      <c r="ONH43" s="56"/>
      <c r="ONI43" s="56"/>
      <c r="ONJ43" s="56"/>
      <c r="ONK43" s="56"/>
      <c r="ONL43" s="56"/>
      <c r="ONM43" s="56"/>
      <c r="ONN43" s="56"/>
      <c r="ONO43" s="56"/>
      <c r="ONP43" s="56"/>
      <c r="ONQ43" s="56"/>
      <c r="ONR43" s="56"/>
      <c r="ONS43" s="56"/>
      <c r="ONT43" s="56"/>
      <c r="ONU43" s="56"/>
      <c r="ONV43" s="56"/>
      <c r="ONW43" s="56"/>
      <c r="ONX43" s="56"/>
      <c r="ONY43" s="56"/>
      <c r="ONZ43" s="56"/>
      <c r="OOA43" s="56"/>
      <c r="OOB43" s="56"/>
      <c r="OOC43" s="56"/>
      <c r="OOD43" s="56"/>
      <c r="OOE43" s="56"/>
      <c r="OOF43" s="56"/>
      <c r="OOG43" s="56"/>
      <c r="OOH43" s="56"/>
      <c r="OOI43" s="56"/>
      <c r="OOJ43" s="56"/>
      <c r="OOK43" s="56"/>
      <c r="OOL43" s="56"/>
      <c r="OOM43" s="56"/>
      <c r="OON43" s="56"/>
      <c r="OOO43" s="56"/>
      <c r="OOP43" s="56"/>
      <c r="OOQ43" s="56"/>
      <c r="OOR43" s="56"/>
      <c r="OOS43" s="56"/>
      <c r="OOT43" s="56"/>
      <c r="OOU43" s="56"/>
      <c r="OOV43" s="56"/>
      <c r="OOW43" s="56"/>
      <c r="OOX43" s="56"/>
      <c r="OOY43" s="56"/>
      <c r="OOZ43" s="56"/>
      <c r="OPA43" s="56"/>
      <c r="OPB43" s="56"/>
      <c r="OPC43" s="56"/>
      <c r="OPD43" s="56"/>
      <c r="OPE43" s="56"/>
      <c r="OPF43" s="56"/>
      <c r="OPG43" s="56"/>
      <c r="OPH43" s="56"/>
      <c r="OPI43" s="56"/>
      <c r="OPJ43" s="56"/>
      <c r="OPK43" s="56"/>
      <c r="OPL43" s="56"/>
      <c r="OPM43" s="56"/>
      <c r="OPN43" s="56"/>
      <c r="OPO43" s="56"/>
      <c r="OPP43" s="56"/>
      <c r="OPQ43" s="56"/>
      <c r="OPR43" s="56"/>
      <c r="OPS43" s="56"/>
      <c r="OPT43" s="56"/>
      <c r="OPU43" s="56"/>
      <c r="OPV43" s="56"/>
      <c r="OPW43" s="56"/>
      <c r="OPX43" s="56"/>
      <c r="OPY43" s="56"/>
      <c r="OPZ43" s="56"/>
      <c r="OQA43" s="56"/>
      <c r="OQB43" s="56"/>
      <c r="OQC43" s="56"/>
      <c r="OQD43" s="56"/>
      <c r="OQE43" s="56"/>
      <c r="OQF43" s="56"/>
      <c r="OQG43" s="56"/>
      <c r="OQH43" s="56"/>
      <c r="OQI43" s="56"/>
      <c r="OQJ43" s="56"/>
      <c r="OQK43" s="56"/>
      <c r="OQL43" s="56"/>
      <c r="OQM43" s="56"/>
      <c r="OQN43" s="56"/>
      <c r="OQO43" s="56"/>
      <c r="OQP43" s="56"/>
      <c r="OQQ43" s="56"/>
      <c r="OQR43" s="56"/>
      <c r="OQS43" s="56"/>
      <c r="OQT43" s="56"/>
      <c r="OQU43" s="56"/>
      <c r="OQV43" s="56"/>
      <c r="OQW43" s="56"/>
      <c r="OQX43" s="56"/>
      <c r="OQY43" s="56"/>
      <c r="OQZ43" s="56"/>
      <c r="ORA43" s="56"/>
      <c r="ORB43" s="56"/>
      <c r="ORC43" s="56"/>
      <c r="ORD43" s="56"/>
      <c r="ORE43" s="56"/>
      <c r="ORF43" s="56"/>
      <c r="ORG43" s="56"/>
      <c r="ORH43" s="56"/>
      <c r="ORI43" s="56"/>
      <c r="ORJ43" s="56"/>
      <c r="ORK43" s="56"/>
      <c r="ORL43" s="56"/>
      <c r="ORM43" s="56"/>
      <c r="ORN43" s="56"/>
      <c r="ORO43" s="56"/>
      <c r="ORP43" s="56"/>
      <c r="ORQ43" s="56"/>
      <c r="ORR43" s="56"/>
      <c r="ORS43" s="56"/>
      <c r="ORT43" s="56"/>
      <c r="ORU43" s="56"/>
      <c r="ORV43" s="56"/>
      <c r="ORW43" s="56"/>
      <c r="ORX43" s="56"/>
      <c r="ORY43" s="56"/>
      <c r="ORZ43" s="56"/>
      <c r="OSA43" s="56"/>
      <c r="OSB43" s="56"/>
      <c r="OSC43" s="56"/>
      <c r="OSD43" s="56"/>
      <c r="OSE43" s="56"/>
      <c r="OSF43" s="56"/>
      <c r="OSG43" s="56"/>
      <c r="OSH43" s="56"/>
      <c r="OSI43" s="56"/>
      <c r="OSJ43" s="56"/>
      <c r="OSK43" s="56"/>
      <c r="OSL43" s="56"/>
      <c r="OSM43" s="56"/>
      <c r="OSN43" s="56"/>
      <c r="OSO43" s="56"/>
      <c r="OSP43" s="56"/>
      <c r="OSQ43" s="56"/>
      <c r="OSR43" s="56"/>
      <c r="OSS43" s="56"/>
      <c r="OST43" s="56"/>
      <c r="OSU43" s="56"/>
      <c r="OSV43" s="56"/>
      <c r="OSW43" s="56"/>
      <c r="OSX43" s="56"/>
      <c r="OSY43" s="56"/>
      <c r="OSZ43" s="56"/>
      <c r="OTA43" s="56"/>
      <c r="OTB43" s="56"/>
      <c r="OTC43" s="56"/>
      <c r="OTD43" s="56"/>
      <c r="OTE43" s="56"/>
      <c r="OTF43" s="56"/>
      <c r="OTG43" s="56"/>
      <c r="OTH43" s="56"/>
      <c r="OTI43" s="56"/>
      <c r="OTJ43" s="56"/>
      <c r="OTK43" s="56"/>
      <c r="OTL43" s="56"/>
      <c r="OTM43" s="56"/>
      <c r="OTN43" s="56"/>
      <c r="OTO43" s="56"/>
      <c r="OTP43" s="56"/>
      <c r="OTQ43" s="56"/>
      <c r="OTR43" s="56"/>
      <c r="OTS43" s="56"/>
      <c r="OTT43" s="56"/>
      <c r="OTU43" s="56"/>
      <c r="OTV43" s="56"/>
      <c r="OTW43" s="56"/>
      <c r="OTX43" s="56"/>
      <c r="OTY43" s="56"/>
      <c r="OTZ43" s="56"/>
      <c r="OUA43" s="56"/>
      <c r="OUB43" s="56"/>
      <c r="OUC43" s="56"/>
      <c r="OUD43" s="56"/>
      <c r="OUE43" s="56"/>
      <c r="OUF43" s="56"/>
      <c r="OUG43" s="56"/>
      <c r="OUH43" s="56"/>
      <c r="OUI43" s="56"/>
      <c r="OUJ43" s="56"/>
      <c r="OUK43" s="56"/>
      <c r="OUL43" s="56"/>
      <c r="OUM43" s="56"/>
      <c r="OUN43" s="56"/>
      <c r="OUO43" s="56"/>
      <c r="OUP43" s="56"/>
      <c r="OUQ43" s="56"/>
      <c r="OUR43" s="56"/>
      <c r="OUS43" s="56"/>
      <c r="OUT43" s="56"/>
      <c r="OUU43" s="56"/>
      <c r="OUV43" s="56"/>
      <c r="OUW43" s="56"/>
      <c r="OUX43" s="56"/>
      <c r="OUY43" s="56"/>
      <c r="OUZ43" s="56"/>
      <c r="OVA43" s="56"/>
      <c r="OVB43" s="56"/>
      <c r="OVC43" s="56"/>
      <c r="OVD43" s="56"/>
      <c r="OVE43" s="56"/>
      <c r="OVF43" s="56"/>
      <c r="OVG43" s="56"/>
      <c r="OVH43" s="56"/>
      <c r="OVI43" s="56"/>
      <c r="OVJ43" s="56"/>
      <c r="OVK43" s="56"/>
      <c r="OVL43" s="56"/>
      <c r="OVM43" s="56"/>
      <c r="OVN43" s="56"/>
      <c r="OVO43" s="56"/>
      <c r="OVP43" s="56"/>
      <c r="OVQ43" s="56"/>
      <c r="OVR43" s="56"/>
      <c r="OVS43" s="56"/>
      <c r="OVT43" s="56"/>
      <c r="OVU43" s="56"/>
      <c r="OVV43" s="56"/>
      <c r="OVW43" s="56"/>
      <c r="OVX43" s="56"/>
      <c r="OVY43" s="56"/>
      <c r="OVZ43" s="56"/>
      <c r="OWA43" s="56"/>
      <c r="OWB43" s="56"/>
      <c r="OWC43" s="56"/>
      <c r="OWD43" s="56"/>
      <c r="OWE43" s="56"/>
      <c r="OWF43" s="56"/>
      <c r="OWG43" s="56"/>
      <c r="OWH43" s="56"/>
      <c r="OWI43" s="56"/>
      <c r="OWJ43" s="56"/>
      <c r="OWK43" s="56"/>
      <c r="OWL43" s="56"/>
      <c r="OWM43" s="56"/>
      <c r="OWN43" s="56"/>
      <c r="OWO43" s="56"/>
      <c r="OWP43" s="56"/>
      <c r="OWQ43" s="56"/>
      <c r="OWR43" s="56"/>
      <c r="OWS43" s="56"/>
      <c r="OWT43" s="56"/>
      <c r="OWU43" s="56"/>
      <c r="OWV43" s="56"/>
      <c r="OWW43" s="56"/>
      <c r="OWX43" s="56"/>
      <c r="OWY43" s="56"/>
      <c r="OWZ43" s="56"/>
      <c r="OXA43" s="56"/>
      <c r="OXB43" s="56"/>
      <c r="OXC43" s="56"/>
      <c r="OXD43" s="56"/>
      <c r="OXE43" s="56"/>
      <c r="OXF43" s="56"/>
      <c r="OXG43" s="56"/>
      <c r="OXH43" s="56"/>
      <c r="OXI43" s="56"/>
      <c r="OXJ43" s="56"/>
      <c r="OXK43" s="56"/>
      <c r="OXL43" s="56"/>
      <c r="OXM43" s="56"/>
      <c r="OXN43" s="56"/>
      <c r="OXO43" s="56"/>
      <c r="OXP43" s="56"/>
      <c r="OXQ43" s="56"/>
      <c r="OXR43" s="56"/>
      <c r="OXS43" s="56"/>
      <c r="OXT43" s="56"/>
      <c r="OXU43" s="56"/>
      <c r="OXV43" s="56"/>
      <c r="OXW43" s="56"/>
      <c r="OXX43" s="56"/>
      <c r="OXY43" s="56"/>
      <c r="OXZ43" s="56"/>
      <c r="OYA43" s="56"/>
      <c r="OYB43" s="56"/>
      <c r="OYC43" s="56"/>
      <c r="OYD43" s="56"/>
      <c r="OYE43" s="56"/>
      <c r="OYF43" s="56"/>
      <c r="OYG43" s="56"/>
      <c r="OYH43" s="56"/>
      <c r="OYI43" s="56"/>
      <c r="OYJ43" s="56"/>
      <c r="OYK43" s="56"/>
      <c r="OYL43" s="56"/>
      <c r="OYM43" s="56"/>
      <c r="OYN43" s="56"/>
      <c r="OYO43" s="56"/>
      <c r="OYP43" s="56"/>
      <c r="OYQ43" s="56"/>
      <c r="OYR43" s="56"/>
      <c r="OYS43" s="56"/>
      <c r="OYT43" s="56"/>
      <c r="OYU43" s="56"/>
      <c r="OYV43" s="56"/>
      <c r="OYW43" s="56"/>
      <c r="OYX43" s="56"/>
      <c r="OYY43" s="56"/>
      <c r="OYZ43" s="56"/>
      <c r="OZA43" s="56"/>
      <c r="OZB43" s="56"/>
      <c r="OZC43" s="56"/>
      <c r="OZD43" s="56"/>
      <c r="OZE43" s="56"/>
      <c r="OZF43" s="56"/>
      <c r="OZG43" s="56"/>
      <c r="OZH43" s="56"/>
      <c r="OZI43" s="56"/>
      <c r="OZJ43" s="56"/>
      <c r="OZK43" s="56"/>
      <c r="OZL43" s="56"/>
      <c r="OZM43" s="56"/>
      <c r="OZN43" s="56"/>
      <c r="OZO43" s="56"/>
      <c r="OZP43" s="56"/>
      <c r="OZQ43" s="56"/>
      <c r="OZR43" s="56"/>
      <c r="OZS43" s="56"/>
      <c r="OZT43" s="56"/>
      <c r="OZU43" s="56"/>
      <c r="OZV43" s="56"/>
      <c r="OZW43" s="56"/>
      <c r="OZX43" s="56"/>
      <c r="OZY43" s="56"/>
      <c r="OZZ43" s="56"/>
      <c r="PAA43" s="56"/>
      <c r="PAB43" s="56"/>
      <c r="PAC43" s="56"/>
      <c r="PAD43" s="56"/>
      <c r="PAE43" s="56"/>
      <c r="PAF43" s="56"/>
      <c r="PAG43" s="56"/>
      <c r="PAH43" s="56"/>
      <c r="PAI43" s="56"/>
      <c r="PAJ43" s="56"/>
      <c r="PAK43" s="56"/>
      <c r="PAL43" s="56"/>
      <c r="PAM43" s="56"/>
      <c r="PAN43" s="56"/>
      <c r="PAO43" s="56"/>
      <c r="PAP43" s="56"/>
      <c r="PAQ43" s="56"/>
      <c r="PAR43" s="56"/>
      <c r="PAS43" s="56"/>
      <c r="PAT43" s="56"/>
      <c r="PAU43" s="56"/>
      <c r="PAV43" s="56"/>
      <c r="PAW43" s="56"/>
      <c r="PAX43" s="56"/>
      <c r="PAY43" s="56"/>
      <c r="PAZ43" s="56"/>
      <c r="PBA43" s="56"/>
      <c r="PBB43" s="56"/>
      <c r="PBC43" s="56"/>
      <c r="PBD43" s="56"/>
      <c r="PBE43" s="56"/>
      <c r="PBF43" s="56"/>
      <c r="PBG43" s="56"/>
      <c r="PBH43" s="56"/>
      <c r="PBI43" s="56"/>
      <c r="PBJ43" s="56"/>
      <c r="PBK43" s="56"/>
      <c r="PBL43" s="56"/>
      <c r="PBM43" s="56"/>
      <c r="PBN43" s="56"/>
      <c r="PBO43" s="56"/>
      <c r="PBP43" s="56"/>
      <c r="PBQ43" s="56"/>
      <c r="PBR43" s="56"/>
      <c r="PBS43" s="56"/>
      <c r="PBT43" s="56"/>
      <c r="PBU43" s="56"/>
      <c r="PBV43" s="56"/>
      <c r="PBW43" s="56"/>
      <c r="PBX43" s="56"/>
      <c r="PBY43" s="56"/>
      <c r="PBZ43" s="56"/>
      <c r="PCA43" s="56"/>
      <c r="PCB43" s="56"/>
      <c r="PCC43" s="56"/>
      <c r="PCD43" s="56"/>
      <c r="PCE43" s="56"/>
      <c r="PCF43" s="56"/>
      <c r="PCG43" s="56"/>
      <c r="PCH43" s="56"/>
      <c r="PCI43" s="56"/>
      <c r="PCJ43" s="56"/>
      <c r="PCK43" s="56"/>
      <c r="PCL43" s="56"/>
      <c r="PCM43" s="56"/>
      <c r="PCN43" s="56"/>
      <c r="PCO43" s="56"/>
      <c r="PCP43" s="56"/>
      <c r="PCQ43" s="56"/>
      <c r="PCR43" s="56"/>
      <c r="PCS43" s="56"/>
      <c r="PCT43" s="56"/>
      <c r="PCU43" s="56"/>
      <c r="PCV43" s="56"/>
      <c r="PCW43" s="56"/>
      <c r="PCX43" s="56"/>
      <c r="PCY43" s="56"/>
      <c r="PCZ43" s="56"/>
      <c r="PDA43" s="56"/>
      <c r="PDB43" s="56"/>
      <c r="PDC43" s="56"/>
      <c r="PDD43" s="56"/>
      <c r="PDE43" s="56"/>
      <c r="PDF43" s="56"/>
      <c r="PDG43" s="56"/>
      <c r="PDH43" s="56"/>
      <c r="PDI43" s="56"/>
      <c r="PDJ43" s="56"/>
      <c r="PDK43" s="56"/>
      <c r="PDL43" s="56"/>
      <c r="PDM43" s="56"/>
      <c r="PDN43" s="56"/>
      <c r="PDO43" s="56"/>
      <c r="PDP43" s="56"/>
      <c r="PDQ43" s="56"/>
      <c r="PDR43" s="56"/>
      <c r="PDS43" s="56"/>
      <c r="PDT43" s="56"/>
      <c r="PDU43" s="56"/>
      <c r="PDV43" s="56"/>
      <c r="PDW43" s="56"/>
      <c r="PDX43" s="56"/>
      <c r="PDY43" s="56"/>
      <c r="PDZ43" s="56"/>
      <c r="PEA43" s="56"/>
      <c r="PEB43" s="56"/>
      <c r="PEC43" s="56"/>
      <c r="PED43" s="56"/>
      <c r="PEE43" s="56"/>
      <c r="PEF43" s="56"/>
      <c r="PEG43" s="56"/>
      <c r="PEH43" s="56"/>
      <c r="PEI43" s="56"/>
      <c r="PEJ43" s="56"/>
      <c r="PEK43" s="56"/>
      <c r="PEL43" s="56"/>
      <c r="PEM43" s="56"/>
      <c r="PEN43" s="56"/>
      <c r="PEO43" s="56"/>
      <c r="PEP43" s="56"/>
      <c r="PEQ43" s="56"/>
      <c r="PER43" s="56"/>
      <c r="PES43" s="56"/>
      <c r="PET43" s="56"/>
      <c r="PEU43" s="56"/>
      <c r="PEV43" s="56"/>
      <c r="PEW43" s="56"/>
      <c r="PEX43" s="56"/>
      <c r="PEY43" s="56"/>
      <c r="PEZ43" s="56"/>
      <c r="PFA43" s="56"/>
      <c r="PFB43" s="56"/>
      <c r="PFC43" s="56"/>
      <c r="PFD43" s="56"/>
      <c r="PFE43" s="56"/>
      <c r="PFF43" s="56"/>
      <c r="PFG43" s="56"/>
      <c r="PFH43" s="56"/>
      <c r="PFI43" s="56"/>
      <c r="PFJ43" s="56"/>
      <c r="PFK43" s="56"/>
      <c r="PFL43" s="56"/>
      <c r="PFM43" s="56"/>
      <c r="PFN43" s="56"/>
      <c r="PFO43" s="56"/>
      <c r="PFP43" s="56"/>
      <c r="PFQ43" s="56"/>
      <c r="PFR43" s="56"/>
      <c r="PFS43" s="56"/>
      <c r="PFT43" s="56"/>
      <c r="PFU43" s="56"/>
      <c r="PFV43" s="56"/>
      <c r="PFW43" s="56"/>
      <c r="PFX43" s="56"/>
      <c r="PFY43" s="56"/>
      <c r="PFZ43" s="56"/>
      <c r="PGA43" s="56"/>
      <c r="PGB43" s="56"/>
      <c r="PGC43" s="56"/>
      <c r="PGD43" s="56"/>
      <c r="PGE43" s="56"/>
      <c r="PGF43" s="56"/>
      <c r="PGG43" s="56"/>
      <c r="PGH43" s="56"/>
      <c r="PGI43" s="56"/>
      <c r="PGJ43" s="56"/>
      <c r="PGK43" s="56"/>
      <c r="PGL43" s="56"/>
      <c r="PGM43" s="56"/>
      <c r="PGN43" s="56"/>
      <c r="PGO43" s="56"/>
      <c r="PGP43" s="56"/>
      <c r="PGQ43" s="56"/>
      <c r="PGR43" s="56"/>
      <c r="PGS43" s="56"/>
      <c r="PGT43" s="56"/>
      <c r="PGU43" s="56"/>
      <c r="PGV43" s="56"/>
      <c r="PGW43" s="56"/>
      <c r="PGX43" s="56"/>
      <c r="PGY43" s="56"/>
      <c r="PGZ43" s="56"/>
      <c r="PHA43" s="56"/>
      <c r="PHB43" s="56"/>
      <c r="PHC43" s="56"/>
      <c r="PHD43" s="56"/>
      <c r="PHE43" s="56"/>
      <c r="PHF43" s="56"/>
      <c r="PHG43" s="56"/>
      <c r="PHH43" s="56"/>
      <c r="PHI43" s="56"/>
      <c r="PHJ43" s="56"/>
      <c r="PHK43" s="56"/>
      <c r="PHL43" s="56"/>
      <c r="PHM43" s="56"/>
      <c r="PHN43" s="56"/>
      <c r="PHO43" s="56"/>
      <c r="PHP43" s="56"/>
      <c r="PHQ43" s="56"/>
      <c r="PHR43" s="56"/>
      <c r="PHS43" s="56"/>
      <c r="PHT43" s="56"/>
      <c r="PHU43" s="56"/>
      <c r="PHV43" s="56"/>
      <c r="PHW43" s="56"/>
      <c r="PHX43" s="56"/>
      <c r="PHY43" s="56"/>
      <c r="PHZ43" s="56"/>
      <c r="PIA43" s="56"/>
      <c r="PIB43" s="56"/>
      <c r="PIC43" s="56"/>
      <c r="PID43" s="56"/>
      <c r="PIE43" s="56"/>
      <c r="PIF43" s="56"/>
      <c r="PIG43" s="56"/>
      <c r="PIH43" s="56"/>
      <c r="PII43" s="56"/>
      <c r="PIJ43" s="56"/>
      <c r="PIK43" s="56"/>
      <c r="PIL43" s="56"/>
      <c r="PIM43" s="56"/>
      <c r="PIN43" s="56"/>
      <c r="PIO43" s="56"/>
      <c r="PIP43" s="56"/>
      <c r="PIQ43" s="56"/>
      <c r="PIR43" s="56"/>
      <c r="PIS43" s="56"/>
      <c r="PIT43" s="56"/>
      <c r="PIU43" s="56"/>
      <c r="PIV43" s="56"/>
      <c r="PIW43" s="56"/>
      <c r="PIX43" s="56"/>
      <c r="PIY43" s="56"/>
      <c r="PIZ43" s="56"/>
      <c r="PJA43" s="56"/>
      <c r="PJB43" s="56"/>
      <c r="PJC43" s="56"/>
      <c r="PJD43" s="56"/>
      <c r="PJE43" s="56"/>
      <c r="PJF43" s="56"/>
      <c r="PJG43" s="56"/>
      <c r="PJH43" s="56"/>
      <c r="PJI43" s="56"/>
      <c r="PJJ43" s="56"/>
      <c r="PJK43" s="56"/>
      <c r="PJL43" s="56"/>
      <c r="PJM43" s="56"/>
      <c r="PJN43" s="56"/>
      <c r="PJO43" s="56"/>
      <c r="PJP43" s="56"/>
      <c r="PJQ43" s="56"/>
      <c r="PJR43" s="56"/>
      <c r="PJS43" s="56"/>
      <c r="PJT43" s="56"/>
      <c r="PJU43" s="56"/>
      <c r="PJV43" s="56"/>
      <c r="PJW43" s="56"/>
      <c r="PJX43" s="56"/>
      <c r="PJY43" s="56"/>
      <c r="PJZ43" s="56"/>
      <c r="PKA43" s="56"/>
      <c r="PKB43" s="56"/>
      <c r="PKC43" s="56"/>
      <c r="PKD43" s="56"/>
      <c r="PKE43" s="56"/>
      <c r="PKF43" s="56"/>
      <c r="PKG43" s="56"/>
      <c r="PKH43" s="56"/>
      <c r="PKI43" s="56"/>
      <c r="PKJ43" s="56"/>
      <c r="PKK43" s="56"/>
      <c r="PKL43" s="56"/>
      <c r="PKM43" s="56"/>
      <c r="PKN43" s="56"/>
      <c r="PKO43" s="56"/>
      <c r="PKP43" s="56"/>
      <c r="PKQ43" s="56"/>
      <c r="PKR43" s="56"/>
      <c r="PKS43" s="56"/>
      <c r="PKT43" s="56"/>
      <c r="PKU43" s="56"/>
      <c r="PKV43" s="56"/>
      <c r="PKW43" s="56"/>
      <c r="PKX43" s="56"/>
      <c r="PKY43" s="56"/>
      <c r="PKZ43" s="56"/>
      <c r="PLA43" s="56"/>
      <c r="PLB43" s="56"/>
      <c r="PLC43" s="56"/>
      <c r="PLD43" s="56"/>
      <c r="PLE43" s="56"/>
      <c r="PLF43" s="56"/>
      <c r="PLG43" s="56"/>
      <c r="PLH43" s="56"/>
      <c r="PLI43" s="56"/>
      <c r="PLJ43" s="56"/>
      <c r="PLK43" s="56"/>
      <c r="PLL43" s="56"/>
      <c r="PLM43" s="56"/>
      <c r="PLN43" s="56"/>
      <c r="PLO43" s="56"/>
      <c r="PLP43" s="56"/>
      <c r="PLQ43" s="56"/>
      <c r="PLR43" s="56"/>
      <c r="PLS43" s="56"/>
      <c r="PLT43" s="56"/>
      <c r="PLU43" s="56"/>
      <c r="PLV43" s="56"/>
      <c r="PLW43" s="56"/>
      <c r="PLX43" s="56"/>
      <c r="PLY43" s="56"/>
      <c r="PLZ43" s="56"/>
      <c r="PMA43" s="56"/>
      <c r="PMB43" s="56"/>
      <c r="PMC43" s="56"/>
      <c r="PMD43" s="56"/>
      <c r="PME43" s="56"/>
      <c r="PMF43" s="56"/>
      <c r="PMG43" s="56"/>
      <c r="PMH43" s="56"/>
      <c r="PMI43" s="56"/>
      <c r="PMJ43" s="56"/>
      <c r="PMK43" s="56"/>
      <c r="PML43" s="56"/>
      <c r="PMM43" s="56"/>
      <c r="PMN43" s="56"/>
      <c r="PMO43" s="56"/>
      <c r="PMP43" s="56"/>
      <c r="PMQ43" s="56"/>
      <c r="PMR43" s="56"/>
      <c r="PMS43" s="56"/>
      <c r="PMT43" s="56"/>
      <c r="PMU43" s="56"/>
      <c r="PMV43" s="56"/>
      <c r="PMW43" s="56"/>
      <c r="PMX43" s="56"/>
      <c r="PMY43" s="56"/>
      <c r="PMZ43" s="56"/>
      <c r="PNA43" s="56"/>
      <c r="PNB43" s="56"/>
      <c r="PNC43" s="56"/>
      <c r="PND43" s="56"/>
      <c r="PNE43" s="56"/>
      <c r="PNF43" s="56"/>
      <c r="PNG43" s="56"/>
      <c r="PNH43" s="56"/>
      <c r="PNI43" s="56"/>
      <c r="PNJ43" s="56"/>
      <c r="PNK43" s="56"/>
      <c r="PNL43" s="56"/>
      <c r="PNM43" s="56"/>
      <c r="PNN43" s="56"/>
      <c r="PNO43" s="56"/>
      <c r="PNP43" s="56"/>
      <c r="PNQ43" s="56"/>
      <c r="PNR43" s="56"/>
      <c r="PNS43" s="56"/>
      <c r="PNT43" s="56"/>
      <c r="PNU43" s="56"/>
      <c r="PNV43" s="56"/>
      <c r="PNW43" s="56"/>
      <c r="PNX43" s="56"/>
      <c r="PNY43" s="56"/>
      <c r="PNZ43" s="56"/>
      <c r="POA43" s="56"/>
      <c r="POB43" s="56"/>
      <c r="POC43" s="56"/>
      <c r="POD43" s="56"/>
      <c r="POE43" s="56"/>
      <c r="POF43" s="56"/>
      <c r="POG43" s="56"/>
      <c r="POH43" s="56"/>
      <c r="POI43" s="56"/>
      <c r="POJ43" s="56"/>
      <c r="POK43" s="56"/>
      <c r="POL43" s="56"/>
      <c r="POM43" s="56"/>
      <c r="PON43" s="56"/>
      <c r="POO43" s="56"/>
      <c r="POP43" s="56"/>
      <c r="POQ43" s="56"/>
      <c r="POR43" s="56"/>
      <c r="POS43" s="56"/>
      <c r="POT43" s="56"/>
      <c r="POU43" s="56"/>
      <c r="POV43" s="56"/>
      <c r="POW43" s="56"/>
      <c r="POX43" s="56"/>
      <c r="POY43" s="56"/>
      <c r="POZ43" s="56"/>
      <c r="PPA43" s="56"/>
      <c r="PPB43" s="56"/>
      <c r="PPC43" s="56"/>
      <c r="PPD43" s="56"/>
      <c r="PPE43" s="56"/>
      <c r="PPF43" s="56"/>
      <c r="PPG43" s="56"/>
      <c r="PPH43" s="56"/>
      <c r="PPI43" s="56"/>
      <c r="PPJ43" s="56"/>
      <c r="PPK43" s="56"/>
      <c r="PPL43" s="56"/>
      <c r="PPM43" s="56"/>
      <c r="PPN43" s="56"/>
      <c r="PPO43" s="56"/>
      <c r="PPP43" s="56"/>
      <c r="PPQ43" s="56"/>
      <c r="PPR43" s="56"/>
      <c r="PPS43" s="56"/>
      <c r="PPT43" s="56"/>
      <c r="PPU43" s="56"/>
      <c r="PPV43" s="56"/>
      <c r="PPW43" s="56"/>
      <c r="PPX43" s="56"/>
      <c r="PPY43" s="56"/>
      <c r="PPZ43" s="56"/>
      <c r="PQA43" s="56"/>
      <c r="PQB43" s="56"/>
      <c r="PQC43" s="56"/>
      <c r="PQD43" s="56"/>
      <c r="PQE43" s="56"/>
      <c r="PQF43" s="56"/>
      <c r="PQG43" s="56"/>
      <c r="PQH43" s="56"/>
      <c r="PQI43" s="56"/>
      <c r="PQJ43" s="56"/>
      <c r="PQK43" s="56"/>
      <c r="PQL43" s="56"/>
      <c r="PQM43" s="56"/>
      <c r="PQN43" s="56"/>
      <c r="PQO43" s="56"/>
      <c r="PQP43" s="56"/>
      <c r="PQQ43" s="56"/>
      <c r="PQR43" s="56"/>
      <c r="PQS43" s="56"/>
      <c r="PQT43" s="56"/>
      <c r="PQU43" s="56"/>
      <c r="PQV43" s="56"/>
      <c r="PQW43" s="56"/>
      <c r="PQX43" s="56"/>
      <c r="PQY43" s="56"/>
      <c r="PQZ43" s="56"/>
      <c r="PRA43" s="56"/>
      <c r="PRB43" s="56"/>
      <c r="PRC43" s="56"/>
      <c r="PRD43" s="56"/>
      <c r="PRE43" s="56"/>
      <c r="PRF43" s="56"/>
      <c r="PRG43" s="56"/>
      <c r="PRH43" s="56"/>
      <c r="PRI43" s="56"/>
      <c r="PRJ43" s="56"/>
      <c r="PRK43" s="56"/>
      <c r="PRL43" s="56"/>
      <c r="PRM43" s="56"/>
      <c r="PRN43" s="56"/>
      <c r="PRO43" s="56"/>
      <c r="PRP43" s="56"/>
      <c r="PRQ43" s="56"/>
      <c r="PRR43" s="56"/>
      <c r="PRS43" s="56"/>
      <c r="PRT43" s="56"/>
      <c r="PRU43" s="56"/>
      <c r="PRV43" s="56"/>
      <c r="PRW43" s="56"/>
      <c r="PRX43" s="56"/>
      <c r="PRY43" s="56"/>
      <c r="PRZ43" s="56"/>
      <c r="PSA43" s="56"/>
      <c r="PSB43" s="56"/>
      <c r="PSC43" s="56"/>
      <c r="PSD43" s="56"/>
      <c r="PSE43" s="56"/>
      <c r="PSF43" s="56"/>
      <c r="PSG43" s="56"/>
      <c r="PSH43" s="56"/>
      <c r="PSI43" s="56"/>
      <c r="PSJ43" s="56"/>
      <c r="PSK43" s="56"/>
      <c r="PSL43" s="56"/>
      <c r="PSM43" s="56"/>
      <c r="PSN43" s="56"/>
      <c r="PSO43" s="56"/>
      <c r="PSP43" s="56"/>
      <c r="PSQ43" s="56"/>
      <c r="PSR43" s="56"/>
      <c r="PSS43" s="56"/>
      <c r="PST43" s="56"/>
      <c r="PSU43" s="56"/>
      <c r="PSV43" s="56"/>
      <c r="PSW43" s="56"/>
      <c r="PSX43" s="56"/>
      <c r="PSY43" s="56"/>
      <c r="PSZ43" s="56"/>
      <c r="PTA43" s="56"/>
      <c r="PTB43" s="56"/>
      <c r="PTC43" s="56"/>
      <c r="PTD43" s="56"/>
      <c r="PTE43" s="56"/>
      <c r="PTF43" s="56"/>
      <c r="PTG43" s="56"/>
      <c r="PTH43" s="56"/>
      <c r="PTI43" s="56"/>
      <c r="PTJ43" s="56"/>
      <c r="PTK43" s="56"/>
      <c r="PTL43" s="56"/>
      <c r="PTM43" s="56"/>
      <c r="PTN43" s="56"/>
      <c r="PTO43" s="56"/>
      <c r="PTP43" s="56"/>
      <c r="PTQ43" s="56"/>
      <c r="PTR43" s="56"/>
      <c r="PTS43" s="56"/>
      <c r="PTT43" s="56"/>
      <c r="PTU43" s="56"/>
      <c r="PTV43" s="56"/>
      <c r="PTW43" s="56"/>
      <c r="PTX43" s="56"/>
      <c r="PTY43" s="56"/>
      <c r="PTZ43" s="56"/>
      <c r="PUA43" s="56"/>
      <c r="PUB43" s="56"/>
      <c r="PUC43" s="56"/>
      <c r="PUD43" s="56"/>
      <c r="PUE43" s="56"/>
      <c r="PUF43" s="56"/>
      <c r="PUG43" s="56"/>
      <c r="PUH43" s="56"/>
      <c r="PUI43" s="56"/>
      <c r="PUJ43" s="56"/>
      <c r="PUK43" s="56"/>
      <c r="PUL43" s="56"/>
      <c r="PUM43" s="56"/>
      <c r="PUN43" s="56"/>
      <c r="PUO43" s="56"/>
      <c r="PUP43" s="56"/>
      <c r="PUQ43" s="56"/>
      <c r="PUR43" s="56"/>
      <c r="PUS43" s="56"/>
      <c r="PUT43" s="56"/>
      <c r="PUU43" s="56"/>
      <c r="PUV43" s="56"/>
      <c r="PUW43" s="56"/>
      <c r="PUX43" s="56"/>
      <c r="PUY43" s="56"/>
      <c r="PUZ43" s="56"/>
      <c r="PVA43" s="56"/>
      <c r="PVB43" s="56"/>
      <c r="PVC43" s="56"/>
      <c r="PVD43" s="56"/>
      <c r="PVE43" s="56"/>
      <c r="PVF43" s="56"/>
      <c r="PVG43" s="56"/>
      <c r="PVH43" s="56"/>
      <c r="PVI43" s="56"/>
      <c r="PVJ43" s="56"/>
      <c r="PVK43" s="56"/>
      <c r="PVL43" s="56"/>
      <c r="PVM43" s="56"/>
      <c r="PVN43" s="56"/>
      <c r="PVO43" s="56"/>
      <c r="PVP43" s="56"/>
      <c r="PVQ43" s="56"/>
      <c r="PVR43" s="56"/>
      <c r="PVS43" s="56"/>
      <c r="PVT43" s="56"/>
      <c r="PVU43" s="56"/>
      <c r="PVV43" s="56"/>
      <c r="PVW43" s="56"/>
      <c r="PVX43" s="56"/>
      <c r="PVY43" s="56"/>
      <c r="PVZ43" s="56"/>
      <c r="PWA43" s="56"/>
      <c r="PWB43" s="56"/>
      <c r="PWC43" s="56"/>
      <c r="PWD43" s="56"/>
      <c r="PWE43" s="56"/>
      <c r="PWF43" s="56"/>
      <c r="PWG43" s="56"/>
      <c r="PWH43" s="56"/>
      <c r="PWI43" s="56"/>
      <c r="PWJ43" s="56"/>
      <c r="PWK43" s="56"/>
      <c r="PWL43" s="56"/>
      <c r="PWM43" s="56"/>
      <c r="PWN43" s="56"/>
      <c r="PWO43" s="56"/>
      <c r="PWP43" s="56"/>
      <c r="PWQ43" s="56"/>
      <c r="PWR43" s="56"/>
      <c r="PWS43" s="56"/>
      <c r="PWT43" s="56"/>
      <c r="PWU43" s="56"/>
      <c r="PWV43" s="56"/>
      <c r="PWW43" s="56"/>
      <c r="PWX43" s="56"/>
      <c r="PWY43" s="56"/>
      <c r="PWZ43" s="56"/>
      <c r="PXA43" s="56"/>
      <c r="PXB43" s="56"/>
      <c r="PXC43" s="56"/>
      <c r="PXD43" s="56"/>
      <c r="PXE43" s="56"/>
      <c r="PXF43" s="56"/>
      <c r="PXG43" s="56"/>
      <c r="PXH43" s="56"/>
      <c r="PXI43" s="56"/>
      <c r="PXJ43" s="56"/>
      <c r="PXK43" s="56"/>
      <c r="PXL43" s="56"/>
      <c r="PXM43" s="56"/>
      <c r="PXN43" s="56"/>
      <c r="PXO43" s="56"/>
      <c r="PXP43" s="56"/>
      <c r="PXQ43" s="56"/>
      <c r="PXR43" s="56"/>
      <c r="PXS43" s="56"/>
      <c r="PXT43" s="56"/>
      <c r="PXU43" s="56"/>
      <c r="PXV43" s="56"/>
      <c r="PXW43" s="56"/>
      <c r="PXX43" s="56"/>
      <c r="PXY43" s="56"/>
      <c r="PXZ43" s="56"/>
      <c r="PYA43" s="56"/>
      <c r="PYB43" s="56"/>
      <c r="PYC43" s="56"/>
      <c r="PYD43" s="56"/>
      <c r="PYE43" s="56"/>
      <c r="PYF43" s="56"/>
      <c r="PYG43" s="56"/>
      <c r="PYH43" s="56"/>
      <c r="PYI43" s="56"/>
      <c r="PYJ43" s="56"/>
      <c r="PYK43" s="56"/>
      <c r="PYL43" s="56"/>
      <c r="PYM43" s="56"/>
      <c r="PYN43" s="56"/>
      <c r="PYO43" s="56"/>
      <c r="PYP43" s="56"/>
      <c r="PYQ43" s="56"/>
      <c r="PYR43" s="56"/>
      <c r="PYS43" s="56"/>
      <c r="PYT43" s="56"/>
      <c r="PYU43" s="56"/>
      <c r="PYV43" s="56"/>
      <c r="PYW43" s="56"/>
      <c r="PYX43" s="56"/>
      <c r="PYY43" s="56"/>
      <c r="PYZ43" s="56"/>
      <c r="PZA43" s="56"/>
      <c r="PZB43" s="56"/>
      <c r="PZC43" s="56"/>
      <c r="PZD43" s="56"/>
      <c r="PZE43" s="56"/>
      <c r="PZF43" s="56"/>
      <c r="PZG43" s="56"/>
      <c r="PZH43" s="56"/>
      <c r="PZI43" s="56"/>
      <c r="PZJ43" s="56"/>
      <c r="PZK43" s="56"/>
      <c r="PZL43" s="56"/>
      <c r="PZM43" s="56"/>
      <c r="PZN43" s="56"/>
      <c r="PZO43" s="56"/>
      <c r="PZP43" s="56"/>
      <c r="PZQ43" s="56"/>
      <c r="PZR43" s="56"/>
      <c r="PZS43" s="56"/>
      <c r="PZT43" s="56"/>
      <c r="PZU43" s="56"/>
      <c r="PZV43" s="56"/>
      <c r="PZW43" s="56"/>
      <c r="PZX43" s="56"/>
      <c r="PZY43" s="56"/>
      <c r="PZZ43" s="56"/>
      <c r="QAA43" s="56"/>
      <c r="QAB43" s="56"/>
      <c r="QAC43" s="56"/>
      <c r="QAD43" s="56"/>
      <c r="QAE43" s="56"/>
      <c r="QAF43" s="56"/>
      <c r="QAG43" s="56"/>
      <c r="QAH43" s="56"/>
      <c r="QAI43" s="56"/>
      <c r="QAJ43" s="56"/>
      <c r="QAK43" s="56"/>
      <c r="QAL43" s="56"/>
      <c r="QAM43" s="56"/>
      <c r="QAN43" s="56"/>
      <c r="QAO43" s="56"/>
      <c r="QAP43" s="56"/>
      <c r="QAQ43" s="56"/>
      <c r="QAR43" s="56"/>
      <c r="QAS43" s="56"/>
      <c r="QAT43" s="56"/>
      <c r="QAU43" s="56"/>
      <c r="QAV43" s="56"/>
      <c r="QAW43" s="56"/>
      <c r="QAX43" s="56"/>
      <c r="QAY43" s="56"/>
      <c r="QAZ43" s="56"/>
      <c r="QBA43" s="56"/>
      <c r="QBB43" s="56"/>
      <c r="QBC43" s="56"/>
      <c r="QBD43" s="56"/>
      <c r="QBE43" s="56"/>
      <c r="QBF43" s="56"/>
      <c r="QBG43" s="56"/>
      <c r="QBH43" s="56"/>
      <c r="QBI43" s="56"/>
      <c r="QBJ43" s="56"/>
      <c r="QBK43" s="56"/>
      <c r="QBL43" s="56"/>
      <c r="QBM43" s="56"/>
      <c r="QBN43" s="56"/>
      <c r="QBO43" s="56"/>
      <c r="QBP43" s="56"/>
      <c r="QBQ43" s="56"/>
      <c r="QBR43" s="56"/>
      <c r="QBS43" s="56"/>
      <c r="QBT43" s="56"/>
      <c r="QBU43" s="56"/>
      <c r="QBV43" s="56"/>
      <c r="QBW43" s="56"/>
      <c r="QBX43" s="56"/>
      <c r="QBY43" s="56"/>
      <c r="QBZ43" s="56"/>
      <c r="QCA43" s="56"/>
      <c r="QCB43" s="56"/>
      <c r="QCC43" s="56"/>
      <c r="QCD43" s="56"/>
      <c r="QCE43" s="56"/>
      <c r="QCF43" s="56"/>
      <c r="QCG43" s="56"/>
      <c r="QCH43" s="56"/>
      <c r="QCI43" s="56"/>
      <c r="QCJ43" s="56"/>
      <c r="QCK43" s="56"/>
      <c r="QCL43" s="56"/>
      <c r="QCM43" s="56"/>
      <c r="QCN43" s="56"/>
      <c r="QCO43" s="56"/>
      <c r="QCP43" s="56"/>
      <c r="QCQ43" s="56"/>
      <c r="QCR43" s="56"/>
      <c r="QCS43" s="56"/>
      <c r="QCT43" s="56"/>
      <c r="QCU43" s="56"/>
      <c r="QCV43" s="56"/>
      <c r="QCW43" s="56"/>
      <c r="QCX43" s="56"/>
      <c r="QCY43" s="56"/>
      <c r="QCZ43" s="56"/>
      <c r="QDA43" s="56"/>
      <c r="QDB43" s="56"/>
      <c r="QDC43" s="56"/>
      <c r="QDD43" s="56"/>
      <c r="QDE43" s="56"/>
      <c r="QDF43" s="56"/>
      <c r="QDG43" s="56"/>
      <c r="QDH43" s="56"/>
      <c r="QDI43" s="56"/>
      <c r="QDJ43" s="56"/>
      <c r="QDK43" s="56"/>
      <c r="QDL43" s="56"/>
      <c r="QDM43" s="56"/>
      <c r="QDN43" s="56"/>
      <c r="QDO43" s="56"/>
      <c r="QDP43" s="56"/>
      <c r="QDQ43" s="56"/>
      <c r="QDR43" s="56"/>
      <c r="QDS43" s="56"/>
      <c r="QDT43" s="56"/>
      <c r="QDU43" s="56"/>
      <c r="QDV43" s="56"/>
      <c r="QDW43" s="56"/>
      <c r="QDX43" s="56"/>
      <c r="QDY43" s="56"/>
      <c r="QDZ43" s="56"/>
      <c r="QEA43" s="56"/>
      <c r="QEB43" s="56"/>
      <c r="QEC43" s="56"/>
      <c r="QED43" s="56"/>
      <c r="QEE43" s="56"/>
      <c r="QEF43" s="56"/>
      <c r="QEG43" s="56"/>
      <c r="QEH43" s="56"/>
      <c r="QEI43" s="56"/>
      <c r="QEJ43" s="56"/>
      <c r="QEK43" s="56"/>
      <c r="QEL43" s="56"/>
      <c r="QEM43" s="56"/>
      <c r="QEN43" s="56"/>
      <c r="QEO43" s="56"/>
      <c r="QEP43" s="56"/>
      <c r="QEQ43" s="56"/>
      <c r="QER43" s="56"/>
      <c r="QES43" s="56"/>
      <c r="QET43" s="56"/>
      <c r="QEU43" s="56"/>
      <c r="QEV43" s="56"/>
      <c r="QEW43" s="56"/>
      <c r="QEX43" s="56"/>
      <c r="QEY43" s="56"/>
      <c r="QEZ43" s="56"/>
      <c r="QFA43" s="56"/>
      <c r="QFB43" s="56"/>
      <c r="QFC43" s="56"/>
      <c r="QFD43" s="56"/>
      <c r="QFE43" s="56"/>
      <c r="QFF43" s="56"/>
      <c r="QFG43" s="56"/>
      <c r="QFH43" s="56"/>
      <c r="QFI43" s="56"/>
      <c r="QFJ43" s="56"/>
      <c r="QFK43" s="56"/>
      <c r="QFL43" s="56"/>
      <c r="QFM43" s="56"/>
      <c r="QFN43" s="56"/>
      <c r="QFO43" s="56"/>
      <c r="QFP43" s="56"/>
      <c r="QFQ43" s="56"/>
      <c r="QFR43" s="56"/>
      <c r="QFS43" s="56"/>
      <c r="QFT43" s="56"/>
      <c r="QFU43" s="56"/>
      <c r="QFV43" s="56"/>
      <c r="QFW43" s="56"/>
      <c r="QFX43" s="56"/>
      <c r="QFY43" s="56"/>
      <c r="QFZ43" s="56"/>
      <c r="QGA43" s="56"/>
      <c r="QGB43" s="56"/>
      <c r="QGC43" s="56"/>
      <c r="QGD43" s="56"/>
      <c r="QGE43" s="56"/>
      <c r="QGF43" s="56"/>
      <c r="QGG43" s="56"/>
      <c r="QGH43" s="56"/>
      <c r="QGI43" s="56"/>
      <c r="QGJ43" s="56"/>
      <c r="QGK43" s="56"/>
      <c r="QGL43" s="56"/>
      <c r="QGM43" s="56"/>
      <c r="QGN43" s="56"/>
      <c r="QGO43" s="56"/>
      <c r="QGP43" s="56"/>
      <c r="QGQ43" s="56"/>
      <c r="QGR43" s="56"/>
      <c r="QGS43" s="56"/>
      <c r="QGT43" s="56"/>
      <c r="QGU43" s="56"/>
      <c r="QGV43" s="56"/>
      <c r="QGW43" s="56"/>
      <c r="QGX43" s="56"/>
      <c r="QGY43" s="56"/>
      <c r="QGZ43" s="56"/>
      <c r="QHA43" s="56"/>
      <c r="QHB43" s="56"/>
      <c r="QHC43" s="56"/>
      <c r="QHD43" s="56"/>
      <c r="QHE43" s="56"/>
      <c r="QHF43" s="56"/>
      <c r="QHG43" s="56"/>
      <c r="QHH43" s="56"/>
      <c r="QHI43" s="56"/>
      <c r="QHJ43" s="56"/>
      <c r="QHK43" s="56"/>
      <c r="QHL43" s="56"/>
      <c r="QHM43" s="56"/>
      <c r="QHN43" s="56"/>
      <c r="QHO43" s="56"/>
      <c r="QHP43" s="56"/>
      <c r="QHQ43" s="56"/>
      <c r="QHR43" s="56"/>
      <c r="QHS43" s="56"/>
      <c r="QHT43" s="56"/>
      <c r="QHU43" s="56"/>
      <c r="QHV43" s="56"/>
      <c r="QHW43" s="56"/>
      <c r="QHX43" s="56"/>
      <c r="QHY43" s="56"/>
      <c r="QHZ43" s="56"/>
      <c r="QIA43" s="56"/>
      <c r="QIB43" s="56"/>
      <c r="QIC43" s="56"/>
      <c r="QID43" s="56"/>
      <c r="QIE43" s="56"/>
      <c r="QIF43" s="56"/>
      <c r="QIG43" s="56"/>
      <c r="QIH43" s="56"/>
      <c r="QII43" s="56"/>
      <c r="QIJ43" s="56"/>
      <c r="QIK43" s="56"/>
      <c r="QIL43" s="56"/>
      <c r="QIM43" s="56"/>
      <c r="QIN43" s="56"/>
      <c r="QIO43" s="56"/>
      <c r="QIP43" s="56"/>
      <c r="QIQ43" s="56"/>
      <c r="QIR43" s="56"/>
      <c r="QIS43" s="56"/>
      <c r="QIT43" s="56"/>
      <c r="QIU43" s="56"/>
      <c r="QIV43" s="56"/>
      <c r="QIW43" s="56"/>
      <c r="QIX43" s="56"/>
      <c r="QIY43" s="56"/>
      <c r="QIZ43" s="56"/>
      <c r="QJA43" s="56"/>
      <c r="QJB43" s="56"/>
      <c r="QJC43" s="56"/>
      <c r="QJD43" s="56"/>
      <c r="QJE43" s="56"/>
      <c r="QJF43" s="56"/>
      <c r="QJG43" s="56"/>
      <c r="QJH43" s="56"/>
      <c r="QJI43" s="56"/>
      <c r="QJJ43" s="56"/>
      <c r="QJK43" s="56"/>
      <c r="QJL43" s="56"/>
      <c r="QJM43" s="56"/>
      <c r="QJN43" s="56"/>
      <c r="QJO43" s="56"/>
      <c r="QJP43" s="56"/>
      <c r="QJQ43" s="56"/>
      <c r="QJR43" s="56"/>
      <c r="QJS43" s="56"/>
      <c r="QJT43" s="56"/>
      <c r="QJU43" s="56"/>
      <c r="QJV43" s="56"/>
      <c r="QJW43" s="56"/>
      <c r="QJX43" s="56"/>
      <c r="QJY43" s="56"/>
      <c r="QJZ43" s="56"/>
      <c r="QKA43" s="56"/>
      <c r="QKB43" s="56"/>
      <c r="QKC43" s="56"/>
      <c r="QKD43" s="56"/>
      <c r="QKE43" s="56"/>
      <c r="QKF43" s="56"/>
      <c r="QKG43" s="56"/>
      <c r="QKH43" s="56"/>
      <c r="QKI43" s="56"/>
      <c r="QKJ43" s="56"/>
      <c r="QKK43" s="56"/>
      <c r="QKL43" s="56"/>
      <c r="QKM43" s="56"/>
      <c r="QKN43" s="56"/>
      <c r="QKO43" s="56"/>
      <c r="QKP43" s="56"/>
      <c r="QKQ43" s="56"/>
      <c r="QKR43" s="56"/>
      <c r="QKS43" s="56"/>
      <c r="QKT43" s="56"/>
      <c r="QKU43" s="56"/>
      <c r="QKV43" s="56"/>
      <c r="QKW43" s="56"/>
      <c r="QKX43" s="56"/>
      <c r="QKY43" s="56"/>
      <c r="QKZ43" s="56"/>
      <c r="QLA43" s="56"/>
      <c r="QLB43" s="56"/>
      <c r="QLC43" s="56"/>
      <c r="QLD43" s="56"/>
      <c r="QLE43" s="56"/>
      <c r="QLF43" s="56"/>
      <c r="QLG43" s="56"/>
      <c r="QLH43" s="56"/>
      <c r="QLI43" s="56"/>
      <c r="QLJ43" s="56"/>
      <c r="QLK43" s="56"/>
      <c r="QLL43" s="56"/>
      <c r="QLM43" s="56"/>
      <c r="QLN43" s="56"/>
      <c r="QLO43" s="56"/>
      <c r="QLP43" s="56"/>
      <c r="QLQ43" s="56"/>
      <c r="QLR43" s="56"/>
      <c r="QLS43" s="56"/>
      <c r="QLT43" s="56"/>
      <c r="QLU43" s="56"/>
      <c r="QLV43" s="56"/>
      <c r="QLW43" s="56"/>
      <c r="QLX43" s="56"/>
      <c r="QLY43" s="56"/>
      <c r="QLZ43" s="56"/>
      <c r="QMA43" s="56"/>
      <c r="QMB43" s="56"/>
      <c r="QMC43" s="56"/>
      <c r="QMD43" s="56"/>
      <c r="QME43" s="56"/>
      <c r="QMF43" s="56"/>
      <c r="QMG43" s="56"/>
      <c r="QMH43" s="56"/>
      <c r="QMI43" s="56"/>
      <c r="QMJ43" s="56"/>
      <c r="QMK43" s="56"/>
      <c r="QML43" s="56"/>
      <c r="QMM43" s="56"/>
      <c r="QMN43" s="56"/>
      <c r="QMO43" s="56"/>
      <c r="QMP43" s="56"/>
      <c r="QMQ43" s="56"/>
      <c r="QMR43" s="56"/>
      <c r="QMS43" s="56"/>
      <c r="QMT43" s="56"/>
      <c r="QMU43" s="56"/>
      <c r="QMV43" s="56"/>
      <c r="QMW43" s="56"/>
      <c r="QMX43" s="56"/>
      <c r="QMY43" s="56"/>
      <c r="QMZ43" s="56"/>
      <c r="QNA43" s="56"/>
      <c r="QNB43" s="56"/>
      <c r="QNC43" s="56"/>
      <c r="QND43" s="56"/>
      <c r="QNE43" s="56"/>
      <c r="QNF43" s="56"/>
      <c r="QNG43" s="56"/>
      <c r="QNH43" s="56"/>
      <c r="QNI43" s="56"/>
      <c r="QNJ43" s="56"/>
      <c r="QNK43" s="56"/>
      <c r="QNL43" s="56"/>
      <c r="QNM43" s="56"/>
      <c r="QNN43" s="56"/>
      <c r="QNO43" s="56"/>
      <c r="QNP43" s="56"/>
      <c r="QNQ43" s="56"/>
      <c r="QNR43" s="56"/>
      <c r="QNS43" s="56"/>
      <c r="QNT43" s="56"/>
      <c r="QNU43" s="56"/>
      <c r="QNV43" s="56"/>
      <c r="QNW43" s="56"/>
      <c r="QNX43" s="56"/>
      <c r="QNY43" s="56"/>
      <c r="QNZ43" s="56"/>
      <c r="QOA43" s="56"/>
      <c r="QOB43" s="56"/>
      <c r="QOC43" s="56"/>
      <c r="QOD43" s="56"/>
      <c r="QOE43" s="56"/>
      <c r="QOF43" s="56"/>
      <c r="QOG43" s="56"/>
      <c r="QOH43" s="56"/>
      <c r="QOI43" s="56"/>
      <c r="QOJ43" s="56"/>
      <c r="QOK43" s="56"/>
      <c r="QOL43" s="56"/>
      <c r="QOM43" s="56"/>
      <c r="QON43" s="56"/>
      <c r="QOO43" s="56"/>
      <c r="QOP43" s="56"/>
      <c r="QOQ43" s="56"/>
      <c r="QOR43" s="56"/>
      <c r="QOS43" s="56"/>
      <c r="QOT43" s="56"/>
      <c r="QOU43" s="56"/>
      <c r="QOV43" s="56"/>
      <c r="QOW43" s="56"/>
      <c r="QOX43" s="56"/>
      <c r="QOY43" s="56"/>
      <c r="QOZ43" s="56"/>
      <c r="QPA43" s="56"/>
      <c r="QPB43" s="56"/>
      <c r="QPC43" s="56"/>
      <c r="QPD43" s="56"/>
      <c r="QPE43" s="56"/>
      <c r="QPF43" s="56"/>
      <c r="QPG43" s="56"/>
      <c r="QPH43" s="56"/>
      <c r="QPI43" s="56"/>
      <c r="QPJ43" s="56"/>
      <c r="QPK43" s="56"/>
      <c r="QPL43" s="56"/>
      <c r="QPM43" s="56"/>
      <c r="QPN43" s="56"/>
      <c r="QPO43" s="56"/>
      <c r="QPP43" s="56"/>
      <c r="QPQ43" s="56"/>
      <c r="QPR43" s="56"/>
      <c r="QPS43" s="56"/>
      <c r="QPT43" s="56"/>
      <c r="QPU43" s="56"/>
      <c r="QPV43" s="56"/>
      <c r="QPW43" s="56"/>
      <c r="QPX43" s="56"/>
      <c r="QPY43" s="56"/>
      <c r="QPZ43" s="56"/>
      <c r="QQA43" s="56"/>
      <c r="QQB43" s="56"/>
      <c r="QQC43" s="56"/>
      <c r="QQD43" s="56"/>
      <c r="QQE43" s="56"/>
      <c r="QQF43" s="56"/>
      <c r="QQG43" s="56"/>
      <c r="QQH43" s="56"/>
      <c r="QQI43" s="56"/>
      <c r="QQJ43" s="56"/>
      <c r="QQK43" s="56"/>
      <c r="QQL43" s="56"/>
      <c r="QQM43" s="56"/>
      <c r="QQN43" s="56"/>
      <c r="QQO43" s="56"/>
      <c r="QQP43" s="56"/>
      <c r="QQQ43" s="56"/>
      <c r="QQR43" s="56"/>
      <c r="QQS43" s="56"/>
      <c r="QQT43" s="56"/>
      <c r="QQU43" s="56"/>
      <c r="QQV43" s="56"/>
      <c r="QQW43" s="56"/>
      <c r="QQX43" s="56"/>
      <c r="QQY43" s="56"/>
      <c r="QQZ43" s="56"/>
      <c r="QRA43" s="56"/>
      <c r="QRB43" s="56"/>
      <c r="QRC43" s="56"/>
      <c r="QRD43" s="56"/>
      <c r="QRE43" s="56"/>
      <c r="QRF43" s="56"/>
      <c r="QRG43" s="56"/>
      <c r="QRH43" s="56"/>
      <c r="QRI43" s="56"/>
      <c r="QRJ43" s="56"/>
      <c r="QRK43" s="56"/>
      <c r="QRL43" s="56"/>
      <c r="QRM43" s="56"/>
      <c r="QRN43" s="56"/>
      <c r="QRO43" s="56"/>
      <c r="QRP43" s="56"/>
      <c r="QRQ43" s="56"/>
      <c r="QRR43" s="56"/>
      <c r="QRS43" s="56"/>
      <c r="QRT43" s="56"/>
      <c r="QRU43" s="56"/>
      <c r="QRV43" s="56"/>
      <c r="QRW43" s="56"/>
      <c r="QRX43" s="56"/>
      <c r="QRY43" s="56"/>
      <c r="QRZ43" s="56"/>
      <c r="QSA43" s="56"/>
      <c r="QSB43" s="56"/>
      <c r="QSC43" s="56"/>
      <c r="QSD43" s="56"/>
      <c r="QSE43" s="56"/>
      <c r="QSF43" s="56"/>
      <c r="QSG43" s="56"/>
      <c r="QSH43" s="56"/>
      <c r="QSI43" s="56"/>
      <c r="QSJ43" s="56"/>
      <c r="QSK43" s="56"/>
      <c r="QSL43" s="56"/>
      <c r="QSM43" s="56"/>
      <c r="QSN43" s="56"/>
      <c r="QSO43" s="56"/>
      <c r="QSP43" s="56"/>
      <c r="QSQ43" s="56"/>
      <c r="QSR43" s="56"/>
      <c r="QSS43" s="56"/>
      <c r="QST43" s="56"/>
      <c r="QSU43" s="56"/>
      <c r="QSV43" s="56"/>
      <c r="QSW43" s="56"/>
      <c r="QSX43" s="56"/>
      <c r="QSY43" s="56"/>
      <c r="QSZ43" s="56"/>
      <c r="QTA43" s="56"/>
      <c r="QTB43" s="56"/>
      <c r="QTC43" s="56"/>
      <c r="QTD43" s="56"/>
      <c r="QTE43" s="56"/>
      <c r="QTF43" s="56"/>
      <c r="QTG43" s="56"/>
      <c r="QTH43" s="56"/>
      <c r="QTI43" s="56"/>
      <c r="QTJ43" s="56"/>
      <c r="QTK43" s="56"/>
      <c r="QTL43" s="56"/>
      <c r="QTM43" s="56"/>
      <c r="QTN43" s="56"/>
      <c r="QTO43" s="56"/>
      <c r="QTP43" s="56"/>
      <c r="QTQ43" s="56"/>
      <c r="QTR43" s="56"/>
      <c r="QTS43" s="56"/>
      <c r="QTT43" s="56"/>
      <c r="QTU43" s="56"/>
      <c r="QTV43" s="56"/>
      <c r="QTW43" s="56"/>
      <c r="QTX43" s="56"/>
      <c r="QTY43" s="56"/>
      <c r="QTZ43" s="56"/>
      <c r="QUA43" s="56"/>
      <c r="QUB43" s="56"/>
      <c r="QUC43" s="56"/>
      <c r="QUD43" s="56"/>
      <c r="QUE43" s="56"/>
      <c r="QUF43" s="56"/>
      <c r="QUG43" s="56"/>
      <c r="QUH43" s="56"/>
      <c r="QUI43" s="56"/>
      <c r="QUJ43" s="56"/>
      <c r="QUK43" s="56"/>
      <c r="QUL43" s="56"/>
      <c r="QUM43" s="56"/>
      <c r="QUN43" s="56"/>
      <c r="QUO43" s="56"/>
      <c r="QUP43" s="56"/>
      <c r="QUQ43" s="56"/>
      <c r="QUR43" s="56"/>
      <c r="QUS43" s="56"/>
      <c r="QUT43" s="56"/>
      <c r="QUU43" s="56"/>
      <c r="QUV43" s="56"/>
      <c r="QUW43" s="56"/>
      <c r="QUX43" s="56"/>
      <c r="QUY43" s="56"/>
      <c r="QUZ43" s="56"/>
      <c r="QVA43" s="56"/>
      <c r="QVB43" s="56"/>
      <c r="QVC43" s="56"/>
      <c r="QVD43" s="56"/>
      <c r="QVE43" s="56"/>
      <c r="QVF43" s="56"/>
      <c r="QVG43" s="56"/>
      <c r="QVH43" s="56"/>
      <c r="QVI43" s="56"/>
      <c r="QVJ43" s="56"/>
      <c r="QVK43" s="56"/>
      <c r="QVL43" s="56"/>
      <c r="QVM43" s="56"/>
      <c r="QVN43" s="56"/>
      <c r="QVO43" s="56"/>
      <c r="QVP43" s="56"/>
      <c r="QVQ43" s="56"/>
      <c r="QVR43" s="56"/>
      <c r="QVS43" s="56"/>
      <c r="QVT43" s="56"/>
      <c r="QVU43" s="56"/>
      <c r="QVV43" s="56"/>
      <c r="QVW43" s="56"/>
      <c r="QVX43" s="56"/>
      <c r="QVY43" s="56"/>
      <c r="QVZ43" s="56"/>
      <c r="QWA43" s="56"/>
      <c r="QWB43" s="56"/>
      <c r="QWC43" s="56"/>
      <c r="QWD43" s="56"/>
      <c r="QWE43" s="56"/>
      <c r="QWF43" s="56"/>
      <c r="QWG43" s="56"/>
      <c r="QWH43" s="56"/>
      <c r="QWI43" s="56"/>
      <c r="QWJ43" s="56"/>
      <c r="QWK43" s="56"/>
      <c r="QWL43" s="56"/>
      <c r="QWM43" s="56"/>
      <c r="QWN43" s="56"/>
      <c r="QWO43" s="56"/>
      <c r="QWP43" s="56"/>
      <c r="QWQ43" s="56"/>
      <c r="QWR43" s="56"/>
      <c r="QWS43" s="56"/>
      <c r="QWT43" s="56"/>
      <c r="QWU43" s="56"/>
      <c r="QWV43" s="56"/>
      <c r="QWW43" s="56"/>
      <c r="QWX43" s="56"/>
      <c r="QWY43" s="56"/>
      <c r="QWZ43" s="56"/>
      <c r="QXA43" s="56"/>
      <c r="QXB43" s="56"/>
      <c r="QXC43" s="56"/>
      <c r="QXD43" s="56"/>
      <c r="QXE43" s="56"/>
      <c r="QXF43" s="56"/>
      <c r="QXG43" s="56"/>
      <c r="QXH43" s="56"/>
      <c r="QXI43" s="56"/>
      <c r="QXJ43" s="56"/>
      <c r="QXK43" s="56"/>
      <c r="QXL43" s="56"/>
      <c r="QXM43" s="56"/>
      <c r="QXN43" s="56"/>
      <c r="QXO43" s="56"/>
      <c r="QXP43" s="56"/>
      <c r="QXQ43" s="56"/>
      <c r="QXR43" s="56"/>
      <c r="QXS43" s="56"/>
      <c r="QXT43" s="56"/>
      <c r="QXU43" s="56"/>
      <c r="QXV43" s="56"/>
      <c r="QXW43" s="56"/>
      <c r="QXX43" s="56"/>
      <c r="QXY43" s="56"/>
      <c r="QXZ43" s="56"/>
      <c r="QYA43" s="56"/>
      <c r="QYB43" s="56"/>
      <c r="QYC43" s="56"/>
      <c r="QYD43" s="56"/>
      <c r="QYE43" s="56"/>
      <c r="QYF43" s="56"/>
      <c r="QYG43" s="56"/>
      <c r="QYH43" s="56"/>
      <c r="QYI43" s="56"/>
      <c r="QYJ43" s="56"/>
      <c r="QYK43" s="56"/>
      <c r="QYL43" s="56"/>
      <c r="QYM43" s="56"/>
      <c r="QYN43" s="56"/>
      <c r="QYO43" s="56"/>
      <c r="QYP43" s="56"/>
      <c r="QYQ43" s="56"/>
      <c r="QYR43" s="56"/>
      <c r="QYS43" s="56"/>
      <c r="QYT43" s="56"/>
      <c r="QYU43" s="56"/>
      <c r="QYV43" s="56"/>
      <c r="QYW43" s="56"/>
      <c r="QYX43" s="56"/>
      <c r="QYY43" s="56"/>
      <c r="QYZ43" s="56"/>
      <c r="QZA43" s="56"/>
      <c r="QZB43" s="56"/>
      <c r="QZC43" s="56"/>
      <c r="QZD43" s="56"/>
      <c r="QZE43" s="56"/>
      <c r="QZF43" s="56"/>
      <c r="QZG43" s="56"/>
      <c r="QZH43" s="56"/>
      <c r="QZI43" s="56"/>
      <c r="QZJ43" s="56"/>
      <c r="QZK43" s="56"/>
      <c r="QZL43" s="56"/>
      <c r="QZM43" s="56"/>
      <c r="QZN43" s="56"/>
      <c r="QZO43" s="56"/>
      <c r="QZP43" s="56"/>
      <c r="QZQ43" s="56"/>
      <c r="QZR43" s="56"/>
      <c r="QZS43" s="56"/>
      <c r="QZT43" s="56"/>
      <c r="QZU43" s="56"/>
      <c r="QZV43" s="56"/>
      <c r="QZW43" s="56"/>
      <c r="QZX43" s="56"/>
      <c r="QZY43" s="56"/>
      <c r="QZZ43" s="56"/>
      <c r="RAA43" s="56"/>
      <c r="RAB43" s="56"/>
      <c r="RAC43" s="56"/>
      <c r="RAD43" s="56"/>
      <c r="RAE43" s="56"/>
      <c r="RAF43" s="56"/>
      <c r="RAG43" s="56"/>
      <c r="RAH43" s="56"/>
      <c r="RAI43" s="56"/>
      <c r="RAJ43" s="56"/>
      <c r="RAK43" s="56"/>
      <c r="RAL43" s="56"/>
      <c r="RAM43" s="56"/>
      <c r="RAN43" s="56"/>
      <c r="RAO43" s="56"/>
      <c r="RAP43" s="56"/>
      <c r="RAQ43" s="56"/>
      <c r="RAR43" s="56"/>
      <c r="RAS43" s="56"/>
      <c r="RAT43" s="56"/>
      <c r="RAU43" s="56"/>
      <c r="RAV43" s="56"/>
      <c r="RAW43" s="56"/>
      <c r="RAX43" s="56"/>
      <c r="RAY43" s="56"/>
      <c r="RAZ43" s="56"/>
      <c r="RBA43" s="56"/>
      <c r="RBB43" s="56"/>
      <c r="RBC43" s="56"/>
      <c r="RBD43" s="56"/>
      <c r="RBE43" s="56"/>
      <c r="RBF43" s="56"/>
      <c r="RBG43" s="56"/>
      <c r="RBH43" s="56"/>
      <c r="RBI43" s="56"/>
      <c r="RBJ43" s="56"/>
      <c r="RBK43" s="56"/>
      <c r="RBL43" s="56"/>
      <c r="RBM43" s="56"/>
      <c r="RBN43" s="56"/>
      <c r="RBO43" s="56"/>
      <c r="RBP43" s="56"/>
      <c r="RBQ43" s="56"/>
      <c r="RBR43" s="56"/>
      <c r="RBS43" s="56"/>
      <c r="RBT43" s="56"/>
      <c r="RBU43" s="56"/>
      <c r="RBV43" s="56"/>
      <c r="RBW43" s="56"/>
      <c r="RBX43" s="56"/>
      <c r="RBY43" s="56"/>
      <c r="RBZ43" s="56"/>
      <c r="RCA43" s="56"/>
      <c r="RCB43" s="56"/>
      <c r="RCC43" s="56"/>
      <c r="RCD43" s="56"/>
      <c r="RCE43" s="56"/>
      <c r="RCF43" s="56"/>
      <c r="RCG43" s="56"/>
      <c r="RCH43" s="56"/>
      <c r="RCI43" s="56"/>
      <c r="RCJ43" s="56"/>
      <c r="RCK43" s="56"/>
      <c r="RCL43" s="56"/>
      <c r="RCM43" s="56"/>
      <c r="RCN43" s="56"/>
      <c r="RCO43" s="56"/>
      <c r="RCP43" s="56"/>
      <c r="RCQ43" s="56"/>
      <c r="RCR43" s="56"/>
      <c r="RCS43" s="56"/>
      <c r="RCT43" s="56"/>
      <c r="RCU43" s="56"/>
      <c r="RCV43" s="56"/>
      <c r="RCW43" s="56"/>
      <c r="RCX43" s="56"/>
      <c r="RCY43" s="56"/>
      <c r="RCZ43" s="56"/>
      <c r="RDA43" s="56"/>
      <c r="RDB43" s="56"/>
      <c r="RDC43" s="56"/>
      <c r="RDD43" s="56"/>
      <c r="RDE43" s="56"/>
      <c r="RDF43" s="56"/>
      <c r="RDG43" s="56"/>
      <c r="RDH43" s="56"/>
      <c r="RDI43" s="56"/>
      <c r="RDJ43" s="56"/>
      <c r="RDK43" s="56"/>
      <c r="RDL43" s="56"/>
      <c r="RDM43" s="56"/>
      <c r="RDN43" s="56"/>
      <c r="RDO43" s="56"/>
      <c r="RDP43" s="56"/>
      <c r="RDQ43" s="56"/>
      <c r="RDR43" s="56"/>
      <c r="RDS43" s="56"/>
      <c r="RDT43" s="56"/>
      <c r="RDU43" s="56"/>
      <c r="RDV43" s="56"/>
      <c r="RDW43" s="56"/>
      <c r="RDX43" s="56"/>
      <c r="RDY43" s="56"/>
      <c r="RDZ43" s="56"/>
      <c r="REA43" s="56"/>
      <c r="REB43" s="56"/>
      <c r="REC43" s="56"/>
      <c r="RED43" s="56"/>
      <c r="REE43" s="56"/>
      <c r="REF43" s="56"/>
      <c r="REG43" s="56"/>
      <c r="REH43" s="56"/>
      <c r="REI43" s="56"/>
      <c r="REJ43" s="56"/>
      <c r="REK43" s="56"/>
      <c r="REL43" s="56"/>
      <c r="REM43" s="56"/>
      <c r="REN43" s="56"/>
      <c r="REO43" s="56"/>
      <c r="REP43" s="56"/>
      <c r="REQ43" s="56"/>
      <c r="RER43" s="56"/>
      <c r="RES43" s="56"/>
      <c r="RET43" s="56"/>
      <c r="REU43" s="56"/>
      <c r="REV43" s="56"/>
      <c r="REW43" s="56"/>
      <c r="REX43" s="56"/>
      <c r="REY43" s="56"/>
      <c r="REZ43" s="56"/>
      <c r="RFA43" s="56"/>
      <c r="RFB43" s="56"/>
      <c r="RFC43" s="56"/>
      <c r="RFD43" s="56"/>
      <c r="RFE43" s="56"/>
      <c r="RFF43" s="56"/>
      <c r="RFG43" s="56"/>
      <c r="RFH43" s="56"/>
      <c r="RFI43" s="56"/>
      <c r="RFJ43" s="56"/>
      <c r="RFK43" s="56"/>
      <c r="RFL43" s="56"/>
      <c r="RFM43" s="56"/>
      <c r="RFN43" s="56"/>
      <c r="RFO43" s="56"/>
      <c r="RFP43" s="56"/>
      <c r="RFQ43" s="56"/>
      <c r="RFR43" s="56"/>
      <c r="RFS43" s="56"/>
      <c r="RFT43" s="56"/>
      <c r="RFU43" s="56"/>
      <c r="RFV43" s="56"/>
      <c r="RFW43" s="56"/>
      <c r="RFX43" s="56"/>
      <c r="RFY43" s="56"/>
      <c r="RFZ43" s="56"/>
      <c r="RGA43" s="56"/>
      <c r="RGB43" s="56"/>
      <c r="RGC43" s="56"/>
      <c r="RGD43" s="56"/>
      <c r="RGE43" s="56"/>
      <c r="RGF43" s="56"/>
      <c r="RGG43" s="56"/>
      <c r="RGH43" s="56"/>
      <c r="RGI43" s="56"/>
      <c r="RGJ43" s="56"/>
      <c r="RGK43" s="56"/>
      <c r="RGL43" s="56"/>
      <c r="RGM43" s="56"/>
      <c r="RGN43" s="56"/>
      <c r="RGO43" s="56"/>
      <c r="RGP43" s="56"/>
      <c r="RGQ43" s="56"/>
      <c r="RGR43" s="56"/>
      <c r="RGS43" s="56"/>
      <c r="RGT43" s="56"/>
      <c r="RGU43" s="56"/>
      <c r="RGV43" s="56"/>
      <c r="RGW43" s="56"/>
      <c r="RGX43" s="56"/>
      <c r="RGY43" s="56"/>
      <c r="RGZ43" s="56"/>
      <c r="RHA43" s="56"/>
      <c r="RHB43" s="56"/>
      <c r="RHC43" s="56"/>
      <c r="RHD43" s="56"/>
      <c r="RHE43" s="56"/>
      <c r="RHF43" s="56"/>
      <c r="RHG43" s="56"/>
      <c r="RHH43" s="56"/>
      <c r="RHI43" s="56"/>
      <c r="RHJ43" s="56"/>
      <c r="RHK43" s="56"/>
      <c r="RHL43" s="56"/>
      <c r="RHM43" s="56"/>
      <c r="RHN43" s="56"/>
      <c r="RHO43" s="56"/>
      <c r="RHP43" s="56"/>
      <c r="RHQ43" s="56"/>
      <c r="RHR43" s="56"/>
      <c r="RHS43" s="56"/>
      <c r="RHT43" s="56"/>
      <c r="RHU43" s="56"/>
      <c r="RHV43" s="56"/>
      <c r="RHW43" s="56"/>
      <c r="RHX43" s="56"/>
      <c r="RHY43" s="56"/>
      <c r="RHZ43" s="56"/>
      <c r="RIA43" s="56"/>
      <c r="RIB43" s="56"/>
      <c r="RIC43" s="56"/>
      <c r="RID43" s="56"/>
      <c r="RIE43" s="56"/>
      <c r="RIF43" s="56"/>
      <c r="RIG43" s="56"/>
      <c r="RIH43" s="56"/>
      <c r="RII43" s="56"/>
      <c r="RIJ43" s="56"/>
      <c r="RIK43" s="56"/>
      <c r="RIL43" s="56"/>
      <c r="RIM43" s="56"/>
      <c r="RIN43" s="56"/>
      <c r="RIO43" s="56"/>
      <c r="RIP43" s="56"/>
      <c r="RIQ43" s="56"/>
      <c r="RIR43" s="56"/>
      <c r="RIS43" s="56"/>
      <c r="RIT43" s="56"/>
      <c r="RIU43" s="56"/>
      <c r="RIV43" s="56"/>
      <c r="RIW43" s="56"/>
      <c r="RIX43" s="56"/>
      <c r="RIY43" s="56"/>
      <c r="RIZ43" s="56"/>
      <c r="RJA43" s="56"/>
      <c r="RJB43" s="56"/>
      <c r="RJC43" s="56"/>
      <c r="RJD43" s="56"/>
      <c r="RJE43" s="56"/>
      <c r="RJF43" s="56"/>
      <c r="RJG43" s="56"/>
      <c r="RJH43" s="56"/>
      <c r="RJI43" s="56"/>
      <c r="RJJ43" s="56"/>
      <c r="RJK43" s="56"/>
      <c r="RJL43" s="56"/>
      <c r="RJM43" s="56"/>
      <c r="RJN43" s="56"/>
      <c r="RJO43" s="56"/>
      <c r="RJP43" s="56"/>
      <c r="RJQ43" s="56"/>
      <c r="RJR43" s="56"/>
      <c r="RJS43" s="56"/>
      <c r="RJT43" s="56"/>
      <c r="RJU43" s="56"/>
      <c r="RJV43" s="56"/>
      <c r="RJW43" s="56"/>
      <c r="RJX43" s="56"/>
      <c r="RJY43" s="56"/>
      <c r="RJZ43" s="56"/>
      <c r="RKA43" s="56"/>
      <c r="RKB43" s="56"/>
      <c r="RKC43" s="56"/>
      <c r="RKD43" s="56"/>
      <c r="RKE43" s="56"/>
      <c r="RKF43" s="56"/>
      <c r="RKG43" s="56"/>
      <c r="RKH43" s="56"/>
      <c r="RKI43" s="56"/>
      <c r="RKJ43" s="56"/>
      <c r="RKK43" s="56"/>
      <c r="RKL43" s="56"/>
      <c r="RKM43" s="56"/>
      <c r="RKN43" s="56"/>
      <c r="RKO43" s="56"/>
      <c r="RKP43" s="56"/>
      <c r="RKQ43" s="56"/>
      <c r="RKR43" s="56"/>
      <c r="RKS43" s="56"/>
      <c r="RKT43" s="56"/>
      <c r="RKU43" s="56"/>
      <c r="RKV43" s="56"/>
      <c r="RKW43" s="56"/>
      <c r="RKX43" s="56"/>
      <c r="RKY43" s="56"/>
      <c r="RKZ43" s="56"/>
      <c r="RLA43" s="56"/>
      <c r="RLB43" s="56"/>
      <c r="RLC43" s="56"/>
      <c r="RLD43" s="56"/>
      <c r="RLE43" s="56"/>
      <c r="RLF43" s="56"/>
      <c r="RLG43" s="56"/>
      <c r="RLH43" s="56"/>
      <c r="RLI43" s="56"/>
      <c r="RLJ43" s="56"/>
      <c r="RLK43" s="56"/>
      <c r="RLL43" s="56"/>
      <c r="RLM43" s="56"/>
      <c r="RLN43" s="56"/>
      <c r="RLO43" s="56"/>
      <c r="RLP43" s="56"/>
      <c r="RLQ43" s="56"/>
      <c r="RLR43" s="56"/>
      <c r="RLS43" s="56"/>
      <c r="RLT43" s="56"/>
      <c r="RLU43" s="56"/>
      <c r="RLV43" s="56"/>
      <c r="RLW43" s="56"/>
      <c r="RLX43" s="56"/>
      <c r="RLY43" s="56"/>
      <c r="RLZ43" s="56"/>
      <c r="RMA43" s="56"/>
      <c r="RMB43" s="56"/>
      <c r="RMC43" s="56"/>
      <c r="RMD43" s="56"/>
      <c r="RME43" s="56"/>
      <c r="RMF43" s="56"/>
      <c r="RMG43" s="56"/>
      <c r="RMH43" s="56"/>
      <c r="RMI43" s="56"/>
      <c r="RMJ43" s="56"/>
      <c r="RMK43" s="56"/>
      <c r="RML43" s="56"/>
      <c r="RMM43" s="56"/>
      <c r="RMN43" s="56"/>
      <c r="RMO43" s="56"/>
      <c r="RMP43" s="56"/>
      <c r="RMQ43" s="56"/>
      <c r="RMR43" s="56"/>
      <c r="RMS43" s="56"/>
      <c r="RMT43" s="56"/>
      <c r="RMU43" s="56"/>
      <c r="RMV43" s="56"/>
      <c r="RMW43" s="56"/>
      <c r="RMX43" s="56"/>
      <c r="RMY43" s="56"/>
      <c r="RMZ43" s="56"/>
      <c r="RNA43" s="56"/>
      <c r="RNB43" s="56"/>
      <c r="RNC43" s="56"/>
      <c r="RND43" s="56"/>
      <c r="RNE43" s="56"/>
      <c r="RNF43" s="56"/>
      <c r="RNG43" s="56"/>
      <c r="RNH43" s="56"/>
      <c r="RNI43" s="56"/>
      <c r="RNJ43" s="56"/>
      <c r="RNK43" s="56"/>
      <c r="RNL43" s="56"/>
      <c r="RNM43" s="56"/>
      <c r="RNN43" s="56"/>
      <c r="RNO43" s="56"/>
      <c r="RNP43" s="56"/>
      <c r="RNQ43" s="56"/>
      <c r="RNR43" s="56"/>
      <c r="RNS43" s="56"/>
      <c r="RNT43" s="56"/>
      <c r="RNU43" s="56"/>
      <c r="RNV43" s="56"/>
      <c r="RNW43" s="56"/>
      <c r="RNX43" s="56"/>
      <c r="RNY43" s="56"/>
      <c r="RNZ43" s="56"/>
      <c r="ROA43" s="56"/>
      <c r="ROB43" s="56"/>
      <c r="ROC43" s="56"/>
      <c r="ROD43" s="56"/>
      <c r="ROE43" s="56"/>
      <c r="ROF43" s="56"/>
      <c r="ROG43" s="56"/>
      <c r="ROH43" s="56"/>
      <c r="ROI43" s="56"/>
      <c r="ROJ43" s="56"/>
      <c r="ROK43" s="56"/>
      <c r="ROL43" s="56"/>
      <c r="ROM43" s="56"/>
      <c r="RON43" s="56"/>
      <c r="ROO43" s="56"/>
      <c r="ROP43" s="56"/>
      <c r="ROQ43" s="56"/>
      <c r="ROR43" s="56"/>
      <c r="ROS43" s="56"/>
      <c r="ROT43" s="56"/>
      <c r="ROU43" s="56"/>
      <c r="ROV43" s="56"/>
      <c r="ROW43" s="56"/>
      <c r="ROX43" s="56"/>
      <c r="ROY43" s="56"/>
      <c r="ROZ43" s="56"/>
      <c r="RPA43" s="56"/>
      <c r="RPB43" s="56"/>
      <c r="RPC43" s="56"/>
      <c r="RPD43" s="56"/>
      <c r="RPE43" s="56"/>
      <c r="RPF43" s="56"/>
      <c r="RPG43" s="56"/>
      <c r="RPH43" s="56"/>
      <c r="RPI43" s="56"/>
      <c r="RPJ43" s="56"/>
      <c r="RPK43" s="56"/>
      <c r="RPL43" s="56"/>
      <c r="RPM43" s="56"/>
      <c r="RPN43" s="56"/>
      <c r="RPO43" s="56"/>
      <c r="RPP43" s="56"/>
      <c r="RPQ43" s="56"/>
      <c r="RPR43" s="56"/>
      <c r="RPS43" s="56"/>
      <c r="RPT43" s="56"/>
      <c r="RPU43" s="56"/>
      <c r="RPV43" s="56"/>
      <c r="RPW43" s="56"/>
      <c r="RPX43" s="56"/>
      <c r="RPY43" s="56"/>
      <c r="RPZ43" s="56"/>
      <c r="RQA43" s="56"/>
      <c r="RQB43" s="56"/>
      <c r="RQC43" s="56"/>
      <c r="RQD43" s="56"/>
      <c r="RQE43" s="56"/>
      <c r="RQF43" s="56"/>
      <c r="RQG43" s="56"/>
      <c r="RQH43" s="56"/>
      <c r="RQI43" s="56"/>
      <c r="RQJ43" s="56"/>
      <c r="RQK43" s="56"/>
      <c r="RQL43" s="56"/>
      <c r="RQM43" s="56"/>
      <c r="RQN43" s="56"/>
      <c r="RQO43" s="56"/>
      <c r="RQP43" s="56"/>
      <c r="RQQ43" s="56"/>
      <c r="RQR43" s="56"/>
      <c r="RQS43" s="56"/>
      <c r="RQT43" s="56"/>
      <c r="RQU43" s="56"/>
      <c r="RQV43" s="56"/>
      <c r="RQW43" s="56"/>
      <c r="RQX43" s="56"/>
      <c r="RQY43" s="56"/>
      <c r="RQZ43" s="56"/>
      <c r="RRA43" s="56"/>
      <c r="RRB43" s="56"/>
      <c r="RRC43" s="56"/>
      <c r="RRD43" s="56"/>
      <c r="RRE43" s="56"/>
      <c r="RRF43" s="56"/>
      <c r="RRG43" s="56"/>
      <c r="RRH43" s="56"/>
      <c r="RRI43" s="56"/>
      <c r="RRJ43" s="56"/>
      <c r="RRK43" s="56"/>
      <c r="RRL43" s="56"/>
      <c r="RRM43" s="56"/>
      <c r="RRN43" s="56"/>
      <c r="RRO43" s="56"/>
      <c r="RRP43" s="56"/>
      <c r="RRQ43" s="56"/>
      <c r="RRR43" s="56"/>
      <c r="RRS43" s="56"/>
      <c r="RRT43" s="56"/>
      <c r="RRU43" s="56"/>
      <c r="RRV43" s="56"/>
      <c r="RRW43" s="56"/>
      <c r="RRX43" s="56"/>
      <c r="RRY43" s="56"/>
      <c r="RRZ43" s="56"/>
      <c r="RSA43" s="56"/>
      <c r="RSB43" s="56"/>
      <c r="RSC43" s="56"/>
      <c r="RSD43" s="56"/>
      <c r="RSE43" s="56"/>
      <c r="RSF43" s="56"/>
      <c r="RSG43" s="56"/>
      <c r="RSH43" s="56"/>
      <c r="RSI43" s="56"/>
      <c r="RSJ43" s="56"/>
      <c r="RSK43" s="56"/>
      <c r="RSL43" s="56"/>
      <c r="RSM43" s="56"/>
      <c r="RSN43" s="56"/>
      <c r="RSO43" s="56"/>
      <c r="RSP43" s="56"/>
      <c r="RSQ43" s="56"/>
      <c r="RSR43" s="56"/>
      <c r="RSS43" s="56"/>
      <c r="RST43" s="56"/>
      <c r="RSU43" s="56"/>
      <c r="RSV43" s="56"/>
      <c r="RSW43" s="56"/>
      <c r="RSX43" s="56"/>
      <c r="RSY43" s="56"/>
      <c r="RSZ43" s="56"/>
      <c r="RTA43" s="56"/>
      <c r="RTB43" s="56"/>
      <c r="RTC43" s="56"/>
      <c r="RTD43" s="56"/>
      <c r="RTE43" s="56"/>
      <c r="RTF43" s="56"/>
      <c r="RTG43" s="56"/>
      <c r="RTH43" s="56"/>
      <c r="RTI43" s="56"/>
      <c r="RTJ43" s="56"/>
      <c r="RTK43" s="56"/>
      <c r="RTL43" s="56"/>
      <c r="RTM43" s="56"/>
      <c r="RTN43" s="56"/>
      <c r="RTO43" s="56"/>
      <c r="RTP43" s="56"/>
      <c r="RTQ43" s="56"/>
      <c r="RTR43" s="56"/>
      <c r="RTS43" s="56"/>
      <c r="RTT43" s="56"/>
      <c r="RTU43" s="56"/>
      <c r="RTV43" s="56"/>
      <c r="RTW43" s="56"/>
      <c r="RTX43" s="56"/>
      <c r="RTY43" s="56"/>
      <c r="RTZ43" s="56"/>
      <c r="RUA43" s="56"/>
      <c r="RUB43" s="56"/>
      <c r="RUC43" s="56"/>
      <c r="RUD43" s="56"/>
      <c r="RUE43" s="56"/>
      <c r="RUF43" s="56"/>
      <c r="RUG43" s="56"/>
      <c r="RUH43" s="56"/>
      <c r="RUI43" s="56"/>
      <c r="RUJ43" s="56"/>
      <c r="RUK43" s="56"/>
      <c r="RUL43" s="56"/>
      <c r="RUM43" s="56"/>
      <c r="RUN43" s="56"/>
      <c r="RUO43" s="56"/>
      <c r="RUP43" s="56"/>
      <c r="RUQ43" s="56"/>
      <c r="RUR43" s="56"/>
      <c r="RUS43" s="56"/>
      <c r="RUT43" s="56"/>
      <c r="RUU43" s="56"/>
      <c r="RUV43" s="56"/>
      <c r="RUW43" s="56"/>
      <c r="RUX43" s="56"/>
      <c r="RUY43" s="56"/>
      <c r="RUZ43" s="56"/>
      <c r="RVA43" s="56"/>
      <c r="RVB43" s="56"/>
      <c r="RVC43" s="56"/>
      <c r="RVD43" s="56"/>
      <c r="RVE43" s="56"/>
      <c r="RVF43" s="56"/>
      <c r="RVG43" s="56"/>
      <c r="RVH43" s="56"/>
      <c r="RVI43" s="56"/>
      <c r="RVJ43" s="56"/>
      <c r="RVK43" s="56"/>
      <c r="RVL43" s="56"/>
      <c r="RVM43" s="56"/>
      <c r="RVN43" s="56"/>
      <c r="RVO43" s="56"/>
      <c r="RVP43" s="56"/>
      <c r="RVQ43" s="56"/>
      <c r="RVR43" s="56"/>
      <c r="RVS43" s="56"/>
      <c r="RVT43" s="56"/>
      <c r="RVU43" s="56"/>
      <c r="RVV43" s="56"/>
      <c r="RVW43" s="56"/>
      <c r="RVX43" s="56"/>
      <c r="RVY43" s="56"/>
      <c r="RVZ43" s="56"/>
      <c r="RWA43" s="56"/>
      <c r="RWB43" s="56"/>
      <c r="RWC43" s="56"/>
      <c r="RWD43" s="56"/>
      <c r="RWE43" s="56"/>
      <c r="RWF43" s="56"/>
      <c r="RWG43" s="56"/>
      <c r="RWH43" s="56"/>
      <c r="RWI43" s="56"/>
      <c r="RWJ43" s="56"/>
      <c r="RWK43" s="56"/>
      <c r="RWL43" s="56"/>
      <c r="RWM43" s="56"/>
      <c r="RWN43" s="56"/>
      <c r="RWO43" s="56"/>
      <c r="RWP43" s="56"/>
      <c r="RWQ43" s="56"/>
      <c r="RWR43" s="56"/>
      <c r="RWS43" s="56"/>
      <c r="RWT43" s="56"/>
      <c r="RWU43" s="56"/>
      <c r="RWV43" s="56"/>
      <c r="RWW43" s="56"/>
      <c r="RWX43" s="56"/>
      <c r="RWY43" s="56"/>
      <c r="RWZ43" s="56"/>
      <c r="RXA43" s="56"/>
      <c r="RXB43" s="56"/>
      <c r="RXC43" s="56"/>
      <c r="RXD43" s="56"/>
      <c r="RXE43" s="56"/>
      <c r="RXF43" s="56"/>
      <c r="RXG43" s="56"/>
      <c r="RXH43" s="56"/>
      <c r="RXI43" s="56"/>
      <c r="RXJ43" s="56"/>
      <c r="RXK43" s="56"/>
      <c r="RXL43" s="56"/>
      <c r="RXM43" s="56"/>
      <c r="RXN43" s="56"/>
      <c r="RXO43" s="56"/>
      <c r="RXP43" s="56"/>
      <c r="RXQ43" s="56"/>
      <c r="RXR43" s="56"/>
      <c r="RXS43" s="56"/>
      <c r="RXT43" s="56"/>
      <c r="RXU43" s="56"/>
      <c r="RXV43" s="56"/>
      <c r="RXW43" s="56"/>
      <c r="RXX43" s="56"/>
      <c r="RXY43" s="56"/>
      <c r="RXZ43" s="56"/>
      <c r="RYA43" s="56"/>
      <c r="RYB43" s="56"/>
      <c r="RYC43" s="56"/>
      <c r="RYD43" s="56"/>
      <c r="RYE43" s="56"/>
      <c r="RYF43" s="56"/>
      <c r="RYG43" s="56"/>
      <c r="RYH43" s="56"/>
      <c r="RYI43" s="56"/>
      <c r="RYJ43" s="56"/>
      <c r="RYK43" s="56"/>
      <c r="RYL43" s="56"/>
      <c r="RYM43" s="56"/>
      <c r="RYN43" s="56"/>
      <c r="RYO43" s="56"/>
      <c r="RYP43" s="56"/>
      <c r="RYQ43" s="56"/>
      <c r="RYR43" s="56"/>
      <c r="RYS43" s="56"/>
      <c r="RYT43" s="56"/>
      <c r="RYU43" s="56"/>
      <c r="RYV43" s="56"/>
      <c r="RYW43" s="56"/>
      <c r="RYX43" s="56"/>
      <c r="RYY43" s="56"/>
      <c r="RYZ43" s="56"/>
      <c r="RZA43" s="56"/>
      <c r="RZB43" s="56"/>
      <c r="RZC43" s="56"/>
      <c r="RZD43" s="56"/>
      <c r="RZE43" s="56"/>
      <c r="RZF43" s="56"/>
      <c r="RZG43" s="56"/>
      <c r="RZH43" s="56"/>
      <c r="RZI43" s="56"/>
      <c r="RZJ43" s="56"/>
      <c r="RZK43" s="56"/>
      <c r="RZL43" s="56"/>
      <c r="RZM43" s="56"/>
      <c r="RZN43" s="56"/>
      <c r="RZO43" s="56"/>
      <c r="RZP43" s="56"/>
      <c r="RZQ43" s="56"/>
      <c r="RZR43" s="56"/>
      <c r="RZS43" s="56"/>
      <c r="RZT43" s="56"/>
      <c r="RZU43" s="56"/>
      <c r="RZV43" s="56"/>
      <c r="RZW43" s="56"/>
      <c r="RZX43" s="56"/>
      <c r="RZY43" s="56"/>
      <c r="RZZ43" s="56"/>
      <c r="SAA43" s="56"/>
      <c r="SAB43" s="56"/>
      <c r="SAC43" s="56"/>
      <c r="SAD43" s="56"/>
      <c r="SAE43" s="56"/>
      <c r="SAF43" s="56"/>
      <c r="SAG43" s="56"/>
      <c r="SAH43" s="56"/>
      <c r="SAI43" s="56"/>
      <c r="SAJ43" s="56"/>
      <c r="SAK43" s="56"/>
      <c r="SAL43" s="56"/>
      <c r="SAM43" s="56"/>
      <c r="SAN43" s="56"/>
      <c r="SAO43" s="56"/>
      <c r="SAP43" s="56"/>
      <c r="SAQ43" s="56"/>
      <c r="SAR43" s="56"/>
      <c r="SAS43" s="56"/>
      <c r="SAT43" s="56"/>
      <c r="SAU43" s="56"/>
      <c r="SAV43" s="56"/>
      <c r="SAW43" s="56"/>
      <c r="SAX43" s="56"/>
      <c r="SAY43" s="56"/>
      <c r="SAZ43" s="56"/>
      <c r="SBA43" s="56"/>
      <c r="SBB43" s="56"/>
      <c r="SBC43" s="56"/>
      <c r="SBD43" s="56"/>
      <c r="SBE43" s="56"/>
      <c r="SBF43" s="56"/>
      <c r="SBG43" s="56"/>
      <c r="SBH43" s="56"/>
      <c r="SBI43" s="56"/>
      <c r="SBJ43" s="56"/>
      <c r="SBK43" s="56"/>
      <c r="SBL43" s="56"/>
      <c r="SBM43" s="56"/>
      <c r="SBN43" s="56"/>
      <c r="SBO43" s="56"/>
      <c r="SBP43" s="56"/>
      <c r="SBQ43" s="56"/>
      <c r="SBR43" s="56"/>
      <c r="SBS43" s="56"/>
      <c r="SBT43" s="56"/>
      <c r="SBU43" s="56"/>
      <c r="SBV43" s="56"/>
      <c r="SBW43" s="56"/>
      <c r="SBX43" s="56"/>
      <c r="SBY43" s="56"/>
      <c r="SBZ43" s="56"/>
      <c r="SCA43" s="56"/>
      <c r="SCB43" s="56"/>
      <c r="SCC43" s="56"/>
      <c r="SCD43" s="56"/>
      <c r="SCE43" s="56"/>
      <c r="SCF43" s="56"/>
      <c r="SCG43" s="56"/>
      <c r="SCH43" s="56"/>
      <c r="SCI43" s="56"/>
      <c r="SCJ43" s="56"/>
      <c r="SCK43" s="56"/>
      <c r="SCL43" s="56"/>
      <c r="SCM43" s="56"/>
      <c r="SCN43" s="56"/>
      <c r="SCO43" s="56"/>
      <c r="SCP43" s="56"/>
      <c r="SCQ43" s="56"/>
      <c r="SCR43" s="56"/>
      <c r="SCS43" s="56"/>
      <c r="SCT43" s="56"/>
      <c r="SCU43" s="56"/>
      <c r="SCV43" s="56"/>
      <c r="SCW43" s="56"/>
      <c r="SCX43" s="56"/>
      <c r="SCY43" s="56"/>
      <c r="SCZ43" s="56"/>
      <c r="SDA43" s="56"/>
      <c r="SDB43" s="56"/>
      <c r="SDC43" s="56"/>
      <c r="SDD43" s="56"/>
      <c r="SDE43" s="56"/>
      <c r="SDF43" s="56"/>
      <c r="SDG43" s="56"/>
      <c r="SDH43" s="56"/>
      <c r="SDI43" s="56"/>
      <c r="SDJ43" s="56"/>
      <c r="SDK43" s="56"/>
      <c r="SDL43" s="56"/>
      <c r="SDM43" s="56"/>
      <c r="SDN43" s="56"/>
      <c r="SDO43" s="56"/>
      <c r="SDP43" s="56"/>
      <c r="SDQ43" s="56"/>
      <c r="SDR43" s="56"/>
      <c r="SDS43" s="56"/>
      <c r="SDT43" s="56"/>
      <c r="SDU43" s="56"/>
      <c r="SDV43" s="56"/>
      <c r="SDW43" s="56"/>
      <c r="SDX43" s="56"/>
      <c r="SDY43" s="56"/>
      <c r="SDZ43" s="56"/>
      <c r="SEA43" s="56"/>
      <c r="SEB43" s="56"/>
      <c r="SEC43" s="56"/>
      <c r="SED43" s="56"/>
      <c r="SEE43" s="56"/>
      <c r="SEF43" s="56"/>
      <c r="SEG43" s="56"/>
      <c r="SEH43" s="56"/>
      <c r="SEI43" s="56"/>
      <c r="SEJ43" s="56"/>
      <c r="SEK43" s="56"/>
      <c r="SEL43" s="56"/>
      <c r="SEM43" s="56"/>
      <c r="SEN43" s="56"/>
      <c r="SEO43" s="56"/>
      <c r="SEP43" s="56"/>
      <c r="SEQ43" s="56"/>
      <c r="SER43" s="56"/>
      <c r="SES43" s="56"/>
      <c r="SET43" s="56"/>
      <c r="SEU43" s="56"/>
      <c r="SEV43" s="56"/>
      <c r="SEW43" s="56"/>
      <c r="SEX43" s="56"/>
      <c r="SEY43" s="56"/>
      <c r="SEZ43" s="56"/>
      <c r="SFA43" s="56"/>
      <c r="SFB43" s="56"/>
      <c r="SFC43" s="56"/>
      <c r="SFD43" s="56"/>
      <c r="SFE43" s="56"/>
      <c r="SFF43" s="56"/>
      <c r="SFG43" s="56"/>
      <c r="SFH43" s="56"/>
      <c r="SFI43" s="56"/>
      <c r="SFJ43" s="56"/>
      <c r="SFK43" s="56"/>
      <c r="SFL43" s="56"/>
      <c r="SFM43" s="56"/>
      <c r="SFN43" s="56"/>
      <c r="SFO43" s="56"/>
      <c r="SFP43" s="56"/>
      <c r="SFQ43" s="56"/>
      <c r="SFR43" s="56"/>
      <c r="SFS43" s="56"/>
      <c r="SFT43" s="56"/>
      <c r="SFU43" s="56"/>
      <c r="SFV43" s="56"/>
      <c r="SFW43" s="56"/>
      <c r="SFX43" s="56"/>
      <c r="SFY43" s="56"/>
      <c r="SFZ43" s="56"/>
      <c r="SGA43" s="56"/>
      <c r="SGB43" s="56"/>
      <c r="SGC43" s="56"/>
      <c r="SGD43" s="56"/>
      <c r="SGE43" s="56"/>
      <c r="SGF43" s="56"/>
      <c r="SGG43" s="56"/>
      <c r="SGH43" s="56"/>
      <c r="SGI43" s="56"/>
      <c r="SGJ43" s="56"/>
      <c r="SGK43" s="56"/>
      <c r="SGL43" s="56"/>
      <c r="SGM43" s="56"/>
      <c r="SGN43" s="56"/>
      <c r="SGO43" s="56"/>
      <c r="SGP43" s="56"/>
      <c r="SGQ43" s="56"/>
      <c r="SGR43" s="56"/>
      <c r="SGS43" s="56"/>
      <c r="SGT43" s="56"/>
      <c r="SGU43" s="56"/>
      <c r="SGV43" s="56"/>
      <c r="SGW43" s="56"/>
      <c r="SGX43" s="56"/>
      <c r="SGY43" s="56"/>
      <c r="SGZ43" s="56"/>
      <c r="SHA43" s="56"/>
      <c r="SHB43" s="56"/>
      <c r="SHC43" s="56"/>
      <c r="SHD43" s="56"/>
      <c r="SHE43" s="56"/>
      <c r="SHF43" s="56"/>
      <c r="SHG43" s="56"/>
      <c r="SHH43" s="56"/>
      <c r="SHI43" s="56"/>
      <c r="SHJ43" s="56"/>
      <c r="SHK43" s="56"/>
      <c r="SHL43" s="56"/>
      <c r="SHM43" s="56"/>
      <c r="SHN43" s="56"/>
      <c r="SHO43" s="56"/>
      <c r="SHP43" s="56"/>
      <c r="SHQ43" s="56"/>
      <c r="SHR43" s="56"/>
      <c r="SHS43" s="56"/>
      <c r="SHT43" s="56"/>
      <c r="SHU43" s="56"/>
      <c r="SHV43" s="56"/>
      <c r="SHW43" s="56"/>
      <c r="SHX43" s="56"/>
      <c r="SHY43" s="56"/>
      <c r="SHZ43" s="56"/>
      <c r="SIA43" s="56"/>
      <c r="SIB43" s="56"/>
      <c r="SIC43" s="56"/>
      <c r="SID43" s="56"/>
      <c r="SIE43" s="56"/>
      <c r="SIF43" s="56"/>
      <c r="SIG43" s="56"/>
      <c r="SIH43" s="56"/>
      <c r="SII43" s="56"/>
      <c r="SIJ43" s="56"/>
      <c r="SIK43" s="56"/>
      <c r="SIL43" s="56"/>
      <c r="SIM43" s="56"/>
      <c r="SIN43" s="56"/>
      <c r="SIO43" s="56"/>
      <c r="SIP43" s="56"/>
      <c r="SIQ43" s="56"/>
      <c r="SIR43" s="56"/>
      <c r="SIS43" s="56"/>
      <c r="SIT43" s="56"/>
      <c r="SIU43" s="56"/>
      <c r="SIV43" s="56"/>
      <c r="SIW43" s="56"/>
      <c r="SIX43" s="56"/>
      <c r="SIY43" s="56"/>
      <c r="SIZ43" s="56"/>
      <c r="SJA43" s="56"/>
      <c r="SJB43" s="56"/>
      <c r="SJC43" s="56"/>
      <c r="SJD43" s="56"/>
      <c r="SJE43" s="56"/>
      <c r="SJF43" s="56"/>
      <c r="SJG43" s="56"/>
      <c r="SJH43" s="56"/>
      <c r="SJI43" s="56"/>
      <c r="SJJ43" s="56"/>
      <c r="SJK43" s="56"/>
      <c r="SJL43" s="56"/>
      <c r="SJM43" s="56"/>
      <c r="SJN43" s="56"/>
      <c r="SJO43" s="56"/>
      <c r="SJP43" s="56"/>
      <c r="SJQ43" s="56"/>
      <c r="SJR43" s="56"/>
      <c r="SJS43" s="56"/>
      <c r="SJT43" s="56"/>
      <c r="SJU43" s="56"/>
      <c r="SJV43" s="56"/>
      <c r="SJW43" s="56"/>
      <c r="SJX43" s="56"/>
      <c r="SJY43" s="56"/>
      <c r="SJZ43" s="56"/>
      <c r="SKA43" s="56"/>
      <c r="SKB43" s="56"/>
      <c r="SKC43" s="56"/>
      <c r="SKD43" s="56"/>
      <c r="SKE43" s="56"/>
      <c r="SKF43" s="56"/>
      <c r="SKG43" s="56"/>
      <c r="SKH43" s="56"/>
      <c r="SKI43" s="56"/>
      <c r="SKJ43" s="56"/>
      <c r="SKK43" s="56"/>
      <c r="SKL43" s="56"/>
      <c r="SKM43" s="56"/>
      <c r="SKN43" s="56"/>
      <c r="SKO43" s="56"/>
      <c r="SKP43" s="56"/>
      <c r="SKQ43" s="56"/>
      <c r="SKR43" s="56"/>
      <c r="SKS43" s="56"/>
      <c r="SKT43" s="56"/>
      <c r="SKU43" s="56"/>
      <c r="SKV43" s="56"/>
      <c r="SKW43" s="56"/>
      <c r="SKX43" s="56"/>
      <c r="SKY43" s="56"/>
      <c r="SKZ43" s="56"/>
      <c r="SLA43" s="56"/>
      <c r="SLB43" s="56"/>
      <c r="SLC43" s="56"/>
      <c r="SLD43" s="56"/>
      <c r="SLE43" s="56"/>
      <c r="SLF43" s="56"/>
      <c r="SLG43" s="56"/>
      <c r="SLH43" s="56"/>
      <c r="SLI43" s="56"/>
      <c r="SLJ43" s="56"/>
      <c r="SLK43" s="56"/>
      <c r="SLL43" s="56"/>
      <c r="SLM43" s="56"/>
      <c r="SLN43" s="56"/>
      <c r="SLO43" s="56"/>
      <c r="SLP43" s="56"/>
      <c r="SLQ43" s="56"/>
      <c r="SLR43" s="56"/>
      <c r="SLS43" s="56"/>
      <c r="SLT43" s="56"/>
      <c r="SLU43" s="56"/>
      <c r="SLV43" s="56"/>
      <c r="SLW43" s="56"/>
      <c r="SLX43" s="56"/>
      <c r="SLY43" s="56"/>
      <c r="SLZ43" s="56"/>
      <c r="SMA43" s="56"/>
      <c r="SMB43" s="56"/>
      <c r="SMC43" s="56"/>
      <c r="SMD43" s="56"/>
      <c r="SME43" s="56"/>
      <c r="SMF43" s="56"/>
      <c r="SMG43" s="56"/>
      <c r="SMH43" s="56"/>
      <c r="SMI43" s="56"/>
      <c r="SMJ43" s="56"/>
      <c r="SMK43" s="56"/>
      <c r="SML43" s="56"/>
      <c r="SMM43" s="56"/>
      <c r="SMN43" s="56"/>
      <c r="SMO43" s="56"/>
      <c r="SMP43" s="56"/>
      <c r="SMQ43" s="56"/>
      <c r="SMR43" s="56"/>
      <c r="SMS43" s="56"/>
      <c r="SMT43" s="56"/>
      <c r="SMU43" s="56"/>
      <c r="SMV43" s="56"/>
      <c r="SMW43" s="56"/>
      <c r="SMX43" s="56"/>
      <c r="SMY43" s="56"/>
      <c r="SMZ43" s="56"/>
      <c r="SNA43" s="56"/>
      <c r="SNB43" s="56"/>
      <c r="SNC43" s="56"/>
      <c r="SND43" s="56"/>
      <c r="SNE43" s="56"/>
      <c r="SNF43" s="56"/>
      <c r="SNG43" s="56"/>
      <c r="SNH43" s="56"/>
      <c r="SNI43" s="56"/>
      <c r="SNJ43" s="56"/>
      <c r="SNK43" s="56"/>
      <c r="SNL43" s="56"/>
      <c r="SNM43" s="56"/>
      <c r="SNN43" s="56"/>
      <c r="SNO43" s="56"/>
      <c r="SNP43" s="56"/>
      <c r="SNQ43" s="56"/>
      <c r="SNR43" s="56"/>
      <c r="SNS43" s="56"/>
      <c r="SNT43" s="56"/>
      <c r="SNU43" s="56"/>
      <c r="SNV43" s="56"/>
      <c r="SNW43" s="56"/>
      <c r="SNX43" s="56"/>
      <c r="SNY43" s="56"/>
      <c r="SNZ43" s="56"/>
      <c r="SOA43" s="56"/>
      <c r="SOB43" s="56"/>
      <c r="SOC43" s="56"/>
      <c r="SOD43" s="56"/>
      <c r="SOE43" s="56"/>
      <c r="SOF43" s="56"/>
      <c r="SOG43" s="56"/>
      <c r="SOH43" s="56"/>
      <c r="SOI43" s="56"/>
      <c r="SOJ43" s="56"/>
      <c r="SOK43" s="56"/>
      <c r="SOL43" s="56"/>
      <c r="SOM43" s="56"/>
      <c r="SON43" s="56"/>
      <c r="SOO43" s="56"/>
      <c r="SOP43" s="56"/>
      <c r="SOQ43" s="56"/>
      <c r="SOR43" s="56"/>
      <c r="SOS43" s="56"/>
      <c r="SOT43" s="56"/>
      <c r="SOU43" s="56"/>
      <c r="SOV43" s="56"/>
      <c r="SOW43" s="56"/>
      <c r="SOX43" s="56"/>
      <c r="SOY43" s="56"/>
      <c r="SOZ43" s="56"/>
      <c r="SPA43" s="56"/>
      <c r="SPB43" s="56"/>
      <c r="SPC43" s="56"/>
      <c r="SPD43" s="56"/>
      <c r="SPE43" s="56"/>
      <c r="SPF43" s="56"/>
      <c r="SPG43" s="56"/>
      <c r="SPH43" s="56"/>
      <c r="SPI43" s="56"/>
      <c r="SPJ43" s="56"/>
      <c r="SPK43" s="56"/>
      <c r="SPL43" s="56"/>
      <c r="SPM43" s="56"/>
      <c r="SPN43" s="56"/>
      <c r="SPO43" s="56"/>
      <c r="SPP43" s="56"/>
      <c r="SPQ43" s="56"/>
      <c r="SPR43" s="56"/>
      <c r="SPS43" s="56"/>
      <c r="SPT43" s="56"/>
      <c r="SPU43" s="56"/>
      <c r="SPV43" s="56"/>
      <c r="SPW43" s="56"/>
      <c r="SPX43" s="56"/>
      <c r="SPY43" s="56"/>
      <c r="SPZ43" s="56"/>
      <c r="SQA43" s="56"/>
      <c r="SQB43" s="56"/>
      <c r="SQC43" s="56"/>
      <c r="SQD43" s="56"/>
      <c r="SQE43" s="56"/>
      <c r="SQF43" s="56"/>
      <c r="SQG43" s="56"/>
      <c r="SQH43" s="56"/>
      <c r="SQI43" s="56"/>
      <c r="SQJ43" s="56"/>
      <c r="SQK43" s="56"/>
      <c r="SQL43" s="56"/>
      <c r="SQM43" s="56"/>
      <c r="SQN43" s="56"/>
      <c r="SQO43" s="56"/>
      <c r="SQP43" s="56"/>
      <c r="SQQ43" s="56"/>
      <c r="SQR43" s="56"/>
      <c r="SQS43" s="56"/>
      <c r="SQT43" s="56"/>
      <c r="SQU43" s="56"/>
      <c r="SQV43" s="56"/>
      <c r="SQW43" s="56"/>
      <c r="SQX43" s="56"/>
      <c r="SQY43" s="56"/>
      <c r="SQZ43" s="56"/>
      <c r="SRA43" s="56"/>
      <c r="SRB43" s="56"/>
      <c r="SRC43" s="56"/>
      <c r="SRD43" s="56"/>
      <c r="SRE43" s="56"/>
      <c r="SRF43" s="56"/>
      <c r="SRG43" s="56"/>
      <c r="SRH43" s="56"/>
      <c r="SRI43" s="56"/>
      <c r="SRJ43" s="56"/>
      <c r="SRK43" s="56"/>
      <c r="SRL43" s="56"/>
      <c r="SRM43" s="56"/>
      <c r="SRN43" s="56"/>
      <c r="SRO43" s="56"/>
      <c r="SRP43" s="56"/>
      <c r="SRQ43" s="56"/>
      <c r="SRR43" s="56"/>
      <c r="SRS43" s="56"/>
      <c r="SRT43" s="56"/>
      <c r="SRU43" s="56"/>
      <c r="SRV43" s="56"/>
      <c r="SRW43" s="56"/>
      <c r="SRX43" s="56"/>
      <c r="SRY43" s="56"/>
      <c r="SRZ43" s="56"/>
      <c r="SSA43" s="56"/>
      <c r="SSB43" s="56"/>
      <c r="SSC43" s="56"/>
      <c r="SSD43" s="56"/>
      <c r="SSE43" s="56"/>
      <c r="SSF43" s="56"/>
      <c r="SSG43" s="56"/>
      <c r="SSH43" s="56"/>
      <c r="SSI43" s="56"/>
      <c r="SSJ43" s="56"/>
      <c r="SSK43" s="56"/>
      <c r="SSL43" s="56"/>
      <c r="SSM43" s="56"/>
      <c r="SSN43" s="56"/>
      <c r="SSO43" s="56"/>
      <c r="SSP43" s="56"/>
      <c r="SSQ43" s="56"/>
      <c r="SSR43" s="56"/>
      <c r="SSS43" s="56"/>
      <c r="SST43" s="56"/>
      <c r="SSU43" s="56"/>
      <c r="SSV43" s="56"/>
      <c r="SSW43" s="56"/>
      <c r="SSX43" s="56"/>
      <c r="SSY43" s="56"/>
      <c r="SSZ43" s="56"/>
      <c r="STA43" s="56"/>
      <c r="STB43" s="56"/>
      <c r="STC43" s="56"/>
      <c r="STD43" s="56"/>
      <c r="STE43" s="56"/>
      <c r="STF43" s="56"/>
      <c r="STG43" s="56"/>
      <c r="STH43" s="56"/>
      <c r="STI43" s="56"/>
      <c r="STJ43" s="56"/>
      <c r="STK43" s="56"/>
      <c r="STL43" s="56"/>
      <c r="STM43" s="56"/>
      <c r="STN43" s="56"/>
      <c r="STO43" s="56"/>
      <c r="STP43" s="56"/>
      <c r="STQ43" s="56"/>
      <c r="STR43" s="56"/>
      <c r="STS43" s="56"/>
      <c r="STT43" s="56"/>
      <c r="STU43" s="56"/>
      <c r="STV43" s="56"/>
      <c r="STW43" s="56"/>
      <c r="STX43" s="56"/>
      <c r="STY43" s="56"/>
      <c r="STZ43" s="56"/>
      <c r="SUA43" s="56"/>
      <c r="SUB43" s="56"/>
      <c r="SUC43" s="56"/>
      <c r="SUD43" s="56"/>
      <c r="SUE43" s="56"/>
      <c r="SUF43" s="56"/>
      <c r="SUG43" s="56"/>
      <c r="SUH43" s="56"/>
      <c r="SUI43" s="56"/>
      <c r="SUJ43" s="56"/>
      <c r="SUK43" s="56"/>
      <c r="SUL43" s="56"/>
      <c r="SUM43" s="56"/>
      <c r="SUN43" s="56"/>
      <c r="SUO43" s="56"/>
      <c r="SUP43" s="56"/>
      <c r="SUQ43" s="56"/>
      <c r="SUR43" s="56"/>
      <c r="SUS43" s="56"/>
      <c r="SUT43" s="56"/>
      <c r="SUU43" s="56"/>
      <c r="SUV43" s="56"/>
      <c r="SUW43" s="56"/>
      <c r="SUX43" s="56"/>
      <c r="SUY43" s="56"/>
      <c r="SUZ43" s="56"/>
      <c r="SVA43" s="56"/>
      <c r="SVB43" s="56"/>
      <c r="SVC43" s="56"/>
      <c r="SVD43" s="56"/>
      <c r="SVE43" s="56"/>
      <c r="SVF43" s="56"/>
      <c r="SVG43" s="56"/>
      <c r="SVH43" s="56"/>
      <c r="SVI43" s="56"/>
      <c r="SVJ43" s="56"/>
      <c r="SVK43" s="56"/>
      <c r="SVL43" s="56"/>
      <c r="SVM43" s="56"/>
      <c r="SVN43" s="56"/>
      <c r="SVO43" s="56"/>
      <c r="SVP43" s="56"/>
      <c r="SVQ43" s="56"/>
      <c r="SVR43" s="56"/>
      <c r="SVS43" s="56"/>
      <c r="SVT43" s="56"/>
      <c r="SVU43" s="56"/>
      <c r="SVV43" s="56"/>
      <c r="SVW43" s="56"/>
      <c r="SVX43" s="56"/>
      <c r="SVY43" s="56"/>
      <c r="SVZ43" s="56"/>
      <c r="SWA43" s="56"/>
      <c r="SWB43" s="56"/>
      <c r="SWC43" s="56"/>
      <c r="SWD43" s="56"/>
      <c r="SWE43" s="56"/>
      <c r="SWF43" s="56"/>
      <c r="SWG43" s="56"/>
      <c r="SWH43" s="56"/>
      <c r="SWI43" s="56"/>
      <c r="SWJ43" s="56"/>
      <c r="SWK43" s="56"/>
      <c r="SWL43" s="56"/>
      <c r="SWM43" s="56"/>
      <c r="SWN43" s="56"/>
      <c r="SWO43" s="56"/>
      <c r="SWP43" s="56"/>
      <c r="SWQ43" s="56"/>
      <c r="SWR43" s="56"/>
      <c r="SWS43" s="56"/>
      <c r="SWT43" s="56"/>
      <c r="SWU43" s="56"/>
      <c r="SWV43" s="56"/>
      <c r="SWW43" s="56"/>
      <c r="SWX43" s="56"/>
      <c r="SWY43" s="56"/>
      <c r="SWZ43" s="56"/>
      <c r="SXA43" s="56"/>
      <c r="SXB43" s="56"/>
      <c r="SXC43" s="56"/>
      <c r="SXD43" s="56"/>
      <c r="SXE43" s="56"/>
      <c r="SXF43" s="56"/>
      <c r="SXG43" s="56"/>
      <c r="SXH43" s="56"/>
      <c r="SXI43" s="56"/>
      <c r="SXJ43" s="56"/>
      <c r="SXK43" s="56"/>
      <c r="SXL43" s="56"/>
      <c r="SXM43" s="56"/>
      <c r="SXN43" s="56"/>
      <c r="SXO43" s="56"/>
      <c r="SXP43" s="56"/>
      <c r="SXQ43" s="56"/>
      <c r="SXR43" s="56"/>
      <c r="SXS43" s="56"/>
      <c r="SXT43" s="56"/>
      <c r="SXU43" s="56"/>
      <c r="SXV43" s="56"/>
      <c r="SXW43" s="56"/>
      <c r="SXX43" s="56"/>
      <c r="SXY43" s="56"/>
      <c r="SXZ43" s="56"/>
      <c r="SYA43" s="56"/>
      <c r="SYB43" s="56"/>
      <c r="SYC43" s="56"/>
      <c r="SYD43" s="56"/>
      <c r="SYE43" s="56"/>
      <c r="SYF43" s="56"/>
      <c r="SYG43" s="56"/>
      <c r="SYH43" s="56"/>
      <c r="SYI43" s="56"/>
      <c r="SYJ43" s="56"/>
      <c r="SYK43" s="56"/>
      <c r="SYL43" s="56"/>
      <c r="SYM43" s="56"/>
      <c r="SYN43" s="56"/>
      <c r="SYO43" s="56"/>
      <c r="SYP43" s="56"/>
      <c r="SYQ43" s="56"/>
      <c r="SYR43" s="56"/>
      <c r="SYS43" s="56"/>
      <c r="SYT43" s="56"/>
      <c r="SYU43" s="56"/>
      <c r="SYV43" s="56"/>
      <c r="SYW43" s="56"/>
      <c r="SYX43" s="56"/>
      <c r="SYY43" s="56"/>
      <c r="SYZ43" s="56"/>
      <c r="SZA43" s="56"/>
      <c r="SZB43" s="56"/>
      <c r="SZC43" s="56"/>
      <c r="SZD43" s="56"/>
      <c r="SZE43" s="56"/>
      <c r="SZF43" s="56"/>
      <c r="SZG43" s="56"/>
      <c r="SZH43" s="56"/>
      <c r="SZI43" s="56"/>
      <c r="SZJ43" s="56"/>
      <c r="SZK43" s="56"/>
      <c r="SZL43" s="56"/>
      <c r="SZM43" s="56"/>
      <c r="SZN43" s="56"/>
      <c r="SZO43" s="56"/>
      <c r="SZP43" s="56"/>
      <c r="SZQ43" s="56"/>
      <c r="SZR43" s="56"/>
      <c r="SZS43" s="56"/>
      <c r="SZT43" s="56"/>
      <c r="SZU43" s="56"/>
      <c r="SZV43" s="56"/>
      <c r="SZW43" s="56"/>
      <c r="SZX43" s="56"/>
      <c r="SZY43" s="56"/>
      <c r="SZZ43" s="56"/>
      <c r="TAA43" s="56"/>
      <c r="TAB43" s="56"/>
      <c r="TAC43" s="56"/>
      <c r="TAD43" s="56"/>
      <c r="TAE43" s="56"/>
      <c r="TAF43" s="56"/>
      <c r="TAG43" s="56"/>
      <c r="TAH43" s="56"/>
      <c r="TAI43" s="56"/>
      <c r="TAJ43" s="56"/>
      <c r="TAK43" s="56"/>
      <c r="TAL43" s="56"/>
      <c r="TAM43" s="56"/>
      <c r="TAN43" s="56"/>
      <c r="TAO43" s="56"/>
      <c r="TAP43" s="56"/>
      <c r="TAQ43" s="56"/>
      <c r="TAR43" s="56"/>
      <c r="TAS43" s="56"/>
      <c r="TAT43" s="56"/>
      <c r="TAU43" s="56"/>
      <c r="TAV43" s="56"/>
      <c r="TAW43" s="56"/>
      <c r="TAX43" s="56"/>
      <c r="TAY43" s="56"/>
      <c r="TAZ43" s="56"/>
      <c r="TBA43" s="56"/>
      <c r="TBB43" s="56"/>
      <c r="TBC43" s="56"/>
      <c r="TBD43" s="56"/>
      <c r="TBE43" s="56"/>
      <c r="TBF43" s="56"/>
      <c r="TBG43" s="56"/>
      <c r="TBH43" s="56"/>
      <c r="TBI43" s="56"/>
      <c r="TBJ43" s="56"/>
      <c r="TBK43" s="56"/>
      <c r="TBL43" s="56"/>
      <c r="TBM43" s="56"/>
      <c r="TBN43" s="56"/>
      <c r="TBO43" s="56"/>
      <c r="TBP43" s="56"/>
      <c r="TBQ43" s="56"/>
      <c r="TBR43" s="56"/>
      <c r="TBS43" s="56"/>
      <c r="TBT43" s="56"/>
      <c r="TBU43" s="56"/>
      <c r="TBV43" s="56"/>
      <c r="TBW43" s="56"/>
      <c r="TBX43" s="56"/>
      <c r="TBY43" s="56"/>
      <c r="TBZ43" s="56"/>
      <c r="TCA43" s="56"/>
      <c r="TCB43" s="56"/>
      <c r="TCC43" s="56"/>
      <c r="TCD43" s="56"/>
      <c r="TCE43" s="56"/>
      <c r="TCF43" s="56"/>
      <c r="TCG43" s="56"/>
      <c r="TCH43" s="56"/>
      <c r="TCI43" s="56"/>
      <c r="TCJ43" s="56"/>
      <c r="TCK43" s="56"/>
      <c r="TCL43" s="56"/>
      <c r="TCM43" s="56"/>
      <c r="TCN43" s="56"/>
      <c r="TCO43" s="56"/>
      <c r="TCP43" s="56"/>
      <c r="TCQ43" s="56"/>
      <c r="TCR43" s="56"/>
      <c r="TCS43" s="56"/>
      <c r="TCT43" s="56"/>
      <c r="TCU43" s="56"/>
      <c r="TCV43" s="56"/>
      <c r="TCW43" s="56"/>
      <c r="TCX43" s="56"/>
      <c r="TCY43" s="56"/>
      <c r="TCZ43" s="56"/>
      <c r="TDA43" s="56"/>
      <c r="TDB43" s="56"/>
      <c r="TDC43" s="56"/>
      <c r="TDD43" s="56"/>
      <c r="TDE43" s="56"/>
      <c r="TDF43" s="56"/>
      <c r="TDG43" s="56"/>
      <c r="TDH43" s="56"/>
      <c r="TDI43" s="56"/>
      <c r="TDJ43" s="56"/>
      <c r="TDK43" s="56"/>
      <c r="TDL43" s="56"/>
      <c r="TDM43" s="56"/>
      <c r="TDN43" s="56"/>
      <c r="TDO43" s="56"/>
      <c r="TDP43" s="56"/>
      <c r="TDQ43" s="56"/>
      <c r="TDR43" s="56"/>
      <c r="TDS43" s="56"/>
      <c r="TDT43" s="56"/>
      <c r="TDU43" s="56"/>
      <c r="TDV43" s="56"/>
      <c r="TDW43" s="56"/>
      <c r="TDX43" s="56"/>
      <c r="TDY43" s="56"/>
      <c r="TDZ43" s="56"/>
      <c r="TEA43" s="56"/>
      <c r="TEB43" s="56"/>
      <c r="TEC43" s="56"/>
      <c r="TED43" s="56"/>
      <c r="TEE43" s="56"/>
      <c r="TEF43" s="56"/>
      <c r="TEG43" s="56"/>
      <c r="TEH43" s="56"/>
      <c r="TEI43" s="56"/>
      <c r="TEJ43" s="56"/>
      <c r="TEK43" s="56"/>
      <c r="TEL43" s="56"/>
      <c r="TEM43" s="56"/>
      <c r="TEN43" s="56"/>
      <c r="TEO43" s="56"/>
      <c r="TEP43" s="56"/>
      <c r="TEQ43" s="56"/>
      <c r="TER43" s="56"/>
      <c r="TES43" s="56"/>
      <c r="TET43" s="56"/>
      <c r="TEU43" s="56"/>
      <c r="TEV43" s="56"/>
      <c r="TEW43" s="56"/>
      <c r="TEX43" s="56"/>
      <c r="TEY43" s="56"/>
      <c r="TEZ43" s="56"/>
      <c r="TFA43" s="56"/>
      <c r="TFB43" s="56"/>
      <c r="TFC43" s="56"/>
      <c r="TFD43" s="56"/>
      <c r="TFE43" s="56"/>
      <c r="TFF43" s="56"/>
      <c r="TFG43" s="56"/>
      <c r="TFH43" s="56"/>
      <c r="TFI43" s="56"/>
      <c r="TFJ43" s="56"/>
      <c r="TFK43" s="56"/>
      <c r="TFL43" s="56"/>
      <c r="TFM43" s="56"/>
      <c r="TFN43" s="56"/>
      <c r="TFO43" s="56"/>
      <c r="TFP43" s="56"/>
      <c r="TFQ43" s="56"/>
      <c r="TFR43" s="56"/>
      <c r="TFS43" s="56"/>
      <c r="TFT43" s="56"/>
      <c r="TFU43" s="56"/>
      <c r="TFV43" s="56"/>
      <c r="TFW43" s="56"/>
      <c r="TFX43" s="56"/>
      <c r="TFY43" s="56"/>
      <c r="TFZ43" s="56"/>
      <c r="TGA43" s="56"/>
      <c r="TGB43" s="56"/>
      <c r="TGC43" s="56"/>
      <c r="TGD43" s="56"/>
      <c r="TGE43" s="56"/>
      <c r="TGF43" s="56"/>
      <c r="TGG43" s="56"/>
      <c r="TGH43" s="56"/>
      <c r="TGI43" s="56"/>
      <c r="TGJ43" s="56"/>
      <c r="TGK43" s="56"/>
      <c r="TGL43" s="56"/>
      <c r="TGM43" s="56"/>
      <c r="TGN43" s="56"/>
      <c r="TGO43" s="56"/>
      <c r="TGP43" s="56"/>
      <c r="TGQ43" s="56"/>
      <c r="TGR43" s="56"/>
      <c r="TGS43" s="56"/>
      <c r="TGT43" s="56"/>
      <c r="TGU43" s="56"/>
      <c r="TGV43" s="56"/>
      <c r="TGW43" s="56"/>
      <c r="TGX43" s="56"/>
      <c r="TGY43" s="56"/>
      <c r="TGZ43" s="56"/>
      <c r="THA43" s="56"/>
      <c r="THB43" s="56"/>
      <c r="THC43" s="56"/>
      <c r="THD43" s="56"/>
      <c r="THE43" s="56"/>
      <c r="THF43" s="56"/>
      <c r="THG43" s="56"/>
      <c r="THH43" s="56"/>
      <c r="THI43" s="56"/>
      <c r="THJ43" s="56"/>
      <c r="THK43" s="56"/>
      <c r="THL43" s="56"/>
      <c r="THM43" s="56"/>
      <c r="THN43" s="56"/>
      <c r="THO43" s="56"/>
      <c r="THP43" s="56"/>
      <c r="THQ43" s="56"/>
      <c r="THR43" s="56"/>
      <c r="THS43" s="56"/>
      <c r="THT43" s="56"/>
      <c r="THU43" s="56"/>
      <c r="THV43" s="56"/>
      <c r="THW43" s="56"/>
      <c r="THX43" s="56"/>
      <c r="THY43" s="56"/>
      <c r="THZ43" s="56"/>
      <c r="TIA43" s="56"/>
      <c r="TIB43" s="56"/>
      <c r="TIC43" s="56"/>
      <c r="TID43" s="56"/>
      <c r="TIE43" s="56"/>
      <c r="TIF43" s="56"/>
      <c r="TIG43" s="56"/>
      <c r="TIH43" s="56"/>
      <c r="TII43" s="56"/>
      <c r="TIJ43" s="56"/>
      <c r="TIK43" s="56"/>
      <c r="TIL43" s="56"/>
      <c r="TIM43" s="56"/>
      <c r="TIN43" s="56"/>
      <c r="TIO43" s="56"/>
      <c r="TIP43" s="56"/>
      <c r="TIQ43" s="56"/>
      <c r="TIR43" s="56"/>
      <c r="TIS43" s="56"/>
      <c r="TIT43" s="56"/>
      <c r="TIU43" s="56"/>
      <c r="TIV43" s="56"/>
      <c r="TIW43" s="56"/>
      <c r="TIX43" s="56"/>
      <c r="TIY43" s="56"/>
      <c r="TIZ43" s="56"/>
      <c r="TJA43" s="56"/>
      <c r="TJB43" s="56"/>
      <c r="TJC43" s="56"/>
      <c r="TJD43" s="56"/>
      <c r="TJE43" s="56"/>
      <c r="TJF43" s="56"/>
      <c r="TJG43" s="56"/>
      <c r="TJH43" s="56"/>
      <c r="TJI43" s="56"/>
      <c r="TJJ43" s="56"/>
      <c r="TJK43" s="56"/>
      <c r="TJL43" s="56"/>
      <c r="TJM43" s="56"/>
      <c r="TJN43" s="56"/>
      <c r="TJO43" s="56"/>
      <c r="TJP43" s="56"/>
      <c r="TJQ43" s="56"/>
      <c r="TJR43" s="56"/>
      <c r="TJS43" s="56"/>
      <c r="TJT43" s="56"/>
      <c r="TJU43" s="56"/>
      <c r="TJV43" s="56"/>
      <c r="TJW43" s="56"/>
      <c r="TJX43" s="56"/>
      <c r="TJY43" s="56"/>
      <c r="TJZ43" s="56"/>
      <c r="TKA43" s="56"/>
      <c r="TKB43" s="56"/>
      <c r="TKC43" s="56"/>
      <c r="TKD43" s="56"/>
      <c r="TKE43" s="56"/>
      <c r="TKF43" s="56"/>
      <c r="TKG43" s="56"/>
      <c r="TKH43" s="56"/>
      <c r="TKI43" s="56"/>
      <c r="TKJ43" s="56"/>
      <c r="TKK43" s="56"/>
      <c r="TKL43" s="56"/>
      <c r="TKM43" s="56"/>
      <c r="TKN43" s="56"/>
      <c r="TKO43" s="56"/>
      <c r="TKP43" s="56"/>
      <c r="TKQ43" s="56"/>
      <c r="TKR43" s="56"/>
      <c r="TKS43" s="56"/>
      <c r="TKT43" s="56"/>
      <c r="TKU43" s="56"/>
      <c r="TKV43" s="56"/>
      <c r="TKW43" s="56"/>
      <c r="TKX43" s="56"/>
      <c r="TKY43" s="56"/>
      <c r="TKZ43" s="56"/>
      <c r="TLA43" s="56"/>
      <c r="TLB43" s="56"/>
      <c r="TLC43" s="56"/>
      <c r="TLD43" s="56"/>
      <c r="TLE43" s="56"/>
      <c r="TLF43" s="56"/>
      <c r="TLG43" s="56"/>
      <c r="TLH43" s="56"/>
      <c r="TLI43" s="56"/>
      <c r="TLJ43" s="56"/>
      <c r="TLK43" s="56"/>
      <c r="TLL43" s="56"/>
      <c r="TLM43" s="56"/>
      <c r="TLN43" s="56"/>
      <c r="TLO43" s="56"/>
      <c r="TLP43" s="56"/>
      <c r="TLQ43" s="56"/>
      <c r="TLR43" s="56"/>
      <c r="TLS43" s="56"/>
      <c r="TLT43" s="56"/>
      <c r="TLU43" s="56"/>
      <c r="TLV43" s="56"/>
      <c r="TLW43" s="56"/>
      <c r="TLX43" s="56"/>
      <c r="TLY43" s="56"/>
      <c r="TLZ43" s="56"/>
      <c r="TMA43" s="56"/>
      <c r="TMB43" s="56"/>
      <c r="TMC43" s="56"/>
      <c r="TMD43" s="56"/>
      <c r="TME43" s="56"/>
      <c r="TMF43" s="56"/>
      <c r="TMG43" s="56"/>
      <c r="TMH43" s="56"/>
      <c r="TMI43" s="56"/>
      <c r="TMJ43" s="56"/>
      <c r="TMK43" s="56"/>
      <c r="TML43" s="56"/>
      <c r="TMM43" s="56"/>
      <c r="TMN43" s="56"/>
      <c r="TMO43" s="56"/>
      <c r="TMP43" s="56"/>
      <c r="TMQ43" s="56"/>
      <c r="TMR43" s="56"/>
      <c r="TMS43" s="56"/>
      <c r="TMT43" s="56"/>
      <c r="TMU43" s="56"/>
      <c r="TMV43" s="56"/>
      <c r="TMW43" s="56"/>
      <c r="TMX43" s="56"/>
      <c r="TMY43" s="56"/>
      <c r="TMZ43" s="56"/>
      <c r="TNA43" s="56"/>
      <c r="TNB43" s="56"/>
      <c r="TNC43" s="56"/>
      <c r="TND43" s="56"/>
      <c r="TNE43" s="56"/>
      <c r="TNF43" s="56"/>
      <c r="TNG43" s="56"/>
      <c r="TNH43" s="56"/>
      <c r="TNI43" s="56"/>
      <c r="TNJ43" s="56"/>
      <c r="TNK43" s="56"/>
      <c r="TNL43" s="56"/>
      <c r="TNM43" s="56"/>
      <c r="TNN43" s="56"/>
      <c r="TNO43" s="56"/>
      <c r="TNP43" s="56"/>
      <c r="TNQ43" s="56"/>
      <c r="TNR43" s="56"/>
      <c r="TNS43" s="56"/>
      <c r="TNT43" s="56"/>
      <c r="TNU43" s="56"/>
      <c r="TNV43" s="56"/>
      <c r="TNW43" s="56"/>
      <c r="TNX43" s="56"/>
      <c r="TNY43" s="56"/>
      <c r="TNZ43" s="56"/>
      <c r="TOA43" s="56"/>
      <c r="TOB43" s="56"/>
      <c r="TOC43" s="56"/>
      <c r="TOD43" s="56"/>
      <c r="TOE43" s="56"/>
      <c r="TOF43" s="56"/>
      <c r="TOG43" s="56"/>
      <c r="TOH43" s="56"/>
      <c r="TOI43" s="56"/>
      <c r="TOJ43" s="56"/>
      <c r="TOK43" s="56"/>
      <c r="TOL43" s="56"/>
      <c r="TOM43" s="56"/>
      <c r="TON43" s="56"/>
      <c r="TOO43" s="56"/>
      <c r="TOP43" s="56"/>
      <c r="TOQ43" s="56"/>
      <c r="TOR43" s="56"/>
      <c r="TOS43" s="56"/>
      <c r="TOT43" s="56"/>
      <c r="TOU43" s="56"/>
      <c r="TOV43" s="56"/>
      <c r="TOW43" s="56"/>
      <c r="TOX43" s="56"/>
      <c r="TOY43" s="56"/>
      <c r="TOZ43" s="56"/>
      <c r="TPA43" s="56"/>
      <c r="TPB43" s="56"/>
      <c r="TPC43" s="56"/>
      <c r="TPD43" s="56"/>
      <c r="TPE43" s="56"/>
      <c r="TPF43" s="56"/>
      <c r="TPG43" s="56"/>
      <c r="TPH43" s="56"/>
      <c r="TPI43" s="56"/>
      <c r="TPJ43" s="56"/>
      <c r="TPK43" s="56"/>
      <c r="TPL43" s="56"/>
      <c r="TPM43" s="56"/>
      <c r="TPN43" s="56"/>
      <c r="TPO43" s="56"/>
      <c r="TPP43" s="56"/>
      <c r="TPQ43" s="56"/>
      <c r="TPR43" s="56"/>
      <c r="TPS43" s="56"/>
      <c r="TPT43" s="56"/>
      <c r="TPU43" s="56"/>
      <c r="TPV43" s="56"/>
      <c r="TPW43" s="56"/>
      <c r="TPX43" s="56"/>
      <c r="TPY43" s="56"/>
      <c r="TPZ43" s="56"/>
      <c r="TQA43" s="56"/>
      <c r="TQB43" s="56"/>
      <c r="TQC43" s="56"/>
      <c r="TQD43" s="56"/>
      <c r="TQE43" s="56"/>
      <c r="TQF43" s="56"/>
      <c r="TQG43" s="56"/>
      <c r="TQH43" s="56"/>
      <c r="TQI43" s="56"/>
      <c r="TQJ43" s="56"/>
      <c r="TQK43" s="56"/>
      <c r="TQL43" s="56"/>
      <c r="TQM43" s="56"/>
      <c r="TQN43" s="56"/>
      <c r="TQO43" s="56"/>
      <c r="TQP43" s="56"/>
      <c r="TQQ43" s="56"/>
      <c r="TQR43" s="56"/>
      <c r="TQS43" s="56"/>
      <c r="TQT43" s="56"/>
      <c r="TQU43" s="56"/>
      <c r="TQV43" s="56"/>
      <c r="TQW43" s="56"/>
      <c r="TQX43" s="56"/>
      <c r="TQY43" s="56"/>
      <c r="TQZ43" s="56"/>
      <c r="TRA43" s="56"/>
      <c r="TRB43" s="56"/>
      <c r="TRC43" s="56"/>
      <c r="TRD43" s="56"/>
      <c r="TRE43" s="56"/>
      <c r="TRF43" s="56"/>
      <c r="TRG43" s="56"/>
      <c r="TRH43" s="56"/>
      <c r="TRI43" s="56"/>
      <c r="TRJ43" s="56"/>
      <c r="TRK43" s="56"/>
      <c r="TRL43" s="56"/>
      <c r="TRM43" s="56"/>
      <c r="TRN43" s="56"/>
      <c r="TRO43" s="56"/>
      <c r="TRP43" s="56"/>
      <c r="TRQ43" s="56"/>
      <c r="TRR43" s="56"/>
      <c r="TRS43" s="56"/>
      <c r="TRT43" s="56"/>
      <c r="TRU43" s="56"/>
      <c r="TRV43" s="56"/>
      <c r="TRW43" s="56"/>
      <c r="TRX43" s="56"/>
      <c r="TRY43" s="56"/>
      <c r="TRZ43" s="56"/>
      <c r="TSA43" s="56"/>
      <c r="TSB43" s="56"/>
      <c r="TSC43" s="56"/>
      <c r="TSD43" s="56"/>
      <c r="TSE43" s="56"/>
      <c r="TSF43" s="56"/>
      <c r="TSG43" s="56"/>
      <c r="TSH43" s="56"/>
      <c r="TSI43" s="56"/>
      <c r="TSJ43" s="56"/>
      <c r="TSK43" s="56"/>
      <c r="TSL43" s="56"/>
      <c r="TSM43" s="56"/>
      <c r="TSN43" s="56"/>
      <c r="TSO43" s="56"/>
      <c r="TSP43" s="56"/>
      <c r="TSQ43" s="56"/>
      <c r="TSR43" s="56"/>
      <c r="TSS43" s="56"/>
      <c r="TST43" s="56"/>
      <c r="TSU43" s="56"/>
      <c r="TSV43" s="56"/>
      <c r="TSW43" s="56"/>
      <c r="TSX43" s="56"/>
      <c r="TSY43" s="56"/>
      <c r="TSZ43" s="56"/>
      <c r="TTA43" s="56"/>
      <c r="TTB43" s="56"/>
      <c r="TTC43" s="56"/>
      <c r="TTD43" s="56"/>
      <c r="TTE43" s="56"/>
      <c r="TTF43" s="56"/>
      <c r="TTG43" s="56"/>
      <c r="TTH43" s="56"/>
      <c r="TTI43" s="56"/>
      <c r="TTJ43" s="56"/>
      <c r="TTK43" s="56"/>
      <c r="TTL43" s="56"/>
      <c r="TTM43" s="56"/>
      <c r="TTN43" s="56"/>
      <c r="TTO43" s="56"/>
      <c r="TTP43" s="56"/>
      <c r="TTQ43" s="56"/>
      <c r="TTR43" s="56"/>
      <c r="TTS43" s="56"/>
      <c r="TTT43" s="56"/>
      <c r="TTU43" s="56"/>
      <c r="TTV43" s="56"/>
      <c r="TTW43" s="56"/>
      <c r="TTX43" s="56"/>
      <c r="TTY43" s="56"/>
      <c r="TTZ43" s="56"/>
      <c r="TUA43" s="56"/>
      <c r="TUB43" s="56"/>
      <c r="TUC43" s="56"/>
      <c r="TUD43" s="56"/>
      <c r="TUE43" s="56"/>
      <c r="TUF43" s="56"/>
      <c r="TUG43" s="56"/>
      <c r="TUH43" s="56"/>
      <c r="TUI43" s="56"/>
      <c r="TUJ43" s="56"/>
      <c r="TUK43" s="56"/>
      <c r="TUL43" s="56"/>
      <c r="TUM43" s="56"/>
      <c r="TUN43" s="56"/>
      <c r="TUO43" s="56"/>
      <c r="TUP43" s="56"/>
      <c r="TUQ43" s="56"/>
      <c r="TUR43" s="56"/>
      <c r="TUS43" s="56"/>
      <c r="TUT43" s="56"/>
      <c r="TUU43" s="56"/>
      <c r="TUV43" s="56"/>
      <c r="TUW43" s="56"/>
      <c r="TUX43" s="56"/>
      <c r="TUY43" s="56"/>
      <c r="TUZ43" s="56"/>
      <c r="TVA43" s="56"/>
      <c r="TVB43" s="56"/>
      <c r="TVC43" s="56"/>
      <c r="TVD43" s="56"/>
      <c r="TVE43" s="56"/>
      <c r="TVF43" s="56"/>
      <c r="TVG43" s="56"/>
      <c r="TVH43" s="56"/>
      <c r="TVI43" s="56"/>
      <c r="TVJ43" s="56"/>
      <c r="TVK43" s="56"/>
      <c r="TVL43" s="56"/>
      <c r="TVM43" s="56"/>
      <c r="TVN43" s="56"/>
      <c r="TVO43" s="56"/>
      <c r="TVP43" s="56"/>
      <c r="TVQ43" s="56"/>
      <c r="TVR43" s="56"/>
      <c r="TVS43" s="56"/>
      <c r="TVT43" s="56"/>
      <c r="TVU43" s="56"/>
      <c r="TVV43" s="56"/>
      <c r="TVW43" s="56"/>
      <c r="TVX43" s="56"/>
      <c r="TVY43" s="56"/>
      <c r="TVZ43" s="56"/>
      <c r="TWA43" s="56"/>
      <c r="TWB43" s="56"/>
      <c r="TWC43" s="56"/>
      <c r="TWD43" s="56"/>
      <c r="TWE43" s="56"/>
      <c r="TWF43" s="56"/>
      <c r="TWG43" s="56"/>
      <c r="TWH43" s="56"/>
      <c r="TWI43" s="56"/>
      <c r="TWJ43" s="56"/>
      <c r="TWK43" s="56"/>
      <c r="TWL43" s="56"/>
      <c r="TWM43" s="56"/>
      <c r="TWN43" s="56"/>
      <c r="TWO43" s="56"/>
      <c r="TWP43" s="56"/>
      <c r="TWQ43" s="56"/>
      <c r="TWR43" s="56"/>
      <c r="TWS43" s="56"/>
      <c r="TWT43" s="56"/>
      <c r="TWU43" s="56"/>
      <c r="TWV43" s="56"/>
      <c r="TWW43" s="56"/>
      <c r="TWX43" s="56"/>
      <c r="TWY43" s="56"/>
      <c r="TWZ43" s="56"/>
      <c r="TXA43" s="56"/>
      <c r="TXB43" s="56"/>
      <c r="TXC43" s="56"/>
      <c r="TXD43" s="56"/>
      <c r="TXE43" s="56"/>
      <c r="TXF43" s="56"/>
      <c r="TXG43" s="56"/>
      <c r="TXH43" s="56"/>
      <c r="TXI43" s="56"/>
      <c r="TXJ43" s="56"/>
      <c r="TXK43" s="56"/>
      <c r="TXL43" s="56"/>
      <c r="TXM43" s="56"/>
      <c r="TXN43" s="56"/>
      <c r="TXO43" s="56"/>
      <c r="TXP43" s="56"/>
      <c r="TXQ43" s="56"/>
      <c r="TXR43" s="56"/>
      <c r="TXS43" s="56"/>
      <c r="TXT43" s="56"/>
      <c r="TXU43" s="56"/>
      <c r="TXV43" s="56"/>
      <c r="TXW43" s="56"/>
      <c r="TXX43" s="56"/>
      <c r="TXY43" s="56"/>
      <c r="TXZ43" s="56"/>
      <c r="TYA43" s="56"/>
      <c r="TYB43" s="56"/>
      <c r="TYC43" s="56"/>
      <c r="TYD43" s="56"/>
      <c r="TYE43" s="56"/>
      <c r="TYF43" s="56"/>
      <c r="TYG43" s="56"/>
      <c r="TYH43" s="56"/>
      <c r="TYI43" s="56"/>
      <c r="TYJ43" s="56"/>
      <c r="TYK43" s="56"/>
      <c r="TYL43" s="56"/>
      <c r="TYM43" s="56"/>
      <c r="TYN43" s="56"/>
      <c r="TYO43" s="56"/>
      <c r="TYP43" s="56"/>
      <c r="TYQ43" s="56"/>
      <c r="TYR43" s="56"/>
      <c r="TYS43" s="56"/>
      <c r="TYT43" s="56"/>
      <c r="TYU43" s="56"/>
      <c r="TYV43" s="56"/>
      <c r="TYW43" s="56"/>
      <c r="TYX43" s="56"/>
      <c r="TYY43" s="56"/>
      <c r="TYZ43" s="56"/>
      <c r="TZA43" s="56"/>
      <c r="TZB43" s="56"/>
      <c r="TZC43" s="56"/>
      <c r="TZD43" s="56"/>
      <c r="TZE43" s="56"/>
      <c r="TZF43" s="56"/>
      <c r="TZG43" s="56"/>
      <c r="TZH43" s="56"/>
      <c r="TZI43" s="56"/>
      <c r="TZJ43" s="56"/>
      <c r="TZK43" s="56"/>
      <c r="TZL43" s="56"/>
      <c r="TZM43" s="56"/>
      <c r="TZN43" s="56"/>
      <c r="TZO43" s="56"/>
      <c r="TZP43" s="56"/>
      <c r="TZQ43" s="56"/>
      <c r="TZR43" s="56"/>
      <c r="TZS43" s="56"/>
      <c r="TZT43" s="56"/>
      <c r="TZU43" s="56"/>
      <c r="TZV43" s="56"/>
      <c r="TZW43" s="56"/>
      <c r="TZX43" s="56"/>
      <c r="TZY43" s="56"/>
      <c r="TZZ43" s="56"/>
      <c r="UAA43" s="56"/>
      <c r="UAB43" s="56"/>
      <c r="UAC43" s="56"/>
      <c r="UAD43" s="56"/>
      <c r="UAE43" s="56"/>
      <c r="UAF43" s="56"/>
      <c r="UAG43" s="56"/>
      <c r="UAH43" s="56"/>
      <c r="UAI43" s="56"/>
      <c r="UAJ43" s="56"/>
      <c r="UAK43" s="56"/>
      <c r="UAL43" s="56"/>
      <c r="UAM43" s="56"/>
      <c r="UAN43" s="56"/>
      <c r="UAO43" s="56"/>
      <c r="UAP43" s="56"/>
      <c r="UAQ43" s="56"/>
      <c r="UAR43" s="56"/>
      <c r="UAS43" s="56"/>
      <c r="UAT43" s="56"/>
      <c r="UAU43" s="56"/>
      <c r="UAV43" s="56"/>
      <c r="UAW43" s="56"/>
      <c r="UAX43" s="56"/>
      <c r="UAY43" s="56"/>
      <c r="UAZ43" s="56"/>
      <c r="UBA43" s="56"/>
      <c r="UBB43" s="56"/>
      <c r="UBC43" s="56"/>
      <c r="UBD43" s="56"/>
      <c r="UBE43" s="56"/>
      <c r="UBF43" s="56"/>
      <c r="UBG43" s="56"/>
      <c r="UBH43" s="56"/>
      <c r="UBI43" s="56"/>
      <c r="UBJ43" s="56"/>
      <c r="UBK43" s="56"/>
      <c r="UBL43" s="56"/>
      <c r="UBM43" s="56"/>
      <c r="UBN43" s="56"/>
      <c r="UBO43" s="56"/>
      <c r="UBP43" s="56"/>
      <c r="UBQ43" s="56"/>
      <c r="UBR43" s="56"/>
      <c r="UBS43" s="56"/>
      <c r="UBT43" s="56"/>
      <c r="UBU43" s="56"/>
      <c r="UBV43" s="56"/>
      <c r="UBW43" s="56"/>
      <c r="UBX43" s="56"/>
      <c r="UBY43" s="56"/>
      <c r="UBZ43" s="56"/>
      <c r="UCA43" s="56"/>
      <c r="UCB43" s="56"/>
      <c r="UCC43" s="56"/>
      <c r="UCD43" s="56"/>
      <c r="UCE43" s="56"/>
      <c r="UCF43" s="56"/>
      <c r="UCG43" s="56"/>
      <c r="UCH43" s="56"/>
      <c r="UCI43" s="56"/>
      <c r="UCJ43" s="56"/>
      <c r="UCK43" s="56"/>
      <c r="UCL43" s="56"/>
      <c r="UCM43" s="56"/>
      <c r="UCN43" s="56"/>
      <c r="UCO43" s="56"/>
      <c r="UCP43" s="56"/>
      <c r="UCQ43" s="56"/>
      <c r="UCR43" s="56"/>
      <c r="UCS43" s="56"/>
      <c r="UCT43" s="56"/>
      <c r="UCU43" s="56"/>
      <c r="UCV43" s="56"/>
      <c r="UCW43" s="56"/>
      <c r="UCX43" s="56"/>
      <c r="UCY43" s="56"/>
      <c r="UCZ43" s="56"/>
      <c r="UDA43" s="56"/>
      <c r="UDB43" s="56"/>
      <c r="UDC43" s="56"/>
      <c r="UDD43" s="56"/>
      <c r="UDE43" s="56"/>
      <c r="UDF43" s="56"/>
      <c r="UDG43" s="56"/>
      <c r="UDH43" s="56"/>
      <c r="UDI43" s="56"/>
      <c r="UDJ43" s="56"/>
      <c r="UDK43" s="56"/>
      <c r="UDL43" s="56"/>
      <c r="UDM43" s="56"/>
      <c r="UDN43" s="56"/>
      <c r="UDO43" s="56"/>
      <c r="UDP43" s="56"/>
      <c r="UDQ43" s="56"/>
      <c r="UDR43" s="56"/>
      <c r="UDS43" s="56"/>
      <c r="UDT43" s="56"/>
      <c r="UDU43" s="56"/>
      <c r="UDV43" s="56"/>
      <c r="UDW43" s="56"/>
      <c r="UDX43" s="56"/>
      <c r="UDY43" s="56"/>
      <c r="UDZ43" s="56"/>
      <c r="UEA43" s="56"/>
      <c r="UEB43" s="56"/>
      <c r="UEC43" s="56"/>
      <c r="UED43" s="56"/>
      <c r="UEE43" s="56"/>
      <c r="UEF43" s="56"/>
      <c r="UEG43" s="56"/>
      <c r="UEH43" s="56"/>
      <c r="UEI43" s="56"/>
      <c r="UEJ43" s="56"/>
      <c r="UEK43" s="56"/>
      <c r="UEL43" s="56"/>
      <c r="UEM43" s="56"/>
      <c r="UEN43" s="56"/>
      <c r="UEO43" s="56"/>
      <c r="UEP43" s="56"/>
      <c r="UEQ43" s="56"/>
      <c r="UER43" s="56"/>
      <c r="UES43" s="56"/>
      <c r="UET43" s="56"/>
      <c r="UEU43" s="56"/>
      <c r="UEV43" s="56"/>
      <c r="UEW43" s="56"/>
      <c r="UEX43" s="56"/>
      <c r="UEY43" s="56"/>
      <c r="UEZ43" s="56"/>
      <c r="UFA43" s="56"/>
      <c r="UFB43" s="56"/>
      <c r="UFC43" s="56"/>
      <c r="UFD43" s="56"/>
      <c r="UFE43" s="56"/>
      <c r="UFF43" s="56"/>
      <c r="UFG43" s="56"/>
      <c r="UFH43" s="56"/>
      <c r="UFI43" s="56"/>
      <c r="UFJ43" s="56"/>
      <c r="UFK43" s="56"/>
      <c r="UFL43" s="56"/>
      <c r="UFM43" s="56"/>
      <c r="UFN43" s="56"/>
      <c r="UFO43" s="56"/>
      <c r="UFP43" s="56"/>
      <c r="UFQ43" s="56"/>
      <c r="UFR43" s="56"/>
      <c r="UFS43" s="56"/>
      <c r="UFT43" s="56"/>
      <c r="UFU43" s="56"/>
      <c r="UFV43" s="56"/>
      <c r="UFW43" s="56"/>
      <c r="UFX43" s="56"/>
      <c r="UFY43" s="56"/>
      <c r="UFZ43" s="56"/>
      <c r="UGA43" s="56"/>
      <c r="UGB43" s="56"/>
      <c r="UGC43" s="56"/>
      <c r="UGD43" s="56"/>
      <c r="UGE43" s="56"/>
      <c r="UGF43" s="56"/>
      <c r="UGG43" s="56"/>
      <c r="UGH43" s="56"/>
      <c r="UGI43" s="56"/>
      <c r="UGJ43" s="56"/>
      <c r="UGK43" s="56"/>
      <c r="UGL43" s="56"/>
      <c r="UGM43" s="56"/>
      <c r="UGN43" s="56"/>
      <c r="UGO43" s="56"/>
      <c r="UGP43" s="56"/>
      <c r="UGQ43" s="56"/>
      <c r="UGR43" s="56"/>
      <c r="UGS43" s="56"/>
      <c r="UGT43" s="56"/>
      <c r="UGU43" s="56"/>
      <c r="UGV43" s="56"/>
      <c r="UGW43" s="56"/>
      <c r="UGX43" s="56"/>
      <c r="UGY43" s="56"/>
      <c r="UGZ43" s="56"/>
      <c r="UHA43" s="56"/>
      <c r="UHB43" s="56"/>
      <c r="UHC43" s="56"/>
      <c r="UHD43" s="56"/>
      <c r="UHE43" s="56"/>
      <c r="UHF43" s="56"/>
      <c r="UHG43" s="56"/>
      <c r="UHH43" s="56"/>
      <c r="UHI43" s="56"/>
      <c r="UHJ43" s="56"/>
      <c r="UHK43" s="56"/>
      <c r="UHL43" s="56"/>
      <c r="UHM43" s="56"/>
      <c r="UHN43" s="56"/>
      <c r="UHO43" s="56"/>
      <c r="UHP43" s="56"/>
      <c r="UHQ43" s="56"/>
      <c r="UHR43" s="56"/>
      <c r="UHS43" s="56"/>
      <c r="UHT43" s="56"/>
      <c r="UHU43" s="56"/>
      <c r="UHV43" s="56"/>
      <c r="UHW43" s="56"/>
      <c r="UHX43" s="56"/>
      <c r="UHY43" s="56"/>
      <c r="UHZ43" s="56"/>
      <c r="UIA43" s="56"/>
      <c r="UIB43" s="56"/>
      <c r="UIC43" s="56"/>
      <c r="UID43" s="56"/>
      <c r="UIE43" s="56"/>
      <c r="UIF43" s="56"/>
      <c r="UIG43" s="56"/>
      <c r="UIH43" s="56"/>
      <c r="UII43" s="56"/>
      <c r="UIJ43" s="56"/>
      <c r="UIK43" s="56"/>
      <c r="UIL43" s="56"/>
      <c r="UIM43" s="56"/>
      <c r="UIN43" s="56"/>
      <c r="UIO43" s="56"/>
      <c r="UIP43" s="56"/>
      <c r="UIQ43" s="56"/>
      <c r="UIR43" s="56"/>
      <c r="UIS43" s="56"/>
      <c r="UIT43" s="56"/>
      <c r="UIU43" s="56"/>
      <c r="UIV43" s="56"/>
      <c r="UIW43" s="56"/>
      <c r="UIX43" s="56"/>
      <c r="UIY43" s="56"/>
      <c r="UIZ43" s="56"/>
      <c r="UJA43" s="56"/>
      <c r="UJB43" s="56"/>
      <c r="UJC43" s="56"/>
      <c r="UJD43" s="56"/>
      <c r="UJE43" s="56"/>
      <c r="UJF43" s="56"/>
      <c r="UJG43" s="56"/>
      <c r="UJH43" s="56"/>
      <c r="UJI43" s="56"/>
      <c r="UJJ43" s="56"/>
      <c r="UJK43" s="56"/>
      <c r="UJL43" s="56"/>
      <c r="UJM43" s="56"/>
      <c r="UJN43" s="56"/>
      <c r="UJO43" s="56"/>
      <c r="UJP43" s="56"/>
      <c r="UJQ43" s="56"/>
      <c r="UJR43" s="56"/>
      <c r="UJS43" s="56"/>
      <c r="UJT43" s="56"/>
      <c r="UJU43" s="56"/>
      <c r="UJV43" s="56"/>
      <c r="UJW43" s="56"/>
      <c r="UJX43" s="56"/>
      <c r="UJY43" s="56"/>
      <c r="UJZ43" s="56"/>
      <c r="UKA43" s="56"/>
      <c r="UKB43" s="56"/>
      <c r="UKC43" s="56"/>
      <c r="UKD43" s="56"/>
      <c r="UKE43" s="56"/>
      <c r="UKF43" s="56"/>
      <c r="UKG43" s="56"/>
      <c r="UKH43" s="56"/>
      <c r="UKI43" s="56"/>
      <c r="UKJ43" s="56"/>
      <c r="UKK43" s="56"/>
      <c r="UKL43" s="56"/>
      <c r="UKM43" s="56"/>
      <c r="UKN43" s="56"/>
      <c r="UKO43" s="56"/>
      <c r="UKP43" s="56"/>
      <c r="UKQ43" s="56"/>
      <c r="UKR43" s="56"/>
      <c r="UKS43" s="56"/>
      <c r="UKT43" s="56"/>
      <c r="UKU43" s="56"/>
      <c r="UKV43" s="56"/>
      <c r="UKW43" s="56"/>
      <c r="UKX43" s="56"/>
      <c r="UKY43" s="56"/>
      <c r="UKZ43" s="56"/>
      <c r="ULA43" s="56"/>
      <c r="ULB43" s="56"/>
      <c r="ULC43" s="56"/>
      <c r="ULD43" s="56"/>
      <c r="ULE43" s="56"/>
      <c r="ULF43" s="56"/>
      <c r="ULG43" s="56"/>
      <c r="ULH43" s="56"/>
      <c r="ULI43" s="56"/>
      <c r="ULJ43" s="56"/>
      <c r="ULK43" s="56"/>
      <c r="ULL43" s="56"/>
      <c r="ULM43" s="56"/>
      <c r="ULN43" s="56"/>
      <c r="ULO43" s="56"/>
      <c r="ULP43" s="56"/>
      <c r="ULQ43" s="56"/>
      <c r="ULR43" s="56"/>
      <c r="ULS43" s="56"/>
      <c r="ULT43" s="56"/>
      <c r="ULU43" s="56"/>
      <c r="ULV43" s="56"/>
      <c r="ULW43" s="56"/>
      <c r="ULX43" s="56"/>
      <c r="ULY43" s="56"/>
      <c r="ULZ43" s="56"/>
      <c r="UMA43" s="56"/>
      <c r="UMB43" s="56"/>
      <c r="UMC43" s="56"/>
      <c r="UMD43" s="56"/>
      <c r="UME43" s="56"/>
      <c r="UMF43" s="56"/>
      <c r="UMG43" s="56"/>
      <c r="UMH43" s="56"/>
      <c r="UMI43" s="56"/>
      <c r="UMJ43" s="56"/>
      <c r="UMK43" s="56"/>
      <c r="UML43" s="56"/>
      <c r="UMM43" s="56"/>
      <c r="UMN43" s="56"/>
      <c r="UMO43" s="56"/>
      <c r="UMP43" s="56"/>
      <c r="UMQ43" s="56"/>
      <c r="UMR43" s="56"/>
      <c r="UMS43" s="56"/>
      <c r="UMT43" s="56"/>
      <c r="UMU43" s="56"/>
      <c r="UMV43" s="56"/>
      <c r="UMW43" s="56"/>
      <c r="UMX43" s="56"/>
      <c r="UMY43" s="56"/>
      <c r="UMZ43" s="56"/>
      <c r="UNA43" s="56"/>
      <c r="UNB43" s="56"/>
      <c r="UNC43" s="56"/>
      <c r="UND43" s="56"/>
      <c r="UNE43" s="56"/>
      <c r="UNF43" s="56"/>
      <c r="UNG43" s="56"/>
      <c r="UNH43" s="56"/>
      <c r="UNI43" s="56"/>
      <c r="UNJ43" s="56"/>
      <c r="UNK43" s="56"/>
      <c r="UNL43" s="56"/>
      <c r="UNM43" s="56"/>
      <c r="UNN43" s="56"/>
      <c r="UNO43" s="56"/>
      <c r="UNP43" s="56"/>
      <c r="UNQ43" s="56"/>
      <c r="UNR43" s="56"/>
      <c r="UNS43" s="56"/>
      <c r="UNT43" s="56"/>
      <c r="UNU43" s="56"/>
      <c r="UNV43" s="56"/>
      <c r="UNW43" s="56"/>
      <c r="UNX43" s="56"/>
      <c r="UNY43" s="56"/>
      <c r="UNZ43" s="56"/>
      <c r="UOA43" s="56"/>
      <c r="UOB43" s="56"/>
      <c r="UOC43" s="56"/>
      <c r="UOD43" s="56"/>
      <c r="UOE43" s="56"/>
      <c r="UOF43" s="56"/>
      <c r="UOG43" s="56"/>
      <c r="UOH43" s="56"/>
      <c r="UOI43" s="56"/>
      <c r="UOJ43" s="56"/>
      <c r="UOK43" s="56"/>
      <c r="UOL43" s="56"/>
      <c r="UOM43" s="56"/>
      <c r="UON43" s="56"/>
      <c r="UOO43" s="56"/>
      <c r="UOP43" s="56"/>
      <c r="UOQ43" s="56"/>
      <c r="UOR43" s="56"/>
      <c r="UOS43" s="56"/>
      <c r="UOT43" s="56"/>
      <c r="UOU43" s="56"/>
      <c r="UOV43" s="56"/>
      <c r="UOW43" s="56"/>
      <c r="UOX43" s="56"/>
      <c r="UOY43" s="56"/>
      <c r="UOZ43" s="56"/>
      <c r="UPA43" s="56"/>
      <c r="UPB43" s="56"/>
      <c r="UPC43" s="56"/>
      <c r="UPD43" s="56"/>
      <c r="UPE43" s="56"/>
      <c r="UPF43" s="56"/>
      <c r="UPG43" s="56"/>
      <c r="UPH43" s="56"/>
      <c r="UPI43" s="56"/>
      <c r="UPJ43" s="56"/>
      <c r="UPK43" s="56"/>
      <c r="UPL43" s="56"/>
      <c r="UPM43" s="56"/>
      <c r="UPN43" s="56"/>
      <c r="UPO43" s="56"/>
      <c r="UPP43" s="56"/>
      <c r="UPQ43" s="56"/>
      <c r="UPR43" s="56"/>
      <c r="UPS43" s="56"/>
      <c r="UPT43" s="56"/>
      <c r="UPU43" s="56"/>
      <c r="UPV43" s="56"/>
      <c r="UPW43" s="56"/>
      <c r="UPX43" s="56"/>
      <c r="UPY43" s="56"/>
      <c r="UPZ43" s="56"/>
      <c r="UQA43" s="56"/>
      <c r="UQB43" s="56"/>
      <c r="UQC43" s="56"/>
      <c r="UQD43" s="56"/>
      <c r="UQE43" s="56"/>
      <c r="UQF43" s="56"/>
      <c r="UQG43" s="56"/>
      <c r="UQH43" s="56"/>
      <c r="UQI43" s="56"/>
      <c r="UQJ43" s="56"/>
      <c r="UQK43" s="56"/>
      <c r="UQL43" s="56"/>
      <c r="UQM43" s="56"/>
      <c r="UQN43" s="56"/>
      <c r="UQO43" s="56"/>
      <c r="UQP43" s="56"/>
      <c r="UQQ43" s="56"/>
      <c r="UQR43" s="56"/>
      <c r="UQS43" s="56"/>
      <c r="UQT43" s="56"/>
      <c r="UQU43" s="56"/>
      <c r="UQV43" s="56"/>
      <c r="UQW43" s="56"/>
      <c r="UQX43" s="56"/>
      <c r="UQY43" s="56"/>
      <c r="UQZ43" s="56"/>
      <c r="URA43" s="56"/>
      <c r="URB43" s="56"/>
      <c r="URC43" s="56"/>
      <c r="URD43" s="56"/>
      <c r="URE43" s="56"/>
      <c r="URF43" s="56"/>
      <c r="URG43" s="56"/>
      <c r="URH43" s="56"/>
      <c r="URI43" s="56"/>
      <c r="URJ43" s="56"/>
      <c r="URK43" s="56"/>
      <c r="URL43" s="56"/>
      <c r="URM43" s="56"/>
      <c r="URN43" s="56"/>
      <c r="URO43" s="56"/>
      <c r="URP43" s="56"/>
      <c r="URQ43" s="56"/>
      <c r="URR43" s="56"/>
      <c r="URS43" s="56"/>
      <c r="URT43" s="56"/>
      <c r="URU43" s="56"/>
      <c r="URV43" s="56"/>
      <c r="URW43" s="56"/>
      <c r="URX43" s="56"/>
      <c r="URY43" s="56"/>
      <c r="URZ43" s="56"/>
      <c r="USA43" s="56"/>
      <c r="USB43" s="56"/>
      <c r="USC43" s="56"/>
      <c r="USD43" s="56"/>
      <c r="USE43" s="56"/>
      <c r="USF43" s="56"/>
      <c r="USG43" s="56"/>
      <c r="USH43" s="56"/>
      <c r="USI43" s="56"/>
      <c r="USJ43" s="56"/>
      <c r="USK43" s="56"/>
      <c r="USL43" s="56"/>
      <c r="USM43" s="56"/>
      <c r="USN43" s="56"/>
      <c r="USO43" s="56"/>
      <c r="USP43" s="56"/>
      <c r="USQ43" s="56"/>
      <c r="USR43" s="56"/>
      <c r="USS43" s="56"/>
      <c r="UST43" s="56"/>
      <c r="USU43" s="56"/>
      <c r="USV43" s="56"/>
      <c r="USW43" s="56"/>
      <c r="USX43" s="56"/>
      <c r="USY43" s="56"/>
      <c r="USZ43" s="56"/>
      <c r="UTA43" s="56"/>
      <c r="UTB43" s="56"/>
      <c r="UTC43" s="56"/>
      <c r="UTD43" s="56"/>
      <c r="UTE43" s="56"/>
      <c r="UTF43" s="56"/>
      <c r="UTG43" s="56"/>
      <c r="UTH43" s="56"/>
      <c r="UTI43" s="56"/>
      <c r="UTJ43" s="56"/>
      <c r="UTK43" s="56"/>
      <c r="UTL43" s="56"/>
      <c r="UTM43" s="56"/>
      <c r="UTN43" s="56"/>
      <c r="UTO43" s="56"/>
      <c r="UTP43" s="56"/>
      <c r="UTQ43" s="56"/>
      <c r="UTR43" s="56"/>
      <c r="UTS43" s="56"/>
      <c r="UTT43" s="56"/>
      <c r="UTU43" s="56"/>
      <c r="UTV43" s="56"/>
      <c r="UTW43" s="56"/>
      <c r="UTX43" s="56"/>
      <c r="UTY43" s="56"/>
      <c r="UTZ43" s="56"/>
      <c r="UUA43" s="56"/>
      <c r="UUB43" s="56"/>
      <c r="UUC43" s="56"/>
      <c r="UUD43" s="56"/>
      <c r="UUE43" s="56"/>
      <c r="UUF43" s="56"/>
      <c r="UUG43" s="56"/>
      <c r="UUH43" s="56"/>
      <c r="UUI43" s="56"/>
      <c r="UUJ43" s="56"/>
      <c r="UUK43" s="56"/>
      <c r="UUL43" s="56"/>
      <c r="UUM43" s="56"/>
      <c r="UUN43" s="56"/>
      <c r="UUO43" s="56"/>
      <c r="UUP43" s="56"/>
      <c r="UUQ43" s="56"/>
      <c r="UUR43" s="56"/>
      <c r="UUS43" s="56"/>
      <c r="UUT43" s="56"/>
      <c r="UUU43" s="56"/>
      <c r="UUV43" s="56"/>
      <c r="UUW43" s="56"/>
      <c r="UUX43" s="56"/>
      <c r="UUY43" s="56"/>
      <c r="UUZ43" s="56"/>
      <c r="UVA43" s="56"/>
      <c r="UVB43" s="56"/>
      <c r="UVC43" s="56"/>
      <c r="UVD43" s="56"/>
      <c r="UVE43" s="56"/>
      <c r="UVF43" s="56"/>
      <c r="UVG43" s="56"/>
      <c r="UVH43" s="56"/>
      <c r="UVI43" s="56"/>
      <c r="UVJ43" s="56"/>
      <c r="UVK43" s="56"/>
      <c r="UVL43" s="56"/>
      <c r="UVM43" s="56"/>
      <c r="UVN43" s="56"/>
      <c r="UVO43" s="56"/>
      <c r="UVP43" s="56"/>
      <c r="UVQ43" s="56"/>
      <c r="UVR43" s="56"/>
      <c r="UVS43" s="56"/>
      <c r="UVT43" s="56"/>
      <c r="UVU43" s="56"/>
      <c r="UVV43" s="56"/>
      <c r="UVW43" s="56"/>
      <c r="UVX43" s="56"/>
      <c r="UVY43" s="56"/>
      <c r="UVZ43" s="56"/>
      <c r="UWA43" s="56"/>
      <c r="UWB43" s="56"/>
      <c r="UWC43" s="56"/>
      <c r="UWD43" s="56"/>
      <c r="UWE43" s="56"/>
      <c r="UWF43" s="56"/>
      <c r="UWG43" s="56"/>
      <c r="UWH43" s="56"/>
      <c r="UWI43" s="56"/>
      <c r="UWJ43" s="56"/>
      <c r="UWK43" s="56"/>
      <c r="UWL43" s="56"/>
      <c r="UWM43" s="56"/>
      <c r="UWN43" s="56"/>
      <c r="UWO43" s="56"/>
      <c r="UWP43" s="56"/>
      <c r="UWQ43" s="56"/>
      <c r="UWR43" s="56"/>
      <c r="UWS43" s="56"/>
      <c r="UWT43" s="56"/>
      <c r="UWU43" s="56"/>
      <c r="UWV43" s="56"/>
      <c r="UWW43" s="56"/>
      <c r="UWX43" s="56"/>
      <c r="UWY43" s="56"/>
      <c r="UWZ43" s="56"/>
      <c r="UXA43" s="56"/>
      <c r="UXB43" s="56"/>
      <c r="UXC43" s="56"/>
      <c r="UXD43" s="56"/>
      <c r="UXE43" s="56"/>
      <c r="UXF43" s="56"/>
      <c r="UXG43" s="56"/>
      <c r="UXH43" s="56"/>
      <c r="UXI43" s="56"/>
      <c r="UXJ43" s="56"/>
      <c r="UXK43" s="56"/>
      <c r="UXL43" s="56"/>
      <c r="UXM43" s="56"/>
      <c r="UXN43" s="56"/>
      <c r="UXO43" s="56"/>
      <c r="UXP43" s="56"/>
      <c r="UXQ43" s="56"/>
      <c r="UXR43" s="56"/>
      <c r="UXS43" s="56"/>
      <c r="UXT43" s="56"/>
      <c r="UXU43" s="56"/>
      <c r="UXV43" s="56"/>
      <c r="UXW43" s="56"/>
      <c r="UXX43" s="56"/>
      <c r="UXY43" s="56"/>
      <c r="UXZ43" s="56"/>
      <c r="UYA43" s="56"/>
      <c r="UYB43" s="56"/>
      <c r="UYC43" s="56"/>
      <c r="UYD43" s="56"/>
      <c r="UYE43" s="56"/>
      <c r="UYF43" s="56"/>
      <c r="UYG43" s="56"/>
      <c r="UYH43" s="56"/>
      <c r="UYI43" s="56"/>
      <c r="UYJ43" s="56"/>
      <c r="UYK43" s="56"/>
      <c r="UYL43" s="56"/>
      <c r="UYM43" s="56"/>
      <c r="UYN43" s="56"/>
      <c r="UYO43" s="56"/>
      <c r="UYP43" s="56"/>
      <c r="UYQ43" s="56"/>
      <c r="UYR43" s="56"/>
      <c r="UYS43" s="56"/>
      <c r="UYT43" s="56"/>
      <c r="UYU43" s="56"/>
      <c r="UYV43" s="56"/>
      <c r="UYW43" s="56"/>
      <c r="UYX43" s="56"/>
      <c r="UYY43" s="56"/>
      <c r="UYZ43" s="56"/>
      <c r="UZA43" s="56"/>
      <c r="UZB43" s="56"/>
      <c r="UZC43" s="56"/>
      <c r="UZD43" s="56"/>
      <c r="UZE43" s="56"/>
      <c r="UZF43" s="56"/>
      <c r="UZG43" s="56"/>
      <c r="UZH43" s="56"/>
      <c r="UZI43" s="56"/>
      <c r="UZJ43" s="56"/>
      <c r="UZK43" s="56"/>
      <c r="UZL43" s="56"/>
      <c r="UZM43" s="56"/>
      <c r="UZN43" s="56"/>
      <c r="UZO43" s="56"/>
      <c r="UZP43" s="56"/>
      <c r="UZQ43" s="56"/>
      <c r="UZR43" s="56"/>
      <c r="UZS43" s="56"/>
      <c r="UZT43" s="56"/>
      <c r="UZU43" s="56"/>
      <c r="UZV43" s="56"/>
      <c r="UZW43" s="56"/>
      <c r="UZX43" s="56"/>
      <c r="UZY43" s="56"/>
      <c r="UZZ43" s="56"/>
      <c r="VAA43" s="56"/>
      <c r="VAB43" s="56"/>
      <c r="VAC43" s="56"/>
      <c r="VAD43" s="56"/>
      <c r="VAE43" s="56"/>
      <c r="VAF43" s="56"/>
      <c r="VAG43" s="56"/>
      <c r="VAH43" s="56"/>
      <c r="VAI43" s="56"/>
      <c r="VAJ43" s="56"/>
      <c r="VAK43" s="56"/>
      <c r="VAL43" s="56"/>
      <c r="VAM43" s="56"/>
      <c r="VAN43" s="56"/>
      <c r="VAO43" s="56"/>
      <c r="VAP43" s="56"/>
      <c r="VAQ43" s="56"/>
      <c r="VAR43" s="56"/>
      <c r="VAS43" s="56"/>
      <c r="VAT43" s="56"/>
      <c r="VAU43" s="56"/>
      <c r="VAV43" s="56"/>
      <c r="VAW43" s="56"/>
      <c r="VAX43" s="56"/>
      <c r="VAY43" s="56"/>
      <c r="VAZ43" s="56"/>
      <c r="VBA43" s="56"/>
      <c r="VBB43" s="56"/>
      <c r="VBC43" s="56"/>
      <c r="VBD43" s="56"/>
      <c r="VBE43" s="56"/>
      <c r="VBF43" s="56"/>
      <c r="VBG43" s="56"/>
      <c r="VBH43" s="56"/>
      <c r="VBI43" s="56"/>
      <c r="VBJ43" s="56"/>
      <c r="VBK43" s="56"/>
      <c r="VBL43" s="56"/>
      <c r="VBM43" s="56"/>
      <c r="VBN43" s="56"/>
      <c r="VBO43" s="56"/>
      <c r="VBP43" s="56"/>
      <c r="VBQ43" s="56"/>
      <c r="VBR43" s="56"/>
      <c r="VBS43" s="56"/>
      <c r="VBT43" s="56"/>
      <c r="VBU43" s="56"/>
      <c r="VBV43" s="56"/>
      <c r="VBW43" s="56"/>
      <c r="VBX43" s="56"/>
      <c r="VBY43" s="56"/>
      <c r="VBZ43" s="56"/>
      <c r="VCA43" s="56"/>
      <c r="VCB43" s="56"/>
      <c r="VCC43" s="56"/>
      <c r="VCD43" s="56"/>
      <c r="VCE43" s="56"/>
      <c r="VCF43" s="56"/>
      <c r="VCG43" s="56"/>
      <c r="VCH43" s="56"/>
      <c r="VCI43" s="56"/>
      <c r="VCJ43" s="56"/>
      <c r="VCK43" s="56"/>
      <c r="VCL43" s="56"/>
      <c r="VCM43" s="56"/>
      <c r="VCN43" s="56"/>
      <c r="VCO43" s="56"/>
      <c r="VCP43" s="56"/>
      <c r="VCQ43" s="56"/>
      <c r="VCR43" s="56"/>
      <c r="VCS43" s="56"/>
      <c r="VCT43" s="56"/>
      <c r="VCU43" s="56"/>
      <c r="VCV43" s="56"/>
      <c r="VCW43" s="56"/>
      <c r="VCX43" s="56"/>
      <c r="VCY43" s="56"/>
      <c r="VCZ43" s="56"/>
      <c r="VDA43" s="56"/>
      <c r="VDB43" s="56"/>
      <c r="VDC43" s="56"/>
      <c r="VDD43" s="56"/>
      <c r="VDE43" s="56"/>
      <c r="VDF43" s="56"/>
      <c r="VDG43" s="56"/>
      <c r="VDH43" s="56"/>
      <c r="VDI43" s="56"/>
      <c r="VDJ43" s="56"/>
      <c r="VDK43" s="56"/>
      <c r="VDL43" s="56"/>
      <c r="VDM43" s="56"/>
      <c r="VDN43" s="56"/>
      <c r="VDO43" s="56"/>
      <c r="VDP43" s="56"/>
      <c r="VDQ43" s="56"/>
      <c r="VDR43" s="56"/>
      <c r="VDS43" s="56"/>
      <c r="VDT43" s="56"/>
      <c r="VDU43" s="56"/>
      <c r="VDV43" s="56"/>
      <c r="VDW43" s="56"/>
      <c r="VDX43" s="56"/>
      <c r="VDY43" s="56"/>
      <c r="VDZ43" s="56"/>
      <c r="VEA43" s="56"/>
      <c r="VEB43" s="56"/>
      <c r="VEC43" s="56"/>
      <c r="VED43" s="56"/>
      <c r="VEE43" s="56"/>
      <c r="VEF43" s="56"/>
      <c r="VEG43" s="56"/>
      <c r="VEH43" s="56"/>
      <c r="VEI43" s="56"/>
      <c r="VEJ43" s="56"/>
      <c r="VEK43" s="56"/>
      <c r="VEL43" s="56"/>
      <c r="VEM43" s="56"/>
      <c r="VEN43" s="56"/>
      <c r="VEO43" s="56"/>
      <c r="VEP43" s="56"/>
      <c r="VEQ43" s="56"/>
      <c r="VER43" s="56"/>
      <c r="VES43" s="56"/>
      <c r="VET43" s="56"/>
      <c r="VEU43" s="56"/>
      <c r="VEV43" s="56"/>
      <c r="VEW43" s="56"/>
      <c r="VEX43" s="56"/>
      <c r="VEY43" s="56"/>
      <c r="VEZ43" s="56"/>
      <c r="VFA43" s="56"/>
      <c r="VFB43" s="56"/>
      <c r="VFC43" s="56"/>
      <c r="VFD43" s="56"/>
      <c r="VFE43" s="56"/>
      <c r="VFF43" s="56"/>
      <c r="VFG43" s="56"/>
      <c r="VFH43" s="56"/>
      <c r="VFI43" s="56"/>
      <c r="VFJ43" s="56"/>
      <c r="VFK43" s="56"/>
      <c r="VFL43" s="56"/>
      <c r="VFM43" s="56"/>
      <c r="VFN43" s="56"/>
      <c r="VFO43" s="56"/>
      <c r="VFP43" s="56"/>
      <c r="VFQ43" s="56"/>
      <c r="VFR43" s="56"/>
      <c r="VFS43" s="56"/>
      <c r="VFT43" s="56"/>
      <c r="VFU43" s="56"/>
      <c r="VFV43" s="56"/>
      <c r="VFW43" s="56"/>
      <c r="VFX43" s="56"/>
      <c r="VFY43" s="56"/>
      <c r="VFZ43" s="56"/>
      <c r="VGA43" s="56"/>
      <c r="VGB43" s="56"/>
      <c r="VGC43" s="56"/>
      <c r="VGD43" s="56"/>
      <c r="VGE43" s="56"/>
      <c r="VGF43" s="56"/>
      <c r="VGG43" s="56"/>
      <c r="VGH43" s="56"/>
      <c r="VGI43" s="56"/>
      <c r="VGJ43" s="56"/>
      <c r="VGK43" s="56"/>
      <c r="VGL43" s="56"/>
      <c r="VGM43" s="56"/>
      <c r="VGN43" s="56"/>
      <c r="VGO43" s="56"/>
      <c r="VGP43" s="56"/>
      <c r="VGQ43" s="56"/>
      <c r="VGR43" s="56"/>
      <c r="VGS43" s="56"/>
      <c r="VGT43" s="56"/>
      <c r="VGU43" s="56"/>
      <c r="VGV43" s="56"/>
      <c r="VGW43" s="56"/>
      <c r="VGX43" s="56"/>
      <c r="VGY43" s="56"/>
      <c r="VGZ43" s="56"/>
      <c r="VHA43" s="56"/>
      <c r="VHB43" s="56"/>
      <c r="VHC43" s="56"/>
      <c r="VHD43" s="56"/>
      <c r="VHE43" s="56"/>
      <c r="VHF43" s="56"/>
      <c r="VHG43" s="56"/>
      <c r="VHH43" s="56"/>
      <c r="VHI43" s="56"/>
      <c r="VHJ43" s="56"/>
      <c r="VHK43" s="56"/>
      <c r="VHL43" s="56"/>
      <c r="VHM43" s="56"/>
      <c r="VHN43" s="56"/>
      <c r="VHO43" s="56"/>
      <c r="VHP43" s="56"/>
      <c r="VHQ43" s="56"/>
      <c r="VHR43" s="56"/>
      <c r="VHS43" s="56"/>
      <c r="VHT43" s="56"/>
      <c r="VHU43" s="56"/>
      <c r="VHV43" s="56"/>
      <c r="VHW43" s="56"/>
      <c r="VHX43" s="56"/>
      <c r="VHY43" s="56"/>
      <c r="VHZ43" s="56"/>
      <c r="VIA43" s="56"/>
      <c r="VIB43" s="56"/>
      <c r="VIC43" s="56"/>
      <c r="VID43" s="56"/>
      <c r="VIE43" s="56"/>
      <c r="VIF43" s="56"/>
      <c r="VIG43" s="56"/>
      <c r="VIH43" s="56"/>
      <c r="VII43" s="56"/>
      <c r="VIJ43" s="56"/>
      <c r="VIK43" s="56"/>
      <c r="VIL43" s="56"/>
      <c r="VIM43" s="56"/>
      <c r="VIN43" s="56"/>
      <c r="VIO43" s="56"/>
      <c r="VIP43" s="56"/>
      <c r="VIQ43" s="56"/>
      <c r="VIR43" s="56"/>
      <c r="VIS43" s="56"/>
      <c r="VIT43" s="56"/>
      <c r="VIU43" s="56"/>
      <c r="VIV43" s="56"/>
      <c r="VIW43" s="56"/>
      <c r="VIX43" s="56"/>
      <c r="VIY43" s="56"/>
      <c r="VIZ43" s="56"/>
      <c r="VJA43" s="56"/>
      <c r="VJB43" s="56"/>
      <c r="VJC43" s="56"/>
      <c r="VJD43" s="56"/>
      <c r="VJE43" s="56"/>
      <c r="VJF43" s="56"/>
      <c r="VJG43" s="56"/>
      <c r="VJH43" s="56"/>
      <c r="VJI43" s="56"/>
      <c r="VJJ43" s="56"/>
      <c r="VJK43" s="56"/>
      <c r="VJL43" s="56"/>
      <c r="VJM43" s="56"/>
      <c r="VJN43" s="56"/>
      <c r="VJO43" s="56"/>
      <c r="VJP43" s="56"/>
      <c r="VJQ43" s="56"/>
      <c r="VJR43" s="56"/>
      <c r="VJS43" s="56"/>
      <c r="VJT43" s="56"/>
      <c r="VJU43" s="56"/>
      <c r="VJV43" s="56"/>
      <c r="VJW43" s="56"/>
      <c r="VJX43" s="56"/>
      <c r="VJY43" s="56"/>
      <c r="VJZ43" s="56"/>
      <c r="VKA43" s="56"/>
      <c r="VKB43" s="56"/>
      <c r="VKC43" s="56"/>
      <c r="VKD43" s="56"/>
      <c r="VKE43" s="56"/>
      <c r="VKF43" s="56"/>
      <c r="VKG43" s="56"/>
      <c r="VKH43" s="56"/>
      <c r="VKI43" s="56"/>
      <c r="VKJ43" s="56"/>
      <c r="VKK43" s="56"/>
      <c r="VKL43" s="56"/>
      <c r="VKM43" s="56"/>
      <c r="VKN43" s="56"/>
      <c r="VKO43" s="56"/>
      <c r="VKP43" s="56"/>
      <c r="VKQ43" s="56"/>
      <c r="VKR43" s="56"/>
      <c r="VKS43" s="56"/>
      <c r="VKT43" s="56"/>
      <c r="VKU43" s="56"/>
      <c r="VKV43" s="56"/>
      <c r="VKW43" s="56"/>
      <c r="VKX43" s="56"/>
      <c r="VKY43" s="56"/>
      <c r="VKZ43" s="56"/>
      <c r="VLA43" s="56"/>
      <c r="VLB43" s="56"/>
      <c r="VLC43" s="56"/>
      <c r="VLD43" s="56"/>
      <c r="VLE43" s="56"/>
      <c r="VLF43" s="56"/>
      <c r="VLG43" s="56"/>
      <c r="VLH43" s="56"/>
      <c r="VLI43" s="56"/>
      <c r="VLJ43" s="56"/>
      <c r="VLK43" s="56"/>
      <c r="VLL43" s="56"/>
      <c r="VLM43" s="56"/>
      <c r="VLN43" s="56"/>
      <c r="VLO43" s="56"/>
      <c r="VLP43" s="56"/>
      <c r="VLQ43" s="56"/>
      <c r="VLR43" s="56"/>
      <c r="VLS43" s="56"/>
      <c r="VLT43" s="56"/>
      <c r="VLU43" s="56"/>
      <c r="VLV43" s="56"/>
      <c r="VLW43" s="56"/>
      <c r="VLX43" s="56"/>
      <c r="VLY43" s="56"/>
      <c r="VLZ43" s="56"/>
      <c r="VMA43" s="56"/>
      <c r="VMB43" s="56"/>
      <c r="VMC43" s="56"/>
      <c r="VMD43" s="56"/>
      <c r="VME43" s="56"/>
      <c r="VMF43" s="56"/>
      <c r="VMG43" s="56"/>
      <c r="VMH43" s="56"/>
      <c r="VMI43" s="56"/>
      <c r="VMJ43" s="56"/>
      <c r="VMK43" s="56"/>
      <c r="VML43" s="56"/>
      <c r="VMM43" s="56"/>
      <c r="VMN43" s="56"/>
      <c r="VMO43" s="56"/>
      <c r="VMP43" s="56"/>
      <c r="VMQ43" s="56"/>
      <c r="VMR43" s="56"/>
      <c r="VMS43" s="56"/>
      <c r="VMT43" s="56"/>
      <c r="VMU43" s="56"/>
      <c r="VMV43" s="56"/>
      <c r="VMW43" s="56"/>
      <c r="VMX43" s="56"/>
      <c r="VMY43" s="56"/>
      <c r="VMZ43" s="56"/>
      <c r="VNA43" s="56"/>
      <c r="VNB43" s="56"/>
      <c r="VNC43" s="56"/>
      <c r="VND43" s="56"/>
      <c r="VNE43" s="56"/>
      <c r="VNF43" s="56"/>
      <c r="VNG43" s="56"/>
      <c r="VNH43" s="56"/>
      <c r="VNI43" s="56"/>
      <c r="VNJ43" s="56"/>
      <c r="VNK43" s="56"/>
      <c r="VNL43" s="56"/>
      <c r="VNM43" s="56"/>
      <c r="VNN43" s="56"/>
      <c r="VNO43" s="56"/>
      <c r="VNP43" s="56"/>
      <c r="VNQ43" s="56"/>
      <c r="VNR43" s="56"/>
      <c r="VNS43" s="56"/>
      <c r="VNT43" s="56"/>
      <c r="VNU43" s="56"/>
      <c r="VNV43" s="56"/>
      <c r="VNW43" s="56"/>
      <c r="VNX43" s="56"/>
      <c r="VNY43" s="56"/>
      <c r="VNZ43" s="56"/>
      <c r="VOA43" s="56"/>
      <c r="VOB43" s="56"/>
      <c r="VOC43" s="56"/>
      <c r="VOD43" s="56"/>
      <c r="VOE43" s="56"/>
      <c r="VOF43" s="56"/>
      <c r="VOG43" s="56"/>
      <c r="VOH43" s="56"/>
      <c r="VOI43" s="56"/>
      <c r="VOJ43" s="56"/>
      <c r="VOK43" s="56"/>
      <c r="VOL43" s="56"/>
      <c r="VOM43" s="56"/>
      <c r="VON43" s="56"/>
      <c r="VOO43" s="56"/>
      <c r="VOP43" s="56"/>
      <c r="VOQ43" s="56"/>
      <c r="VOR43" s="56"/>
      <c r="VOS43" s="56"/>
      <c r="VOT43" s="56"/>
      <c r="VOU43" s="56"/>
      <c r="VOV43" s="56"/>
      <c r="VOW43" s="56"/>
      <c r="VOX43" s="56"/>
      <c r="VOY43" s="56"/>
      <c r="VOZ43" s="56"/>
      <c r="VPA43" s="56"/>
      <c r="VPB43" s="56"/>
      <c r="VPC43" s="56"/>
      <c r="VPD43" s="56"/>
      <c r="VPE43" s="56"/>
      <c r="VPF43" s="56"/>
      <c r="VPG43" s="56"/>
      <c r="VPH43" s="56"/>
      <c r="VPI43" s="56"/>
      <c r="VPJ43" s="56"/>
      <c r="VPK43" s="56"/>
      <c r="VPL43" s="56"/>
      <c r="VPM43" s="56"/>
      <c r="VPN43" s="56"/>
      <c r="VPO43" s="56"/>
      <c r="VPP43" s="56"/>
      <c r="VPQ43" s="56"/>
      <c r="VPR43" s="56"/>
      <c r="VPS43" s="56"/>
      <c r="VPT43" s="56"/>
      <c r="VPU43" s="56"/>
      <c r="VPV43" s="56"/>
      <c r="VPW43" s="56"/>
      <c r="VPX43" s="56"/>
      <c r="VPY43" s="56"/>
      <c r="VPZ43" s="56"/>
      <c r="VQA43" s="56"/>
      <c r="VQB43" s="56"/>
      <c r="VQC43" s="56"/>
      <c r="VQD43" s="56"/>
      <c r="VQE43" s="56"/>
      <c r="VQF43" s="56"/>
      <c r="VQG43" s="56"/>
      <c r="VQH43" s="56"/>
      <c r="VQI43" s="56"/>
      <c r="VQJ43" s="56"/>
      <c r="VQK43" s="56"/>
      <c r="VQL43" s="56"/>
      <c r="VQM43" s="56"/>
      <c r="VQN43" s="56"/>
      <c r="VQO43" s="56"/>
      <c r="VQP43" s="56"/>
      <c r="VQQ43" s="56"/>
      <c r="VQR43" s="56"/>
      <c r="VQS43" s="56"/>
      <c r="VQT43" s="56"/>
      <c r="VQU43" s="56"/>
      <c r="VQV43" s="56"/>
      <c r="VQW43" s="56"/>
      <c r="VQX43" s="56"/>
      <c r="VQY43" s="56"/>
      <c r="VQZ43" s="56"/>
      <c r="VRA43" s="56"/>
      <c r="VRB43" s="56"/>
      <c r="VRC43" s="56"/>
      <c r="VRD43" s="56"/>
      <c r="VRE43" s="56"/>
      <c r="VRF43" s="56"/>
      <c r="VRG43" s="56"/>
      <c r="VRH43" s="56"/>
      <c r="VRI43" s="56"/>
      <c r="VRJ43" s="56"/>
      <c r="VRK43" s="56"/>
      <c r="VRL43" s="56"/>
      <c r="VRM43" s="56"/>
      <c r="VRN43" s="56"/>
      <c r="VRO43" s="56"/>
      <c r="VRP43" s="56"/>
      <c r="VRQ43" s="56"/>
      <c r="VRR43" s="56"/>
      <c r="VRS43" s="56"/>
      <c r="VRT43" s="56"/>
      <c r="VRU43" s="56"/>
      <c r="VRV43" s="56"/>
      <c r="VRW43" s="56"/>
      <c r="VRX43" s="56"/>
      <c r="VRY43" s="56"/>
      <c r="VRZ43" s="56"/>
      <c r="VSA43" s="56"/>
      <c r="VSB43" s="56"/>
      <c r="VSC43" s="56"/>
      <c r="VSD43" s="56"/>
      <c r="VSE43" s="56"/>
      <c r="VSF43" s="56"/>
      <c r="VSG43" s="56"/>
      <c r="VSH43" s="56"/>
      <c r="VSI43" s="56"/>
      <c r="VSJ43" s="56"/>
      <c r="VSK43" s="56"/>
      <c r="VSL43" s="56"/>
      <c r="VSM43" s="56"/>
      <c r="VSN43" s="56"/>
      <c r="VSO43" s="56"/>
      <c r="VSP43" s="56"/>
      <c r="VSQ43" s="56"/>
      <c r="VSR43" s="56"/>
      <c r="VSS43" s="56"/>
      <c r="VST43" s="56"/>
      <c r="VSU43" s="56"/>
      <c r="VSV43" s="56"/>
      <c r="VSW43" s="56"/>
      <c r="VSX43" s="56"/>
      <c r="VSY43" s="56"/>
      <c r="VSZ43" s="56"/>
      <c r="VTA43" s="56"/>
      <c r="VTB43" s="56"/>
      <c r="VTC43" s="56"/>
      <c r="VTD43" s="56"/>
      <c r="VTE43" s="56"/>
      <c r="VTF43" s="56"/>
      <c r="VTG43" s="56"/>
      <c r="VTH43" s="56"/>
      <c r="VTI43" s="56"/>
      <c r="VTJ43" s="56"/>
      <c r="VTK43" s="56"/>
      <c r="VTL43" s="56"/>
      <c r="VTM43" s="56"/>
      <c r="VTN43" s="56"/>
      <c r="VTO43" s="56"/>
      <c r="VTP43" s="56"/>
      <c r="VTQ43" s="56"/>
      <c r="VTR43" s="56"/>
      <c r="VTS43" s="56"/>
      <c r="VTT43" s="56"/>
      <c r="VTU43" s="56"/>
      <c r="VTV43" s="56"/>
      <c r="VTW43" s="56"/>
      <c r="VTX43" s="56"/>
      <c r="VTY43" s="56"/>
      <c r="VTZ43" s="56"/>
      <c r="VUA43" s="56"/>
      <c r="VUB43" s="56"/>
      <c r="VUC43" s="56"/>
      <c r="VUD43" s="56"/>
      <c r="VUE43" s="56"/>
      <c r="VUF43" s="56"/>
      <c r="VUG43" s="56"/>
      <c r="VUH43" s="56"/>
      <c r="VUI43" s="56"/>
      <c r="VUJ43" s="56"/>
      <c r="VUK43" s="56"/>
      <c r="VUL43" s="56"/>
      <c r="VUM43" s="56"/>
      <c r="VUN43" s="56"/>
      <c r="VUO43" s="56"/>
      <c r="VUP43" s="56"/>
      <c r="VUQ43" s="56"/>
      <c r="VUR43" s="56"/>
      <c r="VUS43" s="56"/>
      <c r="VUT43" s="56"/>
      <c r="VUU43" s="56"/>
      <c r="VUV43" s="56"/>
      <c r="VUW43" s="56"/>
      <c r="VUX43" s="56"/>
      <c r="VUY43" s="56"/>
      <c r="VUZ43" s="56"/>
      <c r="VVA43" s="56"/>
      <c r="VVB43" s="56"/>
      <c r="VVC43" s="56"/>
      <c r="VVD43" s="56"/>
      <c r="VVE43" s="56"/>
      <c r="VVF43" s="56"/>
      <c r="VVG43" s="56"/>
      <c r="VVH43" s="56"/>
      <c r="VVI43" s="56"/>
      <c r="VVJ43" s="56"/>
      <c r="VVK43" s="56"/>
      <c r="VVL43" s="56"/>
      <c r="VVM43" s="56"/>
      <c r="VVN43" s="56"/>
      <c r="VVO43" s="56"/>
      <c r="VVP43" s="56"/>
      <c r="VVQ43" s="56"/>
      <c r="VVR43" s="56"/>
      <c r="VVS43" s="56"/>
      <c r="VVT43" s="56"/>
      <c r="VVU43" s="56"/>
      <c r="VVV43" s="56"/>
      <c r="VVW43" s="56"/>
      <c r="VVX43" s="56"/>
      <c r="VVY43" s="56"/>
      <c r="VVZ43" s="56"/>
      <c r="VWA43" s="56"/>
      <c r="VWB43" s="56"/>
      <c r="VWC43" s="56"/>
      <c r="VWD43" s="56"/>
      <c r="VWE43" s="56"/>
      <c r="VWF43" s="56"/>
      <c r="VWG43" s="56"/>
      <c r="VWH43" s="56"/>
      <c r="VWI43" s="56"/>
      <c r="VWJ43" s="56"/>
      <c r="VWK43" s="56"/>
      <c r="VWL43" s="56"/>
      <c r="VWM43" s="56"/>
      <c r="VWN43" s="56"/>
      <c r="VWO43" s="56"/>
      <c r="VWP43" s="56"/>
      <c r="VWQ43" s="56"/>
      <c r="VWR43" s="56"/>
      <c r="VWS43" s="56"/>
      <c r="VWT43" s="56"/>
      <c r="VWU43" s="56"/>
      <c r="VWV43" s="56"/>
      <c r="VWW43" s="56"/>
      <c r="VWX43" s="56"/>
      <c r="VWY43" s="56"/>
      <c r="VWZ43" s="56"/>
      <c r="VXA43" s="56"/>
      <c r="VXB43" s="56"/>
      <c r="VXC43" s="56"/>
      <c r="VXD43" s="56"/>
      <c r="VXE43" s="56"/>
      <c r="VXF43" s="56"/>
      <c r="VXG43" s="56"/>
      <c r="VXH43" s="56"/>
      <c r="VXI43" s="56"/>
      <c r="VXJ43" s="56"/>
      <c r="VXK43" s="56"/>
      <c r="VXL43" s="56"/>
      <c r="VXM43" s="56"/>
      <c r="VXN43" s="56"/>
      <c r="VXO43" s="56"/>
      <c r="VXP43" s="56"/>
      <c r="VXQ43" s="56"/>
      <c r="VXR43" s="56"/>
      <c r="VXS43" s="56"/>
      <c r="VXT43" s="56"/>
      <c r="VXU43" s="56"/>
      <c r="VXV43" s="56"/>
      <c r="VXW43" s="56"/>
      <c r="VXX43" s="56"/>
      <c r="VXY43" s="56"/>
      <c r="VXZ43" s="56"/>
      <c r="VYA43" s="56"/>
      <c r="VYB43" s="56"/>
      <c r="VYC43" s="56"/>
      <c r="VYD43" s="56"/>
      <c r="VYE43" s="56"/>
      <c r="VYF43" s="56"/>
      <c r="VYG43" s="56"/>
      <c r="VYH43" s="56"/>
      <c r="VYI43" s="56"/>
      <c r="VYJ43" s="56"/>
      <c r="VYK43" s="56"/>
      <c r="VYL43" s="56"/>
      <c r="VYM43" s="56"/>
      <c r="VYN43" s="56"/>
      <c r="VYO43" s="56"/>
      <c r="VYP43" s="56"/>
      <c r="VYQ43" s="56"/>
      <c r="VYR43" s="56"/>
      <c r="VYS43" s="56"/>
      <c r="VYT43" s="56"/>
      <c r="VYU43" s="56"/>
      <c r="VYV43" s="56"/>
      <c r="VYW43" s="56"/>
      <c r="VYX43" s="56"/>
      <c r="VYY43" s="56"/>
      <c r="VYZ43" s="56"/>
      <c r="VZA43" s="56"/>
      <c r="VZB43" s="56"/>
      <c r="VZC43" s="56"/>
      <c r="VZD43" s="56"/>
      <c r="VZE43" s="56"/>
      <c r="VZF43" s="56"/>
      <c r="VZG43" s="56"/>
      <c r="VZH43" s="56"/>
      <c r="VZI43" s="56"/>
      <c r="VZJ43" s="56"/>
      <c r="VZK43" s="56"/>
      <c r="VZL43" s="56"/>
      <c r="VZM43" s="56"/>
      <c r="VZN43" s="56"/>
      <c r="VZO43" s="56"/>
      <c r="VZP43" s="56"/>
      <c r="VZQ43" s="56"/>
      <c r="VZR43" s="56"/>
      <c r="VZS43" s="56"/>
      <c r="VZT43" s="56"/>
      <c r="VZU43" s="56"/>
      <c r="VZV43" s="56"/>
      <c r="VZW43" s="56"/>
      <c r="VZX43" s="56"/>
      <c r="VZY43" s="56"/>
      <c r="VZZ43" s="56"/>
      <c r="WAA43" s="56"/>
      <c r="WAB43" s="56"/>
      <c r="WAC43" s="56"/>
      <c r="WAD43" s="56"/>
      <c r="WAE43" s="56"/>
      <c r="WAF43" s="56"/>
      <c r="WAG43" s="56"/>
      <c r="WAH43" s="56"/>
      <c r="WAI43" s="56"/>
      <c r="WAJ43" s="56"/>
      <c r="WAK43" s="56"/>
      <c r="WAL43" s="56"/>
      <c r="WAM43" s="56"/>
      <c r="WAN43" s="56"/>
      <c r="WAO43" s="56"/>
      <c r="WAP43" s="56"/>
      <c r="WAQ43" s="56"/>
      <c r="WAR43" s="56"/>
      <c r="WAS43" s="56"/>
      <c r="WAT43" s="56"/>
      <c r="WAU43" s="56"/>
      <c r="WAV43" s="56"/>
      <c r="WAW43" s="56"/>
      <c r="WAX43" s="56"/>
      <c r="WAY43" s="56"/>
      <c r="WAZ43" s="56"/>
      <c r="WBA43" s="56"/>
      <c r="WBB43" s="56"/>
      <c r="WBC43" s="56"/>
      <c r="WBD43" s="56"/>
      <c r="WBE43" s="56"/>
      <c r="WBF43" s="56"/>
      <c r="WBG43" s="56"/>
      <c r="WBH43" s="56"/>
      <c r="WBI43" s="56"/>
      <c r="WBJ43" s="56"/>
      <c r="WBK43" s="56"/>
      <c r="WBL43" s="56"/>
      <c r="WBM43" s="56"/>
      <c r="WBN43" s="56"/>
      <c r="WBO43" s="56"/>
      <c r="WBP43" s="56"/>
      <c r="WBQ43" s="56"/>
      <c r="WBR43" s="56"/>
      <c r="WBS43" s="56"/>
      <c r="WBT43" s="56"/>
      <c r="WBU43" s="56"/>
      <c r="WBV43" s="56"/>
      <c r="WBW43" s="56"/>
      <c r="WBX43" s="56"/>
      <c r="WBY43" s="56"/>
      <c r="WBZ43" s="56"/>
      <c r="WCA43" s="56"/>
      <c r="WCB43" s="56"/>
      <c r="WCC43" s="56"/>
      <c r="WCD43" s="56"/>
      <c r="WCE43" s="56"/>
      <c r="WCF43" s="56"/>
      <c r="WCG43" s="56"/>
      <c r="WCH43" s="56"/>
      <c r="WCI43" s="56"/>
      <c r="WCJ43" s="56"/>
      <c r="WCK43" s="56"/>
      <c r="WCL43" s="56"/>
      <c r="WCM43" s="56"/>
      <c r="WCN43" s="56"/>
      <c r="WCO43" s="56"/>
      <c r="WCP43" s="56"/>
      <c r="WCQ43" s="56"/>
      <c r="WCR43" s="56"/>
      <c r="WCS43" s="56"/>
      <c r="WCT43" s="56"/>
      <c r="WCU43" s="56"/>
      <c r="WCV43" s="56"/>
      <c r="WCW43" s="56"/>
      <c r="WCX43" s="56"/>
      <c r="WCY43" s="56"/>
      <c r="WCZ43" s="56"/>
      <c r="WDA43" s="56"/>
      <c r="WDB43" s="56"/>
      <c r="WDC43" s="56"/>
      <c r="WDD43" s="56"/>
      <c r="WDE43" s="56"/>
      <c r="WDF43" s="56"/>
      <c r="WDG43" s="56"/>
      <c r="WDH43" s="56"/>
      <c r="WDI43" s="56"/>
      <c r="WDJ43" s="56"/>
      <c r="WDK43" s="56"/>
      <c r="WDL43" s="56"/>
      <c r="WDM43" s="56"/>
      <c r="WDN43" s="56"/>
      <c r="WDO43" s="56"/>
      <c r="WDP43" s="56"/>
      <c r="WDQ43" s="56"/>
      <c r="WDR43" s="56"/>
      <c r="WDS43" s="56"/>
      <c r="WDT43" s="56"/>
      <c r="WDU43" s="56"/>
      <c r="WDV43" s="56"/>
      <c r="WDW43" s="56"/>
      <c r="WDX43" s="56"/>
      <c r="WDY43" s="56"/>
      <c r="WDZ43" s="56"/>
      <c r="WEA43" s="56"/>
      <c r="WEB43" s="56"/>
      <c r="WEC43" s="56"/>
      <c r="WED43" s="56"/>
      <c r="WEE43" s="56"/>
      <c r="WEF43" s="56"/>
      <c r="WEG43" s="56"/>
      <c r="WEH43" s="56"/>
      <c r="WEI43" s="56"/>
      <c r="WEJ43" s="56"/>
      <c r="WEK43" s="56"/>
      <c r="WEL43" s="56"/>
      <c r="WEM43" s="56"/>
      <c r="WEN43" s="56"/>
      <c r="WEO43" s="56"/>
      <c r="WEP43" s="56"/>
      <c r="WEQ43" s="56"/>
      <c r="WER43" s="56"/>
      <c r="WES43" s="56"/>
      <c r="WET43" s="56"/>
      <c r="WEU43" s="56"/>
      <c r="WEV43" s="56"/>
      <c r="WEW43" s="56"/>
      <c r="WEX43" s="56"/>
      <c r="WEY43" s="56"/>
      <c r="WEZ43" s="56"/>
      <c r="WFA43" s="56"/>
      <c r="WFB43" s="56"/>
      <c r="WFC43" s="56"/>
      <c r="WFD43" s="56"/>
      <c r="WFE43" s="56"/>
      <c r="WFF43" s="56"/>
      <c r="WFG43" s="56"/>
      <c r="WFH43" s="56"/>
      <c r="WFI43" s="56"/>
      <c r="WFJ43" s="56"/>
      <c r="WFK43" s="56"/>
      <c r="WFL43" s="56"/>
      <c r="WFM43" s="56"/>
      <c r="WFN43" s="56"/>
      <c r="WFO43" s="56"/>
      <c r="WFP43" s="56"/>
      <c r="WFQ43" s="56"/>
      <c r="WFR43" s="56"/>
      <c r="WFS43" s="56"/>
      <c r="WFT43" s="56"/>
      <c r="WFU43" s="56"/>
      <c r="WFV43" s="56"/>
      <c r="WFW43" s="56"/>
      <c r="WFX43" s="56"/>
      <c r="WFY43" s="56"/>
      <c r="WFZ43" s="56"/>
      <c r="WGA43" s="56"/>
      <c r="WGB43" s="56"/>
      <c r="WGC43" s="56"/>
      <c r="WGD43" s="56"/>
      <c r="WGE43" s="56"/>
      <c r="WGF43" s="56"/>
      <c r="WGG43" s="56"/>
      <c r="WGH43" s="56"/>
      <c r="WGI43" s="56"/>
      <c r="WGJ43" s="56"/>
      <c r="WGK43" s="56"/>
      <c r="WGL43" s="56"/>
      <c r="WGM43" s="56"/>
      <c r="WGN43" s="56"/>
      <c r="WGO43" s="56"/>
      <c r="WGP43" s="56"/>
      <c r="WGQ43" s="56"/>
      <c r="WGR43" s="56"/>
      <c r="WGS43" s="56"/>
      <c r="WGT43" s="56"/>
      <c r="WGU43" s="56"/>
      <c r="WGV43" s="56"/>
      <c r="WGW43" s="56"/>
      <c r="WGX43" s="56"/>
      <c r="WGY43" s="56"/>
      <c r="WGZ43" s="56"/>
      <c r="WHA43" s="56"/>
      <c r="WHB43" s="56"/>
      <c r="WHC43" s="56"/>
      <c r="WHD43" s="56"/>
      <c r="WHE43" s="56"/>
      <c r="WHF43" s="56"/>
      <c r="WHG43" s="56"/>
      <c r="WHH43" s="56"/>
      <c r="WHI43" s="56"/>
      <c r="WHJ43" s="56"/>
      <c r="WHK43" s="56"/>
      <c r="WHL43" s="56"/>
      <c r="WHM43" s="56"/>
      <c r="WHN43" s="56"/>
      <c r="WHO43" s="56"/>
      <c r="WHP43" s="56"/>
      <c r="WHQ43" s="56"/>
      <c r="WHR43" s="56"/>
      <c r="WHS43" s="56"/>
      <c r="WHT43" s="56"/>
      <c r="WHU43" s="56"/>
      <c r="WHV43" s="56"/>
      <c r="WHW43" s="56"/>
      <c r="WHX43" s="56"/>
      <c r="WHY43" s="56"/>
      <c r="WHZ43" s="56"/>
      <c r="WIA43" s="56"/>
      <c r="WIB43" s="56"/>
      <c r="WIC43" s="56"/>
      <c r="WID43" s="56"/>
      <c r="WIE43" s="56"/>
      <c r="WIF43" s="56"/>
      <c r="WIG43" s="56"/>
      <c r="WIH43" s="56"/>
      <c r="WII43" s="56"/>
      <c r="WIJ43" s="56"/>
      <c r="WIK43" s="56"/>
      <c r="WIL43" s="56"/>
      <c r="WIM43" s="56"/>
      <c r="WIN43" s="56"/>
      <c r="WIO43" s="56"/>
      <c r="WIP43" s="56"/>
      <c r="WIQ43" s="56"/>
      <c r="WIR43" s="56"/>
      <c r="WIS43" s="56"/>
      <c r="WIT43" s="56"/>
      <c r="WIU43" s="56"/>
      <c r="WIV43" s="56"/>
      <c r="WIW43" s="56"/>
      <c r="WIX43" s="56"/>
      <c r="WIY43" s="56"/>
      <c r="WIZ43" s="56"/>
      <c r="WJA43" s="56"/>
      <c r="WJB43" s="56"/>
      <c r="WJC43" s="56"/>
      <c r="WJD43" s="56"/>
      <c r="WJE43" s="56"/>
      <c r="WJF43" s="56"/>
      <c r="WJG43" s="56"/>
      <c r="WJH43" s="56"/>
      <c r="WJI43" s="56"/>
      <c r="WJJ43" s="56"/>
      <c r="WJK43" s="56"/>
      <c r="WJL43" s="56"/>
      <c r="WJM43" s="56"/>
      <c r="WJN43" s="56"/>
      <c r="WJO43" s="56"/>
      <c r="WJP43" s="56"/>
      <c r="WJQ43" s="56"/>
      <c r="WJR43" s="56"/>
      <c r="WJS43" s="56"/>
      <c r="WJT43" s="56"/>
      <c r="WJU43" s="56"/>
      <c r="WJV43" s="56"/>
      <c r="WJW43" s="56"/>
      <c r="WJX43" s="56"/>
      <c r="WJY43" s="56"/>
      <c r="WJZ43" s="56"/>
      <c r="WKA43" s="56"/>
      <c r="WKB43" s="56"/>
      <c r="WKC43" s="56"/>
      <c r="WKD43" s="56"/>
      <c r="WKE43" s="56"/>
      <c r="WKF43" s="56"/>
      <c r="WKG43" s="56"/>
      <c r="WKH43" s="56"/>
      <c r="WKI43" s="56"/>
      <c r="WKJ43" s="56"/>
      <c r="WKK43" s="56"/>
      <c r="WKL43" s="56"/>
      <c r="WKM43" s="56"/>
      <c r="WKN43" s="56"/>
      <c r="WKO43" s="56"/>
      <c r="WKP43" s="56"/>
      <c r="WKQ43" s="56"/>
      <c r="WKR43" s="56"/>
      <c r="WKS43" s="56"/>
      <c r="WKT43" s="56"/>
      <c r="WKU43" s="56"/>
      <c r="WKV43" s="56"/>
      <c r="WKW43" s="56"/>
      <c r="WKX43" s="56"/>
      <c r="WKY43" s="56"/>
      <c r="WKZ43" s="56"/>
      <c r="WLA43" s="56"/>
      <c r="WLB43" s="56"/>
      <c r="WLC43" s="56"/>
      <c r="WLD43" s="56"/>
      <c r="WLE43" s="56"/>
      <c r="WLF43" s="56"/>
      <c r="WLG43" s="56"/>
      <c r="WLH43" s="56"/>
      <c r="WLI43" s="56"/>
      <c r="WLJ43" s="56"/>
      <c r="WLK43" s="56"/>
      <c r="WLL43" s="56"/>
      <c r="WLM43" s="56"/>
      <c r="WLN43" s="56"/>
      <c r="WLO43" s="56"/>
      <c r="WLP43" s="56"/>
      <c r="WLQ43" s="56"/>
      <c r="WLR43" s="56"/>
      <c r="WLS43" s="56"/>
      <c r="WLT43" s="56"/>
      <c r="WLU43" s="56"/>
      <c r="WLV43" s="56"/>
      <c r="WLW43" s="56"/>
      <c r="WLX43" s="56"/>
      <c r="WLY43" s="56"/>
      <c r="WLZ43" s="56"/>
      <c r="WMA43" s="56"/>
      <c r="WMB43" s="56"/>
      <c r="WMC43" s="56"/>
      <c r="WMD43" s="56"/>
      <c r="WME43" s="56"/>
      <c r="WMF43" s="56"/>
      <c r="WMG43" s="56"/>
      <c r="WMH43" s="56"/>
      <c r="WMI43" s="56"/>
      <c r="WMJ43" s="56"/>
      <c r="WMK43" s="56"/>
      <c r="WML43" s="56"/>
      <c r="WMM43" s="56"/>
      <c r="WMN43" s="56"/>
      <c r="WMO43" s="56"/>
      <c r="WMP43" s="56"/>
      <c r="WMQ43" s="56"/>
      <c r="WMR43" s="56"/>
      <c r="WMS43" s="56"/>
      <c r="WMT43" s="56"/>
      <c r="WMU43" s="56"/>
      <c r="WMV43" s="56"/>
      <c r="WMW43" s="56"/>
      <c r="WMX43" s="56"/>
      <c r="WMY43" s="56"/>
      <c r="WMZ43" s="56"/>
      <c r="WNA43" s="56"/>
      <c r="WNB43" s="56"/>
      <c r="WNC43" s="56"/>
      <c r="WND43" s="56"/>
      <c r="WNE43" s="56"/>
      <c r="WNF43" s="56"/>
      <c r="WNG43" s="56"/>
      <c r="WNH43" s="56"/>
      <c r="WNI43" s="56"/>
      <c r="WNJ43" s="56"/>
      <c r="WNK43" s="56"/>
      <c r="WNL43" s="56"/>
      <c r="WNM43" s="56"/>
      <c r="WNN43" s="56"/>
      <c r="WNO43" s="56"/>
      <c r="WNP43" s="56"/>
      <c r="WNQ43" s="56"/>
      <c r="WNR43" s="56"/>
      <c r="WNS43" s="56"/>
      <c r="WNT43" s="56"/>
      <c r="WNU43" s="56"/>
      <c r="WNV43" s="56"/>
      <c r="WNW43" s="56"/>
      <c r="WNX43" s="56"/>
      <c r="WNY43" s="56"/>
      <c r="WNZ43" s="56"/>
      <c r="WOA43" s="56"/>
      <c r="WOB43" s="56"/>
      <c r="WOC43" s="56"/>
      <c r="WOD43" s="56"/>
      <c r="WOE43" s="56"/>
      <c r="WOF43" s="56"/>
      <c r="WOG43" s="56"/>
      <c r="WOH43" s="56"/>
      <c r="WOI43" s="56"/>
      <c r="WOJ43" s="56"/>
      <c r="WOK43" s="56"/>
      <c r="WOL43" s="56"/>
      <c r="WOM43" s="56"/>
      <c r="WON43" s="56"/>
      <c r="WOO43" s="56"/>
      <c r="WOP43" s="56"/>
      <c r="WOQ43" s="56"/>
      <c r="WOR43" s="56"/>
      <c r="WOS43" s="56"/>
      <c r="WOT43" s="56"/>
      <c r="WOU43" s="56"/>
      <c r="WOV43" s="56"/>
      <c r="WOW43" s="56"/>
      <c r="WOX43" s="56"/>
      <c r="WOY43" s="56"/>
      <c r="WOZ43" s="56"/>
      <c r="WPA43" s="56"/>
      <c r="WPB43" s="56"/>
      <c r="WPC43" s="56"/>
      <c r="WPD43" s="56"/>
      <c r="WPE43" s="56"/>
      <c r="WPF43" s="56"/>
      <c r="WPG43" s="56"/>
      <c r="WPH43" s="56"/>
      <c r="WPI43" s="56"/>
      <c r="WPJ43" s="56"/>
      <c r="WPK43" s="56"/>
      <c r="WPL43" s="56"/>
      <c r="WPM43" s="56"/>
      <c r="WPN43" s="56"/>
      <c r="WPO43" s="56"/>
      <c r="WPP43" s="56"/>
      <c r="WPQ43" s="56"/>
      <c r="WPR43" s="56"/>
      <c r="WPS43" s="56"/>
      <c r="WPT43" s="56"/>
      <c r="WPU43" s="56"/>
      <c r="WPV43" s="56"/>
      <c r="WPW43" s="56"/>
      <c r="WPX43" s="56"/>
      <c r="WPY43" s="56"/>
      <c r="WPZ43" s="56"/>
      <c r="WQA43" s="56"/>
      <c r="WQB43" s="56"/>
      <c r="WQC43" s="56"/>
      <c r="WQD43" s="56"/>
      <c r="WQE43" s="56"/>
      <c r="WQF43" s="56"/>
      <c r="WQG43" s="56"/>
      <c r="WQH43" s="56"/>
      <c r="WQI43" s="56"/>
      <c r="WQJ43" s="56"/>
      <c r="WQK43" s="56"/>
      <c r="WQL43" s="56"/>
      <c r="WQM43" s="56"/>
      <c r="WQN43" s="56"/>
      <c r="WQO43" s="56"/>
      <c r="WQP43" s="56"/>
      <c r="WQQ43" s="56"/>
      <c r="WQR43" s="56"/>
      <c r="WQS43" s="56"/>
      <c r="WQT43" s="56"/>
      <c r="WQU43" s="56"/>
      <c r="WQV43" s="56"/>
      <c r="WQW43" s="56"/>
      <c r="WQX43" s="56"/>
      <c r="WQY43" s="56"/>
      <c r="WQZ43" s="56"/>
      <c r="WRA43" s="56"/>
      <c r="WRB43" s="56"/>
      <c r="WRC43" s="56"/>
      <c r="WRD43" s="56"/>
      <c r="WRE43" s="56"/>
      <c r="WRF43" s="56"/>
      <c r="WRG43" s="56"/>
      <c r="WRH43" s="56"/>
      <c r="WRI43" s="56"/>
      <c r="WRJ43" s="56"/>
      <c r="WRK43" s="56"/>
      <c r="WRL43" s="56"/>
      <c r="WRM43" s="56"/>
      <c r="WRN43" s="56"/>
      <c r="WRO43" s="56"/>
      <c r="WRP43" s="56"/>
      <c r="WRQ43" s="56"/>
      <c r="WRR43" s="56"/>
      <c r="WRS43" s="56"/>
      <c r="WRT43" s="56"/>
      <c r="WRU43" s="56"/>
      <c r="WRV43" s="56"/>
      <c r="WRW43" s="56"/>
      <c r="WRX43" s="56"/>
      <c r="WRY43" s="56"/>
      <c r="WRZ43" s="56"/>
      <c r="WSA43" s="56"/>
      <c r="WSB43" s="56"/>
      <c r="WSC43" s="56"/>
      <c r="WSD43" s="56"/>
      <c r="WSE43" s="56"/>
      <c r="WSF43" s="56"/>
      <c r="WSG43" s="56"/>
      <c r="WSH43" s="56"/>
      <c r="WSI43" s="56"/>
      <c r="WSJ43" s="56"/>
      <c r="WSK43" s="56"/>
      <c r="WSL43" s="56"/>
      <c r="WSM43" s="56"/>
      <c r="WSN43" s="56"/>
      <c r="WSO43" s="56"/>
      <c r="WSP43" s="56"/>
      <c r="WSQ43" s="56"/>
      <c r="WSR43" s="56"/>
      <c r="WSS43" s="56"/>
      <c r="WST43" s="56"/>
      <c r="WSU43" s="56"/>
      <c r="WSV43" s="56"/>
      <c r="WSW43" s="56"/>
      <c r="WSX43" s="56"/>
      <c r="WSY43" s="56"/>
      <c r="WSZ43" s="56"/>
      <c r="WTA43" s="56"/>
      <c r="WTB43" s="56"/>
      <c r="WTC43" s="56"/>
      <c r="WTD43" s="56"/>
      <c r="WTE43" s="56"/>
      <c r="WTF43" s="56"/>
      <c r="WTG43" s="56"/>
      <c r="WTH43" s="56"/>
      <c r="WTI43" s="56"/>
      <c r="WTJ43" s="56"/>
      <c r="WTK43" s="56"/>
      <c r="WTL43" s="56"/>
      <c r="WTM43" s="56"/>
      <c r="WTN43" s="56"/>
      <c r="WTO43" s="56"/>
      <c r="WTP43" s="56"/>
      <c r="WTQ43" s="56"/>
      <c r="WTR43" s="56"/>
      <c r="WTS43" s="56"/>
      <c r="WTT43" s="56"/>
      <c r="WTU43" s="56"/>
      <c r="WTV43" s="56"/>
      <c r="WTW43" s="56"/>
      <c r="WTX43" s="56"/>
      <c r="WTY43" s="56"/>
      <c r="WTZ43" s="56"/>
      <c r="WUA43" s="56"/>
      <c r="WUB43" s="56"/>
      <c r="WUC43" s="56"/>
      <c r="WUD43" s="56"/>
      <c r="WUE43" s="56"/>
      <c r="WUF43" s="56"/>
      <c r="WUG43" s="56"/>
      <c r="WUH43" s="56"/>
      <c r="WUI43" s="56"/>
      <c r="WUJ43" s="56"/>
      <c r="WUK43" s="56"/>
      <c r="WUL43" s="56"/>
      <c r="WUM43" s="56"/>
      <c r="WUN43" s="56"/>
      <c r="WUO43" s="56"/>
      <c r="WUP43" s="56"/>
      <c r="WUQ43" s="56"/>
      <c r="WUR43" s="56"/>
      <c r="WUS43" s="56"/>
      <c r="WUT43" s="56"/>
      <c r="WUU43" s="56"/>
      <c r="WUV43" s="56"/>
      <c r="WUW43" s="56"/>
      <c r="WUX43" s="56"/>
      <c r="WUY43" s="56"/>
      <c r="WUZ43" s="56"/>
      <c r="WVA43" s="56"/>
      <c r="WVB43" s="56"/>
      <c r="WVC43" s="56"/>
      <c r="WVD43" s="56"/>
      <c r="WVE43" s="56"/>
      <c r="WVF43" s="56"/>
      <c r="WVG43" s="56"/>
      <c r="WVH43" s="56"/>
      <c r="WVI43" s="56"/>
      <c r="WVJ43" s="56"/>
      <c r="WVK43" s="56"/>
      <c r="WVL43" s="56"/>
      <c r="WVM43" s="56"/>
      <c r="WVN43" s="56"/>
      <c r="WVO43" s="56"/>
      <c r="WVP43" s="56"/>
      <c r="WVQ43" s="56"/>
      <c r="WVR43" s="56"/>
      <c r="WVS43" s="56"/>
      <c r="WVT43" s="56"/>
      <c r="WVU43" s="56"/>
      <c r="WVV43" s="56"/>
      <c r="WVW43" s="56"/>
      <c r="WVX43" s="56"/>
      <c r="WVY43" s="56"/>
      <c r="WVZ43" s="56"/>
      <c r="WWA43" s="56"/>
      <c r="WWB43" s="56"/>
      <c r="WWC43" s="56"/>
      <c r="WWD43" s="56"/>
      <c r="WWE43" s="56"/>
      <c r="WWF43" s="56"/>
      <c r="WWG43" s="56"/>
      <c r="WWH43" s="56"/>
      <c r="WWI43" s="56"/>
      <c r="WWJ43" s="56"/>
      <c r="WWK43" s="56"/>
      <c r="WWL43" s="56"/>
      <c r="WWM43" s="56"/>
      <c r="WWN43" s="56"/>
      <c r="WWO43" s="56"/>
      <c r="WWP43" s="56"/>
      <c r="WWQ43" s="56"/>
      <c r="WWR43" s="56"/>
      <c r="WWS43" s="56"/>
      <c r="WWT43" s="56"/>
      <c r="WWU43" s="56"/>
      <c r="WWV43" s="56"/>
      <c r="WWW43" s="56"/>
      <c r="WWX43" s="56"/>
      <c r="WWY43" s="56"/>
      <c r="WWZ43" s="56"/>
      <c r="WXA43" s="56"/>
      <c r="WXB43" s="56"/>
      <c r="WXC43" s="56"/>
      <c r="WXD43" s="56"/>
      <c r="WXE43" s="56"/>
      <c r="WXF43" s="56"/>
      <c r="WXG43" s="56"/>
      <c r="WXH43" s="56"/>
      <c r="WXI43" s="56"/>
      <c r="WXJ43" s="56"/>
      <c r="WXK43" s="56"/>
      <c r="WXL43" s="56"/>
      <c r="WXM43" s="56"/>
      <c r="WXN43" s="56"/>
      <c r="WXO43" s="56"/>
      <c r="WXP43" s="56"/>
      <c r="WXQ43" s="56"/>
      <c r="WXR43" s="56"/>
      <c r="WXS43" s="56"/>
      <c r="WXT43" s="56"/>
      <c r="WXU43" s="56"/>
      <c r="WXV43" s="56"/>
      <c r="WXW43" s="56"/>
      <c r="WXX43" s="56"/>
      <c r="WXY43" s="56"/>
      <c r="WXZ43" s="56"/>
      <c r="WYA43" s="56"/>
      <c r="WYB43" s="56"/>
      <c r="WYC43" s="56"/>
      <c r="WYD43" s="56"/>
      <c r="WYE43" s="56"/>
      <c r="WYF43" s="56"/>
      <c r="WYG43" s="56"/>
      <c r="WYH43" s="56"/>
      <c r="WYI43" s="56"/>
      <c r="WYJ43" s="56"/>
      <c r="WYK43" s="56"/>
      <c r="WYL43" s="56"/>
      <c r="WYM43" s="56"/>
      <c r="WYN43" s="56"/>
      <c r="WYO43" s="56"/>
      <c r="WYP43" s="56"/>
      <c r="WYQ43" s="56"/>
      <c r="WYR43" s="56"/>
      <c r="WYS43" s="56"/>
      <c r="WYT43" s="56"/>
      <c r="WYU43" s="56"/>
      <c r="WYV43" s="56"/>
      <c r="WYW43" s="56"/>
      <c r="WYX43" s="56"/>
      <c r="WYY43" s="56"/>
      <c r="WYZ43" s="56"/>
      <c r="WZA43" s="56"/>
      <c r="WZB43" s="56"/>
      <c r="WZC43" s="56"/>
      <c r="WZD43" s="56"/>
      <c r="WZE43" s="56"/>
      <c r="WZF43" s="56"/>
      <c r="WZG43" s="56"/>
      <c r="WZH43" s="56"/>
      <c r="WZI43" s="56"/>
      <c r="WZJ43" s="56"/>
      <c r="WZK43" s="56"/>
      <c r="WZL43" s="56"/>
      <c r="WZM43" s="56"/>
      <c r="WZN43" s="56"/>
      <c r="WZO43" s="56"/>
      <c r="WZP43" s="56"/>
      <c r="WZQ43" s="56"/>
      <c r="WZR43" s="56"/>
      <c r="WZS43" s="56"/>
      <c r="WZT43" s="56"/>
      <c r="WZU43" s="56"/>
      <c r="WZV43" s="56"/>
      <c r="WZW43" s="56"/>
      <c r="WZX43" s="56"/>
      <c r="WZY43" s="56"/>
      <c r="WZZ43" s="56"/>
      <c r="XAA43" s="56"/>
      <c r="XAB43" s="56"/>
      <c r="XAC43" s="56"/>
      <c r="XAD43" s="56"/>
      <c r="XAE43" s="56"/>
      <c r="XAF43" s="56"/>
      <c r="XAG43" s="56"/>
      <c r="XAH43" s="56"/>
      <c r="XAI43" s="56"/>
      <c r="XAJ43" s="56"/>
      <c r="XAK43" s="56"/>
      <c r="XAL43" s="56"/>
      <c r="XAM43" s="56"/>
      <c r="XAN43" s="56"/>
      <c r="XAO43" s="56"/>
      <c r="XAP43" s="56"/>
      <c r="XAQ43" s="56"/>
      <c r="XAR43" s="56"/>
      <c r="XAS43" s="56"/>
      <c r="XAT43" s="56"/>
      <c r="XAU43" s="56"/>
      <c r="XAV43" s="56"/>
      <c r="XAW43" s="56"/>
      <c r="XAX43" s="56"/>
      <c r="XAY43" s="56"/>
      <c r="XAZ43" s="56"/>
      <c r="XBA43" s="56"/>
      <c r="XBB43" s="56"/>
      <c r="XBC43" s="56"/>
      <c r="XBD43" s="56"/>
      <c r="XBE43" s="56"/>
      <c r="XBF43" s="56"/>
      <c r="XBG43" s="56"/>
      <c r="XBH43" s="56"/>
      <c r="XBI43" s="56"/>
      <c r="XBJ43" s="56"/>
      <c r="XBK43" s="56"/>
      <c r="XBL43" s="56"/>
      <c r="XBM43" s="56"/>
      <c r="XBN43" s="56"/>
      <c r="XBO43" s="56"/>
      <c r="XBP43" s="56"/>
      <c r="XBQ43" s="56"/>
      <c r="XBR43" s="56"/>
      <c r="XBS43" s="56"/>
      <c r="XBT43" s="56"/>
      <c r="XBU43" s="56"/>
      <c r="XBV43" s="56"/>
      <c r="XBW43" s="56"/>
      <c r="XBX43" s="56"/>
      <c r="XBY43" s="56"/>
      <c r="XBZ43" s="56"/>
      <c r="XCA43" s="56"/>
      <c r="XCB43" s="56"/>
      <c r="XCC43" s="56"/>
      <c r="XCD43" s="56"/>
      <c r="XCE43" s="56"/>
      <c r="XCF43" s="56"/>
      <c r="XCG43" s="56"/>
      <c r="XCH43" s="56"/>
      <c r="XCI43" s="56"/>
      <c r="XCJ43" s="56"/>
      <c r="XCK43" s="56"/>
      <c r="XCL43" s="56"/>
      <c r="XCM43" s="56"/>
      <c r="XCN43" s="56"/>
      <c r="XCO43" s="56"/>
      <c r="XCP43" s="56"/>
      <c r="XCQ43" s="56"/>
      <c r="XCR43" s="56"/>
      <c r="XCS43" s="56"/>
      <c r="XCT43" s="56"/>
      <c r="XCU43" s="56"/>
      <c r="XCV43" s="56"/>
      <c r="XCW43" s="56"/>
      <c r="XCX43" s="56"/>
      <c r="XCY43" s="56"/>
      <c r="XCZ43" s="56"/>
      <c r="XDA43" s="56"/>
      <c r="XDB43" s="56"/>
      <c r="XDC43" s="56"/>
      <c r="XDD43" s="56"/>
      <c r="XDE43" s="56"/>
      <c r="XDF43" s="56"/>
      <c r="XDG43" s="56"/>
      <c r="XDH43" s="56"/>
      <c r="XDI43" s="56"/>
      <c r="XDJ43" s="56"/>
      <c r="XDK43" s="56"/>
      <c r="XDL43" s="56"/>
      <c r="XDM43" s="56"/>
      <c r="XDN43" s="56"/>
      <c r="XDO43" s="56"/>
      <c r="XDP43" s="56"/>
      <c r="XDQ43" s="56"/>
      <c r="XDR43" s="56"/>
      <c r="XDS43" s="56"/>
      <c r="XDT43" s="56"/>
      <c r="XDU43" s="56"/>
      <c r="XDV43" s="56"/>
      <c r="XDW43" s="56"/>
      <c r="XDX43" s="56"/>
      <c r="XDY43" s="56"/>
      <c r="XDZ43" s="56"/>
      <c r="XEA43" s="56"/>
      <c r="XEB43" s="56"/>
      <c r="XEC43" s="56"/>
      <c r="XED43" s="56"/>
      <c r="XEE43" s="56"/>
      <c r="XEF43" s="56"/>
      <c r="XEG43" s="56"/>
      <c r="XEH43" s="56"/>
      <c r="XEI43" s="56"/>
      <c r="XEJ43" s="56"/>
      <c r="XEK43" s="56"/>
      <c r="XEL43" s="56"/>
      <c r="XEM43" s="56"/>
      <c r="XEN43" s="56"/>
      <c r="XEO43" s="56"/>
      <c r="XEP43" s="56"/>
      <c r="XEQ43" s="56"/>
      <c r="XER43" s="56"/>
      <c r="XES43" s="56"/>
      <c r="XET43" s="56"/>
      <c r="XEU43" s="56"/>
      <c r="XEV43" s="56"/>
      <c r="XEW43" s="56"/>
      <c r="XEX43" s="56"/>
      <c r="XEY43" s="56"/>
      <c r="XEZ43" s="56"/>
      <c r="XFA43" s="56"/>
      <c r="XFB43" s="56"/>
      <c r="XFC43" s="56"/>
      <c r="XFD43" s="339" t="s">
        <v>225</v>
      </c>
    </row>
    <row r="44" spans="1:16384" ht="15" customHeight="1">
      <c r="A44" s="474" t="s">
        <v>209</v>
      </c>
      <c r="B44" s="476" t="s">
        <v>210</v>
      </c>
      <c r="C44" s="478" t="s">
        <v>211</v>
      </c>
      <c r="D44" s="478" t="s">
        <v>212</v>
      </c>
      <c r="E44" s="491" t="s">
        <v>213</v>
      </c>
      <c r="F44" s="478" t="s">
        <v>214</v>
      </c>
      <c r="G44" s="479" t="s">
        <v>262</v>
      </c>
      <c r="H44" s="479" t="s">
        <v>263</v>
      </c>
      <c r="I44" s="472" t="s">
        <v>215</v>
      </c>
      <c r="J44" s="472" t="s">
        <v>216</v>
      </c>
      <c r="K44" s="472" t="s">
        <v>217</v>
      </c>
      <c r="L44" s="472" t="s">
        <v>218</v>
      </c>
      <c r="M44" s="472" t="s">
        <v>219</v>
      </c>
      <c r="N44" s="472" t="s">
        <v>220</v>
      </c>
      <c r="O44" s="485" t="s">
        <v>221</v>
      </c>
      <c r="P44" s="472" t="s">
        <v>222</v>
      </c>
      <c r="Q44" s="472" t="s">
        <v>0</v>
      </c>
      <c r="XFD44" s="27" t="s">
        <v>264</v>
      </c>
    </row>
    <row r="45" spans="1:16384" s="56" customFormat="1" ht="45" customHeight="1">
      <c r="A45" s="475"/>
      <c r="B45" s="477"/>
      <c r="C45" s="472"/>
      <c r="D45" s="472"/>
      <c r="E45" s="492"/>
      <c r="F45" s="472"/>
      <c r="G45" s="480"/>
      <c r="H45" s="480"/>
      <c r="I45" s="473"/>
      <c r="J45" s="473"/>
      <c r="K45" s="473"/>
      <c r="L45" s="473"/>
      <c r="M45" s="473"/>
      <c r="N45" s="473"/>
      <c r="O45" s="486"/>
      <c r="P45" s="473"/>
      <c r="Q45" s="47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</row>
    <row r="46" spans="1:16384" ht="30">
      <c r="A46" s="22">
        <v>13050500</v>
      </c>
      <c r="B46" s="23" t="s">
        <v>7</v>
      </c>
      <c r="C46" s="34" t="s">
        <v>921</v>
      </c>
      <c r="D46" s="34"/>
      <c r="E46" s="35"/>
      <c r="F46" s="36" t="s">
        <v>205</v>
      </c>
      <c r="G46" s="23">
        <v>2404087.52</v>
      </c>
      <c r="H46" s="23">
        <v>2404087.52</v>
      </c>
      <c r="I46" s="37">
        <v>44172</v>
      </c>
      <c r="J46" s="37">
        <v>44179</v>
      </c>
      <c r="K46" s="38">
        <f>IF(J46-I46&lt;0,"Error",J46-I46)</f>
        <v>7</v>
      </c>
      <c r="L46" s="38">
        <f>IF($L$43-J46&lt;0,0,$L$43-J46)</f>
        <v>17</v>
      </c>
      <c r="M46" s="38" t="str">
        <f>IF(L46="","",IF(K46&gt;365,"Medir al costo amortizado","Dejar al valor nominal"))</f>
        <v>Dejar al valor nominal</v>
      </c>
      <c r="N46" s="38" t="str">
        <f>IF(L46&gt;$N$7,"Indicio de deterioro de valor","No presenta deterioro de valor")</f>
        <v>No presenta deterioro de valor</v>
      </c>
      <c r="O46" s="38">
        <f>H46-G46</f>
        <v>0</v>
      </c>
      <c r="P46" s="39"/>
      <c r="Q46" s="29"/>
    </row>
    <row r="47" spans="1:16384" ht="30">
      <c r="A47" s="22">
        <v>13050500</v>
      </c>
      <c r="B47" s="23" t="s">
        <v>7</v>
      </c>
      <c r="C47" s="34" t="s">
        <v>921</v>
      </c>
      <c r="D47" s="34"/>
      <c r="E47" s="35"/>
      <c r="F47" s="36" t="s">
        <v>264</v>
      </c>
      <c r="G47" s="23">
        <v>23708947.899999999</v>
      </c>
      <c r="H47" s="23">
        <v>23708947.899999999</v>
      </c>
      <c r="I47" s="37">
        <v>44172</v>
      </c>
      <c r="J47" s="37">
        <v>44202</v>
      </c>
      <c r="K47" s="38">
        <f>IF(J47-I47&lt;0,"Error",J47-I47)</f>
        <v>30</v>
      </c>
      <c r="L47" s="38">
        <f t="shared" ref="L47:L64" si="7">IF($L$43-J47&lt;0,0,$L$43-J47)</f>
        <v>0</v>
      </c>
      <c r="M47" s="38" t="str">
        <f>IF(L47="","",IF(K47&gt;365,"Medir al costo amortizado","Dejar al valor nominal"))</f>
        <v>Dejar al valor nominal</v>
      </c>
      <c r="N47" s="38" t="str">
        <f>IF(L47&gt;$N$7,"Indicio de deterioro de valor","No presenta deterioro de valor")</f>
        <v>No presenta deterioro de valor</v>
      </c>
      <c r="O47" s="38">
        <f>H47-G47</f>
        <v>0</v>
      </c>
      <c r="P47" s="39" t="s">
        <v>230</v>
      </c>
      <c r="Q47" s="29" t="s">
        <v>226</v>
      </c>
    </row>
    <row r="48" spans="1:16384" ht="30">
      <c r="A48" s="22">
        <v>13050500</v>
      </c>
      <c r="B48" s="23" t="s">
        <v>7</v>
      </c>
      <c r="C48" s="34" t="s">
        <v>911</v>
      </c>
      <c r="D48" s="34"/>
      <c r="E48" s="35"/>
      <c r="F48" s="36" t="s">
        <v>264</v>
      </c>
      <c r="G48" s="23">
        <v>25680562.129999999</v>
      </c>
      <c r="H48" s="23">
        <v>25680562.129999999</v>
      </c>
      <c r="I48" s="37">
        <v>44088</v>
      </c>
      <c r="J48" s="37">
        <v>44196</v>
      </c>
      <c r="K48" s="38">
        <f t="shared" ref="K48:K63" si="8">IF(J48-I48&lt;0,"Error",J48-I48)</f>
        <v>108</v>
      </c>
      <c r="L48" s="38">
        <f t="shared" si="7"/>
        <v>0</v>
      </c>
      <c r="M48" s="38" t="str">
        <f t="shared" ref="M48:M63" si="9">IF(L48="","",IF(K48&gt;365,"Medir al costo amortizado","Dejar al valor nominal"))</f>
        <v>Dejar al valor nominal</v>
      </c>
      <c r="N48" s="38" t="str">
        <f t="shared" ref="N48:N63" si="10">IF(L48&gt;$N$7,"Indicio de deterioro de valor","No presenta deterioro de valor")</f>
        <v>No presenta deterioro de valor</v>
      </c>
      <c r="O48" s="38">
        <f t="shared" ref="O48:O63" si="11">H48-G48</f>
        <v>0</v>
      </c>
      <c r="P48" s="39" t="s">
        <v>230</v>
      </c>
      <c r="Q48" s="29" t="s">
        <v>226</v>
      </c>
    </row>
    <row r="49" spans="1:17">
      <c r="A49" s="22">
        <v>13050500</v>
      </c>
      <c r="B49" s="23" t="s">
        <v>7</v>
      </c>
      <c r="C49" s="34" t="s">
        <v>922</v>
      </c>
      <c r="D49" s="34"/>
      <c r="E49" s="35"/>
      <c r="F49" s="36" t="s">
        <v>205</v>
      </c>
      <c r="G49" s="23">
        <v>10583292.58</v>
      </c>
      <c r="H49" s="23">
        <v>10583292.58</v>
      </c>
      <c r="I49" s="37">
        <v>44131</v>
      </c>
      <c r="J49" s="37">
        <v>44131</v>
      </c>
      <c r="K49" s="38">
        <f t="shared" si="8"/>
        <v>0</v>
      </c>
      <c r="L49" s="38">
        <f t="shared" si="7"/>
        <v>65</v>
      </c>
      <c r="M49" s="38" t="str">
        <f t="shared" si="9"/>
        <v>Dejar al valor nominal</v>
      </c>
      <c r="N49" s="38" t="str">
        <f t="shared" si="10"/>
        <v>Indicio de deterioro de valor</v>
      </c>
      <c r="O49" s="38">
        <f t="shared" si="11"/>
        <v>0</v>
      </c>
      <c r="P49" s="340" t="s">
        <v>752</v>
      </c>
      <c r="Q49" s="29"/>
    </row>
    <row r="50" spans="1:17" ht="30">
      <c r="A50" s="22">
        <v>13050500</v>
      </c>
      <c r="B50" s="23" t="s">
        <v>7</v>
      </c>
      <c r="C50" s="34" t="s">
        <v>923</v>
      </c>
      <c r="D50" s="34"/>
      <c r="E50" s="35"/>
      <c r="F50" s="36" t="s">
        <v>205</v>
      </c>
      <c r="G50" s="23">
        <v>134575.44</v>
      </c>
      <c r="H50" s="23">
        <v>134575.44</v>
      </c>
      <c r="I50" s="37">
        <v>44196</v>
      </c>
      <c r="J50" s="37">
        <v>44218</v>
      </c>
      <c r="K50" s="38">
        <f t="shared" si="8"/>
        <v>22</v>
      </c>
      <c r="L50" s="38">
        <f t="shared" si="7"/>
        <v>0</v>
      </c>
      <c r="M50" s="38" t="str">
        <f t="shared" si="9"/>
        <v>Dejar al valor nominal</v>
      </c>
      <c r="N50" s="38" t="str">
        <f t="shared" si="10"/>
        <v>No presenta deterioro de valor</v>
      </c>
      <c r="O50" s="38">
        <f t="shared" si="11"/>
        <v>0</v>
      </c>
      <c r="P50" s="39"/>
      <c r="Q50" s="29"/>
    </row>
    <row r="51" spans="1:17" ht="30">
      <c r="A51" s="22">
        <v>13050500</v>
      </c>
      <c r="B51" s="23" t="s">
        <v>7</v>
      </c>
      <c r="C51" s="34" t="s">
        <v>924</v>
      </c>
      <c r="D51" s="34"/>
      <c r="E51" s="35"/>
      <c r="F51" s="36" t="s">
        <v>205</v>
      </c>
      <c r="G51" s="23">
        <v>8494369.0299999993</v>
      </c>
      <c r="H51" s="23">
        <v>8494369.0299999993</v>
      </c>
      <c r="I51" s="37">
        <v>44179</v>
      </c>
      <c r="J51" s="37">
        <v>44209</v>
      </c>
      <c r="K51" s="38">
        <f t="shared" si="8"/>
        <v>30</v>
      </c>
      <c r="L51" s="38">
        <f t="shared" si="7"/>
        <v>0</v>
      </c>
      <c r="M51" s="38" t="str">
        <f t="shared" si="9"/>
        <v>Dejar al valor nominal</v>
      </c>
      <c r="N51" s="38" t="str">
        <f t="shared" si="10"/>
        <v>No presenta deterioro de valor</v>
      </c>
      <c r="O51" s="38">
        <f t="shared" si="11"/>
        <v>0</v>
      </c>
      <c r="P51" s="39"/>
      <c r="Q51" s="34"/>
    </row>
    <row r="52" spans="1:17" ht="30">
      <c r="A52" s="22">
        <v>13050500</v>
      </c>
      <c r="B52" s="23" t="s">
        <v>7</v>
      </c>
      <c r="C52" s="34" t="s">
        <v>913</v>
      </c>
      <c r="D52" s="34"/>
      <c r="E52" s="35"/>
      <c r="F52" s="36" t="s">
        <v>205</v>
      </c>
      <c r="G52" s="23">
        <v>14406921</v>
      </c>
      <c r="H52" s="23">
        <v>14406921</v>
      </c>
      <c r="I52" s="37">
        <v>44174</v>
      </c>
      <c r="J52" s="37">
        <v>44204</v>
      </c>
      <c r="K52" s="38">
        <f t="shared" si="8"/>
        <v>30</v>
      </c>
      <c r="L52" s="38">
        <f t="shared" si="7"/>
        <v>0</v>
      </c>
      <c r="M52" s="38" t="str">
        <f t="shared" si="9"/>
        <v>Dejar al valor nominal</v>
      </c>
      <c r="N52" s="38" t="str">
        <f t="shared" si="10"/>
        <v>No presenta deterioro de valor</v>
      </c>
      <c r="O52" s="38">
        <f t="shared" si="11"/>
        <v>0</v>
      </c>
      <c r="P52" s="39"/>
      <c r="Q52" s="29"/>
    </row>
    <row r="53" spans="1:17" ht="30">
      <c r="A53" s="22">
        <v>13050500</v>
      </c>
      <c r="B53" s="23" t="s">
        <v>7</v>
      </c>
      <c r="C53" s="34" t="s">
        <v>913</v>
      </c>
      <c r="D53" s="34"/>
      <c r="E53" s="35"/>
      <c r="F53" s="36" t="s">
        <v>264</v>
      </c>
      <c r="G53" s="23">
        <v>323818179.40000004</v>
      </c>
      <c r="H53" s="23">
        <v>323818179.40000004</v>
      </c>
      <c r="I53" s="37">
        <v>43714</v>
      </c>
      <c r="J53" s="37">
        <v>44196</v>
      </c>
      <c r="K53" s="38">
        <f t="shared" ref="K53" si="12">IF(J53-I53&lt;0,"Error",J53-I53)</f>
        <v>482</v>
      </c>
      <c r="L53" s="38">
        <f t="shared" si="7"/>
        <v>0</v>
      </c>
      <c r="M53" s="38" t="str">
        <f t="shared" ref="M53" si="13">IF(L53="","",IF(K53&gt;365,"Medir al costo amortizado","Dejar al valor nominal"))</f>
        <v>Medir al costo amortizado</v>
      </c>
      <c r="N53" s="38" t="str">
        <f t="shared" ref="N53" si="14">IF(L53&gt;$N$7,"Indicio de deterioro de valor","No presenta deterioro de valor")</f>
        <v>No presenta deterioro de valor</v>
      </c>
      <c r="O53" s="38">
        <f t="shared" ref="O53" si="15">H53-G53</f>
        <v>0</v>
      </c>
      <c r="P53" s="39" t="s">
        <v>230</v>
      </c>
      <c r="Q53" s="29" t="s">
        <v>226</v>
      </c>
    </row>
    <row r="54" spans="1:17" ht="30">
      <c r="A54" s="22">
        <v>13050500</v>
      </c>
      <c r="B54" s="23" t="s">
        <v>7</v>
      </c>
      <c r="C54" s="34" t="s">
        <v>914</v>
      </c>
      <c r="D54" s="34"/>
      <c r="E54" s="35"/>
      <c r="F54" s="36" t="s">
        <v>205</v>
      </c>
      <c r="G54" s="23">
        <v>793169886.62</v>
      </c>
      <c r="H54" s="23">
        <v>793169886.62</v>
      </c>
      <c r="I54" s="37">
        <v>44180</v>
      </c>
      <c r="J54" s="37">
        <v>44190</v>
      </c>
      <c r="K54" s="38">
        <f t="shared" si="8"/>
        <v>10</v>
      </c>
      <c r="L54" s="38">
        <f t="shared" si="7"/>
        <v>6</v>
      </c>
      <c r="M54" s="38" t="str">
        <f t="shared" si="9"/>
        <v>Dejar al valor nominal</v>
      </c>
      <c r="N54" s="38" t="str">
        <f t="shared" si="10"/>
        <v>No presenta deterioro de valor</v>
      </c>
      <c r="O54" s="38">
        <f t="shared" si="11"/>
        <v>0</v>
      </c>
      <c r="P54" s="39"/>
      <c r="Q54" s="29"/>
    </row>
    <row r="55" spans="1:17" ht="30">
      <c r="A55" s="22">
        <v>13050500</v>
      </c>
      <c r="B55" s="23" t="s">
        <v>7</v>
      </c>
      <c r="C55" s="34" t="s">
        <v>914</v>
      </c>
      <c r="D55" s="34"/>
      <c r="E55" s="35"/>
      <c r="F55" s="36" t="s">
        <v>264</v>
      </c>
      <c r="G55" s="23">
        <v>450531365.88999993</v>
      </c>
      <c r="H55" s="23">
        <v>450531365.88999993</v>
      </c>
      <c r="I55" s="37">
        <v>43504</v>
      </c>
      <c r="J55" s="37">
        <v>44196</v>
      </c>
      <c r="K55" s="38">
        <f t="shared" ref="K55" si="16">IF(J55-I55&lt;0,"Error",J55-I55)</f>
        <v>692</v>
      </c>
      <c r="L55" s="38">
        <f t="shared" si="7"/>
        <v>0</v>
      </c>
      <c r="M55" s="38" t="str">
        <f t="shared" ref="M55" si="17">IF(L55="","",IF(K55&gt;365,"Medir al costo amortizado","Dejar al valor nominal"))</f>
        <v>Medir al costo amortizado</v>
      </c>
      <c r="N55" s="38" t="str">
        <f t="shared" ref="N55" si="18">IF(L55&gt;$N$7,"Indicio de deterioro de valor","No presenta deterioro de valor")</f>
        <v>No presenta deterioro de valor</v>
      </c>
      <c r="O55" s="38">
        <f t="shared" ref="O55" si="19">H55-G55</f>
        <v>0</v>
      </c>
      <c r="P55" s="39" t="s">
        <v>230</v>
      </c>
      <c r="Q55" s="29" t="s">
        <v>226</v>
      </c>
    </row>
    <row r="56" spans="1:17" ht="30">
      <c r="A56" s="22">
        <v>13050500</v>
      </c>
      <c r="B56" s="23" t="s">
        <v>7</v>
      </c>
      <c r="C56" s="34" t="s">
        <v>925</v>
      </c>
      <c r="D56" s="34"/>
      <c r="E56" s="35"/>
      <c r="F56" s="36" t="s">
        <v>205</v>
      </c>
      <c r="G56" s="23">
        <v>26381102</v>
      </c>
      <c r="H56" s="23">
        <v>26381102</v>
      </c>
      <c r="I56" s="37">
        <v>44176</v>
      </c>
      <c r="J56" s="37">
        <v>44191</v>
      </c>
      <c r="K56" s="38">
        <f t="shared" si="8"/>
        <v>15</v>
      </c>
      <c r="L56" s="38">
        <f t="shared" si="7"/>
        <v>5</v>
      </c>
      <c r="M56" s="38" t="str">
        <f t="shared" si="9"/>
        <v>Dejar al valor nominal</v>
      </c>
      <c r="N56" s="38" t="str">
        <f t="shared" si="10"/>
        <v>No presenta deterioro de valor</v>
      </c>
      <c r="O56" s="38">
        <f t="shared" si="11"/>
        <v>0</v>
      </c>
      <c r="P56" s="39"/>
      <c r="Q56" s="29"/>
    </row>
    <row r="57" spans="1:17" ht="30">
      <c r="A57" s="22">
        <v>13050500</v>
      </c>
      <c r="B57" s="23" t="s">
        <v>7</v>
      </c>
      <c r="C57" s="34" t="s">
        <v>925</v>
      </c>
      <c r="D57" s="34"/>
      <c r="E57" s="35"/>
      <c r="F57" s="36" t="s">
        <v>264</v>
      </c>
      <c r="G57" s="23">
        <v>24095069.399999999</v>
      </c>
      <c r="H57" s="23">
        <v>24095069.399999999</v>
      </c>
      <c r="I57" s="37">
        <v>44075</v>
      </c>
      <c r="J57" s="37">
        <v>44196</v>
      </c>
      <c r="K57" s="38">
        <f t="shared" ref="K57" si="20">IF(J57-I57&lt;0,"Error",J57-I57)</f>
        <v>121</v>
      </c>
      <c r="L57" s="38">
        <f t="shared" si="7"/>
        <v>0</v>
      </c>
      <c r="M57" s="38" t="str">
        <f t="shared" ref="M57" si="21">IF(L57="","",IF(K57&gt;365,"Medir al costo amortizado","Dejar al valor nominal"))</f>
        <v>Dejar al valor nominal</v>
      </c>
      <c r="N57" s="38" t="str">
        <f t="shared" ref="N57" si="22">IF(L57&gt;$N$7,"Indicio de deterioro de valor","No presenta deterioro de valor")</f>
        <v>No presenta deterioro de valor</v>
      </c>
      <c r="O57" s="38">
        <f t="shared" ref="O57" si="23">H57-G57</f>
        <v>0</v>
      </c>
      <c r="P57" s="39" t="s">
        <v>230</v>
      </c>
      <c r="Q57" s="29" t="s">
        <v>226</v>
      </c>
    </row>
    <row r="58" spans="1:17" ht="30">
      <c r="A58" s="22">
        <v>13050500</v>
      </c>
      <c r="B58" s="23" t="s">
        <v>7</v>
      </c>
      <c r="C58" s="34" t="s">
        <v>926</v>
      </c>
      <c r="D58" s="34"/>
      <c r="E58" s="35"/>
      <c r="F58" s="36" t="s">
        <v>205</v>
      </c>
      <c r="G58" s="23">
        <v>247836.46</v>
      </c>
      <c r="H58" s="23">
        <v>247836.46</v>
      </c>
      <c r="I58" s="37">
        <v>44181</v>
      </c>
      <c r="J58" s="37">
        <v>44211</v>
      </c>
      <c r="K58" s="38">
        <f t="shared" si="8"/>
        <v>30</v>
      </c>
      <c r="L58" s="38">
        <f t="shared" si="7"/>
        <v>0</v>
      </c>
      <c r="M58" s="38" t="str">
        <f t="shared" si="9"/>
        <v>Dejar al valor nominal</v>
      </c>
      <c r="N58" s="38" t="str">
        <f t="shared" si="10"/>
        <v>No presenta deterioro de valor</v>
      </c>
      <c r="O58" s="38">
        <f t="shared" si="11"/>
        <v>0</v>
      </c>
      <c r="P58" s="39"/>
      <c r="Q58" s="34"/>
    </row>
    <row r="59" spans="1:17" ht="30">
      <c r="A59" s="22">
        <v>13050500</v>
      </c>
      <c r="B59" s="23" t="s">
        <v>7</v>
      </c>
      <c r="C59" s="34" t="s">
        <v>916</v>
      </c>
      <c r="D59" s="34"/>
      <c r="E59" s="35"/>
      <c r="F59" s="36" t="s">
        <v>264</v>
      </c>
      <c r="G59" s="23">
        <v>17941108.640000001</v>
      </c>
      <c r="H59" s="23">
        <v>17941108.640000001</v>
      </c>
      <c r="I59" s="37">
        <v>43595</v>
      </c>
      <c r="J59" s="37">
        <v>44196</v>
      </c>
      <c r="K59" s="38">
        <f t="shared" si="8"/>
        <v>601</v>
      </c>
      <c r="L59" s="38">
        <f t="shared" si="7"/>
        <v>0</v>
      </c>
      <c r="M59" s="38" t="str">
        <f t="shared" si="9"/>
        <v>Medir al costo amortizado</v>
      </c>
      <c r="N59" s="38" t="str">
        <f t="shared" si="10"/>
        <v>No presenta deterioro de valor</v>
      </c>
      <c r="O59" s="38">
        <f t="shared" si="11"/>
        <v>0</v>
      </c>
      <c r="P59" s="39" t="s">
        <v>230</v>
      </c>
      <c r="Q59" s="29" t="s">
        <v>226</v>
      </c>
    </row>
    <row r="60" spans="1:17" ht="30">
      <c r="A60" s="22">
        <v>13050500</v>
      </c>
      <c r="B60" s="23" t="s">
        <v>7</v>
      </c>
      <c r="C60" s="34" t="s">
        <v>927</v>
      </c>
      <c r="D60" s="34"/>
      <c r="E60" s="35"/>
      <c r="F60" s="36" t="s">
        <v>205</v>
      </c>
      <c r="G60" s="23">
        <v>3761256.91</v>
      </c>
      <c r="H60" s="23">
        <v>3761256.91</v>
      </c>
      <c r="I60" s="37">
        <v>43854</v>
      </c>
      <c r="J60" s="37">
        <v>43914</v>
      </c>
      <c r="K60" s="38">
        <f t="shared" si="8"/>
        <v>60</v>
      </c>
      <c r="L60" s="38">
        <f t="shared" si="7"/>
        <v>282</v>
      </c>
      <c r="M60" s="38" t="str">
        <f t="shared" si="9"/>
        <v>Dejar al valor nominal</v>
      </c>
      <c r="N60" s="38" t="str">
        <f t="shared" si="10"/>
        <v>Indicio de deterioro de valor</v>
      </c>
      <c r="O60" s="38">
        <f t="shared" si="11"/>
        <v>0</v>
      </c>
      <c r="P60" s="39" t="s">
        <v>750</v>
      </c>
      <c r="Q60" s="29"/>
    </row>
    <row r="61" spans="1:17" ht="30">
      <c r="A61" s="22">
        <v>13050500</v>
      </c>
      <c r="B61" s="23" t="s">
        <v>7</v>
      </c>
      <c r="C61" s="34" t="s">
        <v>928</v>
      </c>
      <c r="D61" s="34"/>
      <c r="E61" s="35"/>
      <c r="F61" s="36" t="s">
        <v>205</v>
      </c>
      <c r="G61" s="23">
        <v>3543999.9</v>
      </c>
      <c r="H61" s="23">
        <v>3543999.9</v>
      </c>
      <c r="I61" s="37">
        <v>44139</v>
      </c>
      <c r="J61" s="37">
        <v>44169</v>
      </c>
      <c r="K61" s="38">
        <f t="shared" si="8"/>
        <v>30</v>
      </c>
      <c r="L61" s="38">
        <f t="shared" si="7"/>
        <v>27</v>
      </c>
      <c r="M61" s="38" t="str">
        <f t="shared" si="9"/>
        <v>Dejar al valor nominal</v>
      </c>
      <c r="N61" s="38" t="str">
        <f t="shared" si="10"/>
        <v>No presenta deterioro de valor</v>
      </c>
      <c r="O61" s="38">
        <f t="shared" si="11"/>
        <v>0</v>
      </c>
      <c r="P61" s="39"/>
      <c r="Q61" s="29"/>
    </row>
    <row r="62" spans="1:17" ht="30">
      <c r="A62" s="22">
        <v>13050500</v>
      </c>
      <c r="B62" s="23" t="s">
        <v>7</v>
      </c>
      <c r="C62" s="34" t="s">
        <v>920</v>
      </c>
      <c r="D62" s="34"/>
      <c r="E62" s="35"/>
      <c r="F62" s="36" t="s">
        <v>205</v>
      </c>
      <c r="G62" s="23">
        <v>30792098.719999999</v>
      </c>
      <c r="H62" s="23">
        <v>30792098.719999999</v>
      </c>
      <c r="I62" s="37">
        <v>44152</v>
      </c>
      <c r="J62" s="37">
        <v>44182</v>
      </c>
      <c r="K62" s="38">
        <f t="shared" ref="K62" si="24">IF(J62-I62&lt;0,"Error",J62-I62)</f>
        <v>30</v>
      </c>
      <c r="L62" s="38">
        <f t="shared" si="7"/>
        <v>14</v>
      </c>
      <c r="M62" s="38" t="str">
        <f t="shared" ref="M62" si="25">IF(L62="","",IF(K62&gt;365,"Medir al costo amortizado","Dejar al valor nominal"))</f>
        <v>Dejar al valor nominal</v>
      </c>
      <c r="N62" s="38" t="str">
        <f t="shared" ref="N62" si="26">IF(L62&gt;$N$7,"Indicio de deterioro de valor","No presenta deterioro de valor")</f>
        <v>No presenta deterioro de valor</v>
      </c>
      <c r="O62" s="38">
        <f t="shared" ref="O62" si="27">H62-G62</f>
        <v>0</v>
      </c>
      <c r="P62" s="39"/>
      <c r="Q62" s="34"/>
    </row>
    <row r="63" spans="1:17" ht="30">
      <c r="A63" s="22">
        <v>13050500</v>
      </c>
      <c r="B63" s="23" t="s">
        <v>7</v>
      </c>
      <c r="C63" s="34" t="s">
        <v>920</v>
      </c>
      <c r="D63" s="34"/>
      <c r="E63" s="35"/>
      <c r="F63" s="36" t="s">
        <v>264</v>
      </c>
      <c r="G63" s="23">
        <v>23419305.759999998</v>
      </c>
      <c r="H63" s="23">
        <v>23419305.759999998</v>
      </c>
      <c r="I63" s="37">
        <v>43796</v>
      </c>
      <c r="J63" s="37">
        <v>44196</v>
      </c>
      <c r="K63" s="38">
        <f t="shared" si="8"/>
        <v>400</v>
      </c>
      <c r="L63" s="38">
        <f t="shared" si="7"/>
        <v>0</v>
      </c>
      <c r="M63" s="38" t="str">
        <f t="shared" si="9"/>
        <v>Medir al costo amortizado</v>
      </c>
      <c r="N63" s="38" t="str">
        <f t="shared" si="10"/>
        <v>No presenta deterioro de valor</v>
      </c>
      <c r="O63" s="38">
        <f t="shared" si="11"/>
        <v>0</v>
      </c>
      <c r="P63" s="39" t="s">
        <v>230</v>
      </c>
      <c r="Q63" s="29" t="s">
        <v>226</v>
      </c>
    </row>
    <row r="64" spans="1:17">
      <c r="A64" s="22">
        <v>13050500</v>
      </c>
      <c r="B64" s="23" t="s">
        <v>7</v>
      </c>
      <c r="C64" s="34" t="s">
        <v>929</v>
      </c>
      <c r="D64" s="34"/>
      <c r="E64" s="35"/>
      <c r="F64" s="36" t="s">
        <v>205</v>
      </c>
      <c r="G64" s="23">
        <v>6244515.5</v>
      </c>
      <c r="H64" s="23">
        <v>6244515.5</v>
      </c>
      <c r="I64" s="37">
        <v>44085</v>
      </c>
      <c r="J64" s="37">
        <v>44115</v>
      </c>
      <c r="K64" s="38">
        <f t="shared" ref="K64" si="28">IF(J64-I64&lt;0,"Error",J64-I64)</f>
        <v>30</v>
      </c>
      <c r="L64" s="38">
        <f t="shared" si="7"/>
        <v>81</v>
      </c>
      <c r="M64" s="38" t="str">
        <f t="shared" ref="M64" si="29">IF(L64="","",IF(K64&gt;365,"Medir al costo amortizado","Dejar al valor nominal"))</f>
        <v>Dejar al valor nominal</v>
      </c>
      <c r="N64" s="38" t="str">
        <f t="shared" ref="N64" si="30">IF(L64&gt;$N$7,"Indicio de deterioro de valor","No presenta deterioro de valor")</f>
        <v>Indicio de deterioro de valor</v>
      </c>
      <c r="O64" s="38">
        <f t="shared" ref="O64" si="31">H64-G64</f>
        <v>0</v>
      </c>
      <c r="P64" s="39" t="s">
        <v>751</v>
      </c>
      <c r="Q64" s="29"/>
    </row>
    <row r="65" spans="1:17">
      <c r="C65" s="34"/>
      <c r="D65" s="34"/>
      <c r="E65" s="35"/>
      <c r="F65" s="46"/>
      <c r="I65" s="37"/>
      <c r="J65" s="37"/>
      <c r="K65" s="47"/>
      <c r="L65" s="47"/>
      <c r="M65" s="47"/>
      <c r="N65" s="47"/>
      <c r="O65" s="47"/>
      <c r="P65" s="39"/>
      <c r="Q65" s="29"/>
    </row>
    <row r="66" spans="1:17">
      <c r="B66" s="34"/>
      <c r="G66" s="40">
        <f>SUM(G46:G65)</f>
        <v>1789358480.8000002</v>
      </c>
    </row>
    <row r="68" spans="1:17" ht="15.75">
      <c r="A68" s="29" t="s">
        <v>231</v>
      </c>
    </row>
    <row r="69" spans="1:17">
      <c r="A69" s="41"/>
      <c r="B69" s="42"/>
      <c r="C69" s="43"/>
      <c r="D69" s="43"/>
      <c r="E69" s="44"/>
      <c r="F69" s="43"/>
      <c r="G69" s="43"/>
      <c r="H69" s="43"/>
      <c r="I69" s="43"/>
      <c r="J69" s="43"/>
      <c r="K69" s="43"/>
      <c r="L69" s="43"/>
      <c r="M69" s="43"/>
      <c r="N69" s="43"/>
      <c r="O69" s="45"/>
      <c r="P69" s="43"/>
    </row>
  </sheetData>
  <mergeCells count="34">
    <mergeCell ref="L44:L45"/>
    <mergeCell ref="M44:M45"/>
    <mergeCell ref="N44:N45"/>
    <mergeCell ref="G44:G45"/>
    <mergeCell ref="H44:H45"/>
    <mergeCell ref="I44:I45"/>
    <mergeCell ref="J44:J45"/>
    <mergeCell ref="K44:K45"/>
    <mergeCell ref="A44:A45"/>
    <mergeCell ref="B44:B45"/>
    <mergeCell ref="C44:C45"/>
    <mergeCell ref="D44:D45"/>
    <mergeCell ref="E44:E45"/>
    <mergeCell ref="O44:O45"/>
    <mergeCell ref="Q8:Q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P44:P45"/>
    <mergeCell ref="Q44:Q45"/>
    <mergeCell ref="F44:F45"/>
    <mergeCell ref="A8:A9"/>
    <mergeCell ref="B8:B9"/>
    <mergeCell ref="C8:C9"/>
    <mergeCell ref="D8:D9"/>
    <mergeCell ref="E8:E9"/>
  </mergeCells>
  <dataValidations count="2">
    <dataValidation type="list" allowBlank="1" showInputMessage="1" showErrorMessage="1" sqref="F24 F65" xr:uid="{4D96552D-D68E-EB4A-B355-6DA6FC217CB4}">
      <formula1>#REF!</formula1>
    </dataValidation>
    <dataValidation type="list" allowBlank="1" showInputMessage="1" showErrorMessage="1" sqref="F10:F23 F46:F64" xr:uid="{E9981915-FA93-DC42-A014-0A80D146353E}">
      <formula1>$XFD$1:$XFD$8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B1C0-D067-254D-8B8B-A3B7B4AB67F5}">
  <dimension ref="A1:XFD23"/>
  <sheetViews>
    <sheetView workbookViewId="0">
      <selection activeCell="G10" sqref="G10"/>
    </sheetView>
  </sheetViews>
  <sheetFormatPr baseColWidth="10" defaultRowHeight="15"/>
  <cols>
    <col min="1" max="1" width="10.5" style="22" customWidth="1"/>
    <col min="2" max="2" width="31.375" style="23" customWidth="1"/>
    <col min="3" max="3" width="18" style="23" customWidth="1"/>
    <col min="4" max="4" width="13.125" style="23" customWidth="1"/>
    <col min="5" max="5" width="14.5" style="23" customWidth="1"/>
    <col min="6" max="6" width="11.625" style="23" customWidth="1"/>
    <col min="7" max="7" width="30.5" style="23" bestFit="1" customWidth="1"/>
    <col min="8" max="9" width="12.625" style="23" bestFit="1" customWidth="1"/>
    <col min="10" max="10" width="14.625" style="23" customWidth="1"/>
    <col min="11" max="17" width="15.625" style="23" customWidth="1"/>
    <col min="18" max="18" width="10.875" style="26"/>
    <col min="19" max="19" width="54.375" style="23" customWidth="1"/>
    <col min="20" max="20" width="34.5" style="23" bestFit="1" customWidth="1"/>
    <col min="21" max="41" width="10.875" style="23"/>
    <col min="42" max="42" width="25.625" style="23" bestFit="1" customWidth="1"/>
    <col min="43" max="16383" width="10.875" style="23"/>
    <col min="16384" max="16384" width="30.5" style="23" customWidth="1"/>
  </cols>
  <sheetData>
    <row r="1" spans="1:20 16384:16384">
      <c r="C1" s="24" t="s">
        <v>1061</v>
      </c>
      <c r="K1" s="34"/>
      <c r="L1" s="34"/>
      <c r="M1" s="34"/>
      <c r="N1" s="34"/>
      <c r="XFD1" s="27" t="s">
        <v>267</v>
      </c>
    </row>
    <row r="2" spans="1:20 16384:16384">
      <c r="A2" s="334" t="s">
        <v>201</v>
      </c>
      <c r="B2" s="24" t="s">
        <v>202</v>
      </c>
      <c r="C2" s="24" t="s">
        <v>1030</v>
      </c>
      <c r="D2" s="24" t="s">
        <v>203</v>
      </c>
      <c r="E2" s="24" t="s">
        <v>261</v>
      </c>
      <c r="F2" s="24" t="s">
        <v>237</v>
      </c>
      <c r="XFD2" s="27" t="s">
        <v>268</v>
      </c>
    </row>
    <row r="3" spans="1:20 16384:16384">
      <c r="A3" s="22">
        <v>13300500</v>
      </c>
      <c r="B3" s="23" t="s">
        <v>8</v>
      </c>
      <c r="C3" s="23">
        <v>29798151.000000015</v>
      </c>
      <c r="D3" s="23">
        <f ca="1">SUMIF($A$8:$H$16,A3,$H$8:$H$16)-C3</f>
        <v>0</v>
      </c>
      <c r="E3" s="23">
        <f>C3-'HW PYMES'!M13</f>
        <v>0</v>
      </c>
      <c r="F3" s="23" t="s">
        <v>240</v>
      </c>
      <c r="XFD3" s="27" t="s">
        <v>269</v>
      </c>
    </row>
    <row r="4" spans="1:20 16384:16384">
      <c r="A4" s="22">
        <v>13301500</v>
      </c>
      <c r="B4" s="23" t="s">
        <v>9</v>
      </c>
      <c r="C4" s="23">
        <v>1226278</v>
      </c>
      <c r="D4" s="23">
        <f ca="1">SUMIF($A$8:$H$16,A4,$H$8:$H$16)-C4</f>
        <v>0</v>
      </c>
      <c r="E4" s="23">
        <f>C4-'HW PYMES'!M14</f>
        <v>0</v>
      </c>
      <c r="F4" s="23" t="s">
        <v>240</v>
      </c>
      <c r="XFD4" s="27" t="s">
        <v>270</v>
      </c>
    </row>
    <row r="5" spans="1:20 16384:16384">
      <c r="C5" s="29">
        <f>SUM(C3:C4)</f>
        <v>31024429.000000015</v>
      </c>
      <c r="XFD5" s="27" t="s">
        <v>271</v>
      </c>
    </row>
    <row r="6" spans="1:20 16384:16384">
      <c r="B6" s="30" t="s">
        <v>206</v>
      </c>
      <c r="C6" s="30">
        <f>C5-H17</f>
        <v>0</v>
      </c>
      <c r="XFD6" s="27" t="s">
        <v>272</v>
      </c>
    </row>
    <row r="7" spans="1:20 16384:16384">
      <c r="B7" s="30"/>
      <c r="C7" s="30"/>
      <c r="XFD7" s="27" t="s">
        <v>273</v>
      </c>
    </row>
    <row r="8" spans="1:20 16384:16384" ht="15" customHeight="1">
      <c r="A8" s="474" t="s">
        <v>209</v>
      </c>
      <c r="B8" s="476" t="s">
        <v>210</v>
      </c>
      <c r="C8" s="478" t="s">
        <v>211</v>
      </c>
      <c r="D8" s="478" t="s">
        <v>212</v>
      </c>
      <c r="E8" s="478" t="s">
        <v>213</v>
      </c>
      <c r="F8" s="472" t="s">
        <v>215</v>
      </c>
      <c r="G8" s="478" t="s">
        <v>274</v>
      </c>
      <c r="H8" s="493" t="s">
        <v>262</v>
      </c>
      <c r="I8" s="493" t="s">
        <v>263</v>
      </c>
      <c r="J8" s="478" t="s">
        <v>275</v>
      </c>
      <c r="K8" s="478" t="s">
        <v>276</v>
      </c>
      <c r="L8" s="478" t="s">
        <v>277</v>
      </c>
      <c r="M8" s="478" t="s">
        <v>278</v>
      </c>
      <c r="N8" s="478" t="s">
        <v>279</v>
      </c>
      <c r="O8" s="478" t="s">
        <v>280</v>
      </c>
      <c r="P8" s="478" t="s">
        <v>281</v>
      </c>
      <c r="Q8" s="478" t="s">
        <v>282</v>
      </c>
      <c r="R8" s="485" t="s">
        <v>221</v>
      </c>
      <c r="S8" s="472" t="s">
        <v>222</v>
      </c>
      <c r="T8" s="494" t="s">
        <v>283</v>
      </c>
      <c r="XFD8" s="27" t="s">
        <v>284</v>
      </c>
    </row>
    <row r="9" spans="1:20 16384:16384" ht="45" customHeight="1">
      <c r="A9" s="475"/>
      <c r="B9" s="477"/>
      <c r="C9" s="472"/>
      <c r="D9" s="472"/>
      <c r="E9" s="472"/>
      <c r="F9" s="473"/>
      <c r="G9" s="472"/>
      <c r="H9" s="479"/>
      <c r="I9" s="479"/>
      <c r="J9" s="472"/>
      <c r="K9" s="472"/>
      <c r="L9" s="472"/>
      <c r="M9" s="472"/>
      <c r="N9" s="472"/>
      <c r="O9" s="472"/>
      <c r="P9" s="472"/>
      <c r="Q9" s="472"/>
      <c r="R9" s="486"/>
      <c r="S9" s="473"/>
      <c r="T9" s="495"/>
    </row>
    <row r="10" spans="1:20 16384:16384" ht="15.75">
      <c r="A10" s="22">
        <v>13300500</v>
      </c>
      <c r="B10" s="23" t="s">
        <v>8</v>
      </c>
      <c r="C10" s="34" t="s">
        <v>938</v>
      </c>
      <c r="D10" s="34"/>
      <c r="E10" s="57" t="s">
        <v>756</v>
      </c>
      <c r="F10" s="37">
        <v>44546</v>
      </c>
      <c r="G10" s="36" t="s">
        <v>271</v>
      </c>
      <c r="H10" s="23">
        <v>7650000</v>
      </c>
      <c r="I10" s="23">
        <v>7650000</v>
      </c>
      <c r="J10" s="58"/>
      <c r="K10" s="38">
        <f t="shared" ref="K10:K15" si="0">IF(G10="Para compra de inventario",I10,0)</f>
        <v>0</v>
      </c>
      <c r="L10" s="38">
        <f t="shared" ref="L10:L15" si="1">IF(G10="Para compra de activos fijos",I10,0)</f>
        <v>0</v>
      </c>
      <c r="M10" s="38">
        <f t="shared" ref="M10:M15" si="2">IF(G10="Para compra de intangibles",I10,0)</f>
        <v>0</v>
      </c>
      <c r="N10" s="38">
        <f t="shared" ref="N10:N15" si="3">IF(G10="Constituye una cuenta por cobrar",I10,0)</f>
        <v>0</v>
      </c>
      <c r="O10" s="38">
        <f t="shared" ref="O10:O15" si="4">IF(G10="Otros conceptos",I10,0)</f>
        <v>0</v>
      </c>
      <c r="P10" s="38">
        <f t="shared" ref="P10:P15" si="5">IF(G10="Servicio pagado por anticipado",I10-(I10*J10),0)</f>
        <v>7650000</v>
      </c>
      <c r="Q10" s="59">
        <f t="shared" ref="Q10:Q15" si="6">IF(OR(G10="Ganancias acumuladas",I10*J10&gt;0),I10-SUM(K10:P10),0)</f>
        <v>0</v>
      </c>
      <c r="R10" s="38">
        <f t="shared" ref="R10:R15" si="7">I10-H10</f>
        <v>0</v>
      </c>
      <c r="S10" s="39" t="s">
        <v>753</v>
      </c>
      <c r="T10" s="23" t="s">
        <v>759</v>
      </c>
    </row>
    <row r="11" spans="1:20 16384:16384" ht="15.75">
      <c r="A11" s="22">
        <v>13300500</v>
      </c>
      <c r="B11" s="23" t="s">
        <v>8</v>
      </c>
      <c r="C11" s="34" t="s">
        <v>938</v>
      </c>
      <c r="D11" s="34"/>
      <c r="E11" s="57" t="s">
        <v>757</v>
      </c>
      <c r="F11" s="37">
        <v>44546</v>
      </c>
      <c r="G11" s="36" t="s">
        <v>271</v>
      </c>
      <c r="H11" s="23">
        <v>11097377</v>
      </c>
      <c r="I11" s="23">
        <v>11097377</v>
      </c>
      <c r="J11" s="58"/>
      <c r="K11" s="38">
        <f t="shared" si="0"/>
        <v>0</v>
      </c>
      <c r="L11" s="38">
        <f t="shared" si="1"/>
        <v>0</v>
      </c>
      <c r="M11" s="38">
        <f t="shared" si="2"/>
        <v>0</v>
      </c>
      <c r="N11" s="38">
        <f t="shared" si="3"/>
        <v>0</v>
      </c>
      <c r="O11" s="38">
        <f t="shared" si="4"/>
        <v>0</v>
      </c>
      <c r="P11" s="38">
        <f t="shared" si="5"/>
        <v>11097377</v>
      </c>
      <c r="Q11" s="59">
        <f t="shared" si="6"/>
        <v>0</v>
      </c>
      <c r="R11" s="38">
        <f t="shared" si="7"/>
        <v>0</v>
      </c>
      <c r="S11" s="39" t="s">
        <v>754</v>
      </c>
      <c r="T11" s="23" t="s">
        <v>759</v>
      </c>
    </row>
    <row r="12" spans="1:20 16384:16384" ht="15.75">
      <c r="A12" s="22">
        <v>13300500</v>
      </c>
      <c r="B12" s="23" t="s">
        <v>8</v>
      </c>
      <c r="C12" s="34" t="s">
        <v>938</v>
      </c>
      <c r="D12" s="34"/>
      <c r="E12" s="57" t="s">
        <v>758</v>
      </c>
      <c r="F12" s="37">
        <v>44546</v>
      </c>
      <c r="G12" s="36" t="s">
        <v>271</v>
      </c>
      <c r="H12" s="23">
        <v>11050774</v>
      </c>
      <c r="I12" s="23">
        <v>11050774</v>
      </c>
      <c r="J12" s="58"/>
      <c r="K12" s="38">
        <f t="shared" si="0"/>
        <v>0</v>
      </c>
      <c r="L12" s="38">
        <f t="shared" si="1"/>
        <v>0</v>
      </c>
      <c r="M12" s="38">
        <f t="shared" si="2"/>
        <v>0</v>
      </c>
      <c r="N12" s="38">
        <f t="shared" si="3"/>
        <v>0</v>
      </c>
      <c r="O12" s="38">
        <f t="shared" si="4"/>
        <v>0</v>
      </c>
      <c r="P12" s="38">
        <f t="shared" si="5"/>
        <v>11050774</v>
      </c>
      <c r="Q12" s="59">
        <f t="shared" si="6"/>
        <v>0</v>
      </c>
      <c r="R12" s="38">
        <f t="shared" si="7"/>
        <v>0</v>
      </c>
      <c r="S12" s="39" t="s">
        <v>755</v>
      </c>
      <c r="T12" s="23" t="s">
        <v>759</v>
      </c>
    </row>
    <row r="13" spans="1:20 16384:16384" ht="15.75">
      <c r="C13" s="34"/>
      <c r="D13" s="34"/>
      <c r="E13" s="57"/>
      <c r="F13" s="37"/>
      <c r="G13" s="36"/>
      <c r="J13" s="58"/>
      <c r="K13" s="38"/>
      <c r="L13" s="38"/>
      <c r="M13" s="38"/>
      <c r="N13" s="38"/>
      <c r="O13" s="38"/>
      <c r="P13" s="38"/>
      <c r="Q13" s="59"/>
      <c r="R13" s="38"/>
      <c r="S13" s="39"/>
    </row>
    <row r="14" spans="1:20 16384:16384" ht="15.75">
      <c r="A14" s="22">
        <v>13301500</v>
      </c>
      <c r="B14" s="23" t="s">
        <v>9</v>
      </c>
      <c r="C14" s="34" t="s">
        <v>939</v>
      </c>
      <c r="D14" s="34"/>
      <c r="E14" s="57">
        <v>6400001262</v>
      </c>
      <c r="F14" s="37">
        <v>44527</v>
      </c>
      <c r="G14" s="36" t="s">
        <v>270</v>
      </c>
      <c r="H14" s="23">
        <v>750000</v>
      </c>
      <c r="I14" s="23">
        <v>750000</v>
      </c>
      <c r="J14" s="58"/>
      <c r="K14" s="38">
        <f t="shared" si="0"/>
        <v>0</v>
      </c>
      <c r="L14" s="38">
        <f t="shared" si="1"/>
        <v>0</v>
      </c>
      <c r="M14" s="38">
        <f t="shared" si="2"/>
        <v>0</v>
      </c>
      <c r="N14" s="38">
        <f t="shared" si="3"/>
        <v>750000</v>
      </c>
      <c r="O14" s="38">
        <f t="shared" si="4"/>
        <v>0</v>
      </c>
      <c r="P14" s="38">
        <f t="shared" si="5"/>
        <v>0</v>
      </c>
      <c r="Q14" s="59">
        <f t="shared" si="6"/>
        <v>0</v>
      </c>
      <c r="R14" s="38">
        <f t="shared" si="7"/>
        <v>0</v>
      </c>
      <c r="S14" s="39" t="s">
        <v>933</v>
      </c>
      <c r="T14" s="23" t="s">
        <v>1050</v>
      </c>
    </row>
    <row r="15" spans="1:20 16384:16384" ht="15.75">
      <c r="A15" s="22">
        <v>13301500</v>
      </c>
      <c r="B15" s="23" t="s">
        <v>9</v>
      </c>
      <c r="C15" s="34" t="s">
        <v>939</v>
      </c>
      <c r="D15" s="34"/>
      <c r="E15" s="57">
        <v>6400001521</v>
      </c>
      <c r="F15" s="37">
        <v>44561</v>
      </c>
      <c r="G15" s="36" t="s">
        <v>270</v>
      </c>
      <c r="H15" s="23">
        <v>476278</v>
      </c>
      <c r="I15" s="23">
        <v>476278</v>
      </c>
      <c r="J15" s="58"/>
      <c r="K15" s="38">
        <f t="shared" si="0"/>
        <v>0</v>
      </c>
      <c r="L15" s="38">
        <f t="shared" si="1"/>
        <v>0</v>
      </c>
      <c r="M15" s="38">
        <f t="shared" si="2"/>
        <v>0</v>
      </c>
      <c r="N15" s="38">
        <f t="shared" si="3"/>
        <v>476278</v>
      </c>
      <c r="O15" s="38">
        <f t="shared" si="4"/>
        <v>0</v>
      </c>
      <c r="P15" s="38">
        <f t="shared" si="5"/>
        <v>0</v>
      </c>
      <c r="Q15" s="59">
        <f t="shared" si="6"/>
        <v>0</v>
      </c>
      <c r="R15" s="38">
        <f t="shared" si="7"/>
        <v>0</v>
      </c>
      <c r="S15" s="39" t="s">
        <v>934</v>
      </c>
      <c r="T15" s="23" t="s">
        <v>1050</v>
      </c>
    </row>
    <row r="17" spans="1:20">
      <c r="B17" s="34"/>
      <c r="H17" s="40">
        <f>SUM(H10:H16)</f>
        <v>31024429</v>
      </c>
      <c r="K17" s="40">
        <f t="shared" ref="K17:Q17" si="8">SUM(K10:K16)</f>
        <v>0</v>
      </c>
      <c r="L17" s="40">
        <f t="shared" si="8"/>
        <v>0</v>
      </c>
      <c r="M17" s="40">
        <f t="shared" si="8"/>
        <v>0</v>
      </c>
      <c r="N17" s="40">
        <f t="shared" si="8"/>
        <v>1226278</v>
      </c>
      <c r="O17" s="40">
        <f t="shared" si="8"/>
        <v>0</v>
      </c>
      <c r="P17" s="40">
        <f t="shared" si="8"/>
        <v>29798151</v>
      </c>
      <c r="Q17" s="40">
        <f t="shared" si="8"/>
        <v>0</v>
      </c>
    </row>
    <row r="18" spans="1:20">
      <c r="A18" s="41"/>
      <c r="B18" s="42"/>
      <c r="C18" s="43"/>
      <c r="D18" s="43"/>
      <c r="E18" s="44"/>
      <c r="F18" s="43"/>
      <c r="G18" s="43"/>
      <c r="H18" s="43"/>
      <c r="I18" s="43"/>
      <c r="J18" s="43"/>
      <c r="K18" s="43"/>
      <c r="L18" s="43"/>
      <c r="M18" s="43"/>
      <c r="N18" s="43"/>
      <c r="O18" s="45"/>
      <c r="P18" s="43"/>
      <c r="Q18" s="43"/>
      <c r="R18" s="43"/>
      <c r="S18" s="43"/>
      <c r="T18" s="43"/>
    </row>
    <row r="20" spans="1:20" ht="15.75">
      <c r="A20" s="5">
        <v>13809500</v>
      </c>
      <c r="B20" s="5" t="s">
        <v>710</v>
      </c>
      <c r="H20" s="23">
        <v>1250000</v>
      </c>
      <c r="S20" s="23" t="s">
        <v>935</v>
      </c>
    </row>
    <row r="21" spans="1:20">
      <c r="H21" s="23">
        <v>24206059.609999999</v>
      </c>
      <c r="S21" s="23" t="s">
        <v>936</v>
      </c>
    </row>
    <row r="22" spans="1:20">
      <c r="H22" s="23">
        <v>3397804.38</v>
      </c>
      <c r="S22" s="23" t="s">
        <v>937</v>
      </c>
    </row>
    <row r="23" spans="1:20">
      <c r="H23" s="40">
        <f>SUM(H20:H22)</f>
        <v>28853863.989999998</v>
      </c>
    </row>
  </sheetData>
  <mergeCells count="20">
    <mergeCell ref="P8:P9"/>
    <mergeCell ref="Q8:Q9"/>
    <mergeCell ref="R8:R9"/>
    <mergeCell ref="S8:S9"/>
    <mergeCell ref="T8:T9"/>
    <mergeCell ref="K8:K9"/>
    <mergeCell ref="L8:L9"/>
    <mergeCell ref="M8:M9"/>
    <mergeCell ref="N8:N9"/>
    <mergeCell ref="O8:O9"/>
    <mergeCell ref="F8:F9"/>
    <mergeCell ref="G8:G9"/>
    <mergeCell ref="H8:H9"/>
    <mergeCell ref="I8:I9"/>
    <mergeCell ref="J8:J9"/>
    <mergeCell ref="A8:A9"/>
    <mergeCell ref="B8:B9"/>
    <mergeCell ref="C8:C9"/>
    <mergeCell ref="D8:D9"/>
    <mergeCell ref="E8:E9"/>
  </mergeCells>
  <dataValidations count="2">
    <dataValidation type="list" allowBlank="1" showInputMessage="1" showErrorMessage="1" sqref="G13" xr:uid="{72665D9B-C363-2147-8A89-6E40844D107E}">
      <formula1>#REF!</formula1>
    </dataValidation>
    <dataValidation type="list" allowBlank="1" showInputMessage="1" showErrorMessage="1" sqref="G10:G12 G14:G15" xr:uid="{F661BA69-C325-494E-BF9A-5A4396B7EE9B}">
      <formula1>$XFD$1:$XFD$8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F77A7-9C7A-7849-9802-9993F49BE883}">
  <dimension ref="A1:XFD65"/>
  <sheetViews>
    <sheetView workbookViewId="0"/>
  </sheetViews>
  <sheetFormatPr baseColWidth="10" defaultRowHeight="15"/>
  <cols>
    <col min="1" max="1" width="10.5" style="22" customWidth="1"/>
    <col min="2" max="2" width="31.375" style="23" customWidth="1"/>
    <col min="3" max="3" width="25.625" style="23" customWidth="1"/>
    <col min="4" max="5" width="13.125" style="23" customWidth="1"/>
    <col min="6" max="6" width="20.875" style="23" customWidth="1"/>
    <col min="7" max="7" width="13.875" style="26" customWidth="1"/>
    <col min="8" max="8" width="50.5" style="23" customWidth="1"/>
    <col min="9" max="16383" width="10.875" style="23"/>
    <col min="16384" max="16384" width="45.125" style="23" customWidth="1"/>
  </cols>
  <sheetData>
    <row r="1" spans="1:8 16384:16384">
      <c r="C1" s="24" t="s">
        <v>1061</v>
      </c>
      <c r="XFD1" s="27" t="s">
        <v>285</v>
      </c>
    </row>
    <row r="2" spans="1:8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F2" s="24" t="s">
        <v>311</v>
      </c>
      <c r="XFD2" s="27" t="s">
        <v>286</v>
      </c>
    </row>
    <row r="3" spans="1:8 16384:16384">
      <c r="A3" s="22">
        <v>13550501</v>
      </c>
      <c r="B3" s="23" t="s">
        <v>10</v>
      </c>
      <c r="C3" s="23">
        <v>362836175.73000002</v>
      </c>
      <c r="D3" s="23">
        <f ca="1">SUMIF($A$11:$D$16,A3,$D$11:$D$16)-C3</f>
        <v>72816999.889999986</v>
      </c>
      <c r="E3" s="23">
        <f>C3-'HW PYMES'!I15</f>
        <v>0</v>
      </c>
      <c r="F3" s="23" t="s">
        <v>310</v>
      </c>
      <c r="XFD3" s="27" t="s">
        <v>287</v>
      </c>
    </row>
    <row r="4" spans="1:8 16384:16384">
      <c r="A4" s="22">
        <v>13551800</v>
      </c>
      <c r="B4" s="23" t="s">
        <v>11</v>
      </c>
      <c r="C4" s="23">
        <v>0</v>
      </c>
      <c r="D4" s="23">
        <f ca="1">SUMIF($A$11:$D$16,A4,$D$11:$D$16)-C4</f>
        <v>0</v>
      </c>
      <c r="E4" s="23">
        <f>C4-'HW PYMES'!I16</f>
        <v>0</v>
      </c>
      <c r="XFD4" s="27" t="s">
        <v>288</v>
      </c>
    </row>
    <row r="5" spans="1:8 16384:16384">
      <c r="A5" s="22">
        <v>13552000</v>
      </c>
      <c r="B5" s="23" t="s">
        <v>12</v>
      </c>
      <c r="C5" s="23">
        <v>382364000</v>
      </c>
      <c r="D5" s="23">
        <f ca="1">SUMIF($A$11:$D$16,A5,$D$11:$D$16)-C5</f>
        <v>0</v>
      </c>
      <c r="E5" s="23">
        <f>C5-'HW PYMES'!I17</f>
        <v>0</v>
      </c>
      <c r="XFD5" s="27" t="s">
        <v>289</v>
      </c>
    </row>
    <row r="6" spans="1:8 16384:16384">
      <c r="C6" s="29">
        <f>SUM(C3:C5)</f>
        <v>745200175.73000002</v>
      </c>
    </row>
    <row r="7" spans="1:8 16384:16384">
      <c r="B7" s="30" t="s">
        <v>206</v>
      </c>
      <c r="C7" s="30">
        <f>C6-D17</f>
        <v>-72816999.889999986</v>
      </c>
    </row>
    <row r="9" spans="1:8 16384:16384" ht="45" customHeight="1">
      <c r="A9" s="474" t="s">
        <v>209</v>
      </c>
      <c r="B9" s="476" t="s">
        <v>210</v>
      </c>
      <c r="C9" s="478" t="s">
        <v>290</v>
      </c>
      <c r="D9" s="479" t="s">
        <v>262</v>
      </c>
      <c r="E9" s="479" t="s">
        <v>303</v>
      </c>
      <c r="F9" s="472" t="s">
        <v>291</v>
      </c>
      <c r="G9" s="485" t="s">
        <v>221</v>
      </c>
      <c r="H9" s="485" t="s">
        <v>237</v>
      </c>
    </row>
    <row r="10" spans="1:8 16384:16384">
      <c r="A10" s="475"/>
      <c r="B10" s="477"/>
      <c r="C10" s="472"/>
      <c r="D10" s="480"/>
      <c r="E10" s="480"/>
      <c r="F10" s="473"/>
      <c r="G10" s="486"/>
      <c r="H10" s="486"/>
    </row>
    <row r="11" spans="1:8 16384:16384" ht="30">
      <c r="A11" s="22">
        <v>13550501</v>
      </c>
      <c r="B11" s="23" t="s">
        <v>10</v>
      </c>
      <c r="C11" s="65" t="s">
        <v>285</v>
      </c>
      <c r="D11" s="23">
        <v>121343848</v>
      </c>
      <c r="E11" s="43">
        <v>121343848</v>
      </c>
      <c r="F11" s="22">
        <v>2020</v>
      </c>
      <c r="G11" s="38">
        <f>E11-D11</f>
        <v>0</v>
      </c>
      <c r="H11" s="62" t="s">
        <v>318</v>
      </c>
    </row>
    <row r="12" spans="1:8 16384:16384" ht="30">
      <c r="A12" s="22">
        <v>13550501</v>
      </c>
      <c r="B12" s="23" t="s">
        <v>10</v>
      </c>
      <c r="C12" s="65" t="s">
        <v>285</v>
      </c>
      <c r="D12" s="23">
        <v>228835453.62</v>
      </c>
      <c r="E12" s="43">
        <v>228835453.62</v>
      </c>
      <c r="F12" s="22">
        <v>2020</v>
      </c>
      <c r="G12" s="38">
        <f t="shared" ref="G12:G15" si="0">E12-D12</f>
        <v>0</v>
      </c>
      <c r="H12" s="62" t="s">
        <v>314</v>
      </c>
    </row>
    <row r="13" spans="1:8 16384:16384" ht="30">
      <c r="A13" s="22">
        <v>13550501</v>
      </c>
      <c r="B13" s="23" t="s">
        <v>10</v>
      </c>
      <c r="C13" s="65" t="s">
        <v>285</v>
      </c>
      <c r="D13" s="23">
        <f>E13</f>
        <v>85473874</v>
      </c>
      <c r="E13" s="43">
        <f>D31</f>
        <v>85473874</v>
      </c>
      <c r="F13" s="22">
        <v>2020</v>
      </c>
      <c r="G13" s="38">
        <f t="shared" si="0"/>
        <v>0</v>
      </c>
      <c r="H13" s="62" t="s">
        <v>313</v>
      </c>
    </row>
    <row r="14" spans="1:8 16384:16384" ht="30">
      <c r="A14" s="22">
        <v>13551800</v>
      </c>
      <c r="B14" s="23" t="s">
        <v>11</v>
      </c>
      <c r="C14" s="65" t="s">
        <v>287</v>
      </c>
      <c r="D14" s="23">
        <v>0</v>
      </c>
      <c r="E14" s="43">
        <v>0</v>
      </c>
      <c r="F14" s="22">
        <v>2020</v>
      </c>
      <c r="G14" s="38">
        <f t="shared" si="0"/>
        <v>0</v>
      </c>
      <c r="H14" s="62"/>
    </row>
    <row r="15" spans="1:8 16384:16384" ht="30">
      <c r="A15" s="22">
        <v>13552000</v>
      </c>
      <c r="B15" s="23" t="s">
        <v>12</v>
      </c>
      <c r="C15" s="65" t="s">
        <v>286</v>
      </c>
      <c r="D15" s="23">
        <v>382364000</v>
      </c>
      <c r="E15" s="43">
        <v>382364000</v>
      </c>
      <c r="F15" s="22">
        <v>2020</v>
      </c>
      <c r="G15" s="38">
        <f t="shared" si="0"/>
        <v>0</v>
      </c>
      <c r="H15" s="62" t="s">
        <v>315</v>
      </c>
    </row>
    <row r="17" spans="1:8">
      <c r="A17" s="23"/>
      <c r="B17" s="34"/>
      <c r="D17" s="40">
        <f>SUM(D11:D16)</f>
        <v>818017175.62</v>
      </c>
      <c r="G17" s="23"/>
    </row>
    <row r="18" spans="1:8">
      <c r="A18" s="23"/>
      <c r="G18" s="23"/>
    </row>
    <row r="19" spans="1:8">
      <c r="A19" s="23"/>
      <c r="D19" s="29" t="s">
        <v>292</v>
      </c>
      <c r="G19" s="23"/>
    </row>
    <row r="20" spans="1:8">
      <c r="A20" s="23"/>
      <c r="D20" s="23">
        <v>4549928</v>
      </c>
      <c r="E20" s="23" t="s">
        <v>308</v>
      </c>
      <c r="G20" s="23"/>
    </row>
    <row r="21" spans="1:8">
      <c r="A21" s="23"/>
      <c r="D21" s="23">
        <v>4471904</v>
      </c>
      <c r="E21" s="23" t="s">
        <v>309</v>
      </c>
      <c r="G21" s="23"/>
    </row>
    <row r="22" spans="1:8">
      <c r="A22" s="23"/>
      <c r="D22" s="23">
        <v>7878489</v>
      </c>
      <c r="E22" s="23" t="s">
        <v>294</v>
      </c>
      <c r="G22" s="23"/>
    </row>
    <row r="23" spans="1:8">
      <c r="A23" s="23"/>
      <c r="D23" s="23">
        <v>10608087</v>
      </c>
      <c r="E23" s="23" t="s">
        <v>295</v>
      </c>
      <c r="G23" s="23"/>
    </row>
    <row r="24" spans="1:8">
      <c r="A24" s="23"/>
      <c r="D24" s="23">
        <v>6207287</v>
      </c>
      <c r="E24" s="23" t="s">
        <v>296</v>
      </c>
      <c r="G24" s="23"/>
    </row>
    <row r="25" spans="1:8">
      <c r="A25" s="23"/>
      <c r="D25" s="23">
        <v>6262102</v>
      </c>
      <c r="E25" s="23" t="s">
        <v>297</v>
      </c>
      <c r="G25" s="23"/>
    </row>
    <row r="26" spans="1:8">
      <c r="A26" s="23"/>
      <c r="D26" s="23">
        <v>13761690</v>
      </c>
      <c r="E26" s="23" t="s">
        <v>298</v>
      </c>
      <c r="G26" s="23"/>
    </row>
    <row r="27" spans="1:8">
      <c r="A27" s="23"/>
      <c r="D27" s="23">
        <v>9721231</v>
      </c>
      <c r="E27" s="23" t="s">
        <v>299</v>
      </c>
      <c r="G27" s="23"/>
    </row>
    <row r="28" spans="1:8">
      <c r="A28" s="23"/>
      <c r="D28" s="23">
        <v>5741873</v>
      </c>
      <c r="E28" s="23" t="s">
        <v>300</v>
      </c>
      <c r="G28" s="23"/>
    </row>
    <row r="29" spans="1:8">
      <c r="A29" s="23"/>
      <c r="D29" s="23">
        <v>9947015</v>
      </c>
      <c r="E29" s="23" t="s">
        <v>301</v>
      </c>
      <c r="G29" s="23"/>
    </row>
    <row r="30" spans="1:8">
      <c r="A30" s="23"/>
      <c r="D30" s="23">
        <v>6324268</v>
      </c>
      <c r="E30" s="23" t="s">
        <v>302</v>
      </c>
      <c r="G30" s="23"/>
    </row>
    <row r="31" spans="1:8">
      <c r="A31" s="23"/>
      <c r="D31" s="29">
        <f>SUM(D20:D30)</f>
        <v>85473874</v>
      </c>
      <c r="G31" s="23"/>
    </row>
    <row r="32" spans="1:8">
      <c r="A32" s="41"/>
      <c r="B32" s="43"/>
      <c r="C32" s="43"/>
      <c r="D32" s="43"/>
      <c r="E32" s="43"/>
      <c r="F32" s="43"/>
      <c r="G32" s="45"/>
      <c r="H32" s="43"/>
    </row>
    <row r="33" spans="1:8 16384:16384">
      <c r="C33" s="24" t="s">
        <v>260</v>
      </c>
      <c r="XFD33" s="27" t="s">
        <v>285</v>
      </c>
    </row>
    <row r="34" spans="1:8 16384:16384">
      <c r="A34" s="337" t="s">
        <v>201</v>
      </c>
      <c r="B34" s="24" t="s">
        <v>202</v>
      </c>
      <c r="C34" s="24" t="s">
        <v>1030</v>
      </c>
      <c r="D34" s="24" t="s">
        <v>203</v>
      </c>
      <c r="E34" s="24" t="s">
        <v>261</v>
      </c>
      <c r="F34" s="24" t="s">
        <v>311</v>
      </c>
      <c r="XFD34" s="27" t="s">
        <v>286</v>
      </c>
    </row>
    <row r="35" spans="1:8 16384:16384">
      <c r="A35" s="22">
        <v>13550501</v>
      </c>
      <c r="B35" s="23" t="s">
        <v>10</v>
      </c>
      <c r="C35" s="23">
        <v>295522820.79999995</v>
      </c>
      <c r="D35" s="23">
        <f ca="1">SUMIF($A$43:$E$48,A35,$E$43:$E$48)-C35</f>
        <v>0</v>
      </c>
      <c r="E35" s="23">
        <f>C35-'HW PYMES'!M15</f>
        <v>0</v>
      </c>
      <c r="XFD35" s="27" t="s">
        <v>287</v>
      </c>
    </row>
    <row r="36" spans="1:8 16384:16384">
      <c r="A36" s="22">
        <v>13551800</v>
      </c>
      <c r="B36" s="23" t="s">
        <v>11</v>
      </c>
      <c r="C36" s="23">
        <v>0</v>
      </c>
      <c r="D36" s="23">
        <f ca="1">SUMIF($A$43:$E$48,A36,$E$43:$E$48)-C36</f>
        <v>0</v>
      </c>
      <c r="E36" s="23">
        <f>C36-'HW PYMES'!M16</f>
        <v>0</v>
      </c>
      <c r="XFD36" s="27" t="s">
        <v>288</v>
      </c>
    </row>
    <row r="37" spans="1:8 16384:16384">
      <c r="A37" s="22">
        <v>13552000</v>
      </c>
      <c r="B37" s="23" t="s">
        <v>12</v>
      </c>
      <c r="C37" s="23">
        <v>365815000</v>
      </c>
      <c r="D37" s="23">
        <f ca="1">SUMIF($A$43:$E$48,A37,$E$43:$E$48)-C37</f>
        <v>0</v>
      </c>
      <c r="E37" s="23">
        <f>C37-'HW PYMES'!M17</f>
        <v>0</v>
      </c>
      <c r="XFD37" s="27" t="s">
        <v>289</v>
      </c>
    </row>
    <row r="38" spans="1:8 16384:16384">
      <c r="C38" s="29">
        <f>SUM(C35:C37)</f>
        <v>661337820.79999995</v>
      </c>
    </row>
    <row r="39" spans="1:8 16384:16384">
      <c r="B39" s="30" t="s">
        <v>206</v>
      </c>
      <c r="C39" s="30">
        <f>C38-D49</f>
        <v>0</v>
      </c>
    </row>
    <row r="41" spans="1:8 16384:16384" ht="45" customHeight="1">
      <c r="A41" s="474" t="s">
        <v>209</v>
      </c>
      <c r="B41" s="476" t="s">
        <v>210</v>
      </c>
      <c r="C41" s="478" t="s">
        <v>290</v>
      </c>
      <c r="D41" s="479" t="s">
        <v>262</v>
      </c>
      <c r="E41" s="479" t="s">
        <v>303</v>
      </c>
      <c r="F41" s="472" t="s">
        <v>291</v>
      </c>
      <c r="G41" s="485" t="s">
        <v>221</v>
      </c>
      <c r="H41" s="485" t="s">
        <v>237</v>
      </c>
    </row>
    <row r="42" spans="1:8 16384:16384">
      <c r="A42" s="475"/>
      <c r="B42" s="477"/>
      <c r="C42" s="472"/>
      <c r="D42" s="480"/>
      <c r="E42" s="480"/>
      <c r="F42" s="473"/>
      <c r="G42" s="486"/>
      <c r="H42" s="486"/>
    </row>
    <row r="43" spans="1:8 16384:16384" ht="30">
      <c r="A43" s="22">
        <v>13550501</v>
      </c>
      <c r="B43" s="23" t="s">
        <v>10</v>
      </c>
      <c r="C43" s="65" t="s">
        <v>285</v>
      </c>
      <c r="D43" s="23">
        <v>-25329000</v>
      </c>
      <c r="E43" s="43">
        <v>-25329000</v>
      </c>
      <c r="F43" s="22">
        <v>2021</v>
      </c>
      <c r="G43" s="38">
        <f>E43-D43</f>
        <v>0</v>
      </c>
      <c r="H43" s="62" t="s">
        <v>763</v>
      </c>
    </row>
    <row r="44" spans="1:8 16384:16384" ht="30">
      <c r="A44" s="22">
        <v>13550501</v>
      </c>
      <c r="B44" s="23" t="s">
        <v>10</v>
      </c>
      <c r="C44" s="65" t="s">
        <v>285</v>
      </c>
      <c r="D44" s="23">
        <v>229301352.80000001</v>
      </c>
      <c r="E44" s="43">
        <v>229301352.80000001</v>
      </c>
      <c r="F44" s="22">
        <v>2021</v>
      </c>
      <c r="G44" s="38">
        <f t="shared" ref="G44:G47" si="1">E44-D44</f>
        <v>0</v>
      </c>
      <c r="H44" s="62" t="s">
        <v>762</v>
      </c>
    </row>
    <row r="45" spans="1:8 16384:16384" ht="30">
      <c r="A45" s="22">
        <v>13550501</v>
      </c>
      <c r="B45" s="23" t="s">
        <v>10</v>
      </c>
      <c r="C45" s="65" t="s">
        <v>285</v>
      </c>
      <c r="D45" s="23">
        <f>E45</f>
        <v>91550468</v>
      </c>
      <c r="E45" s="43">
        <f>D64</f>
        <v>91550468</v>
      </c>
      <c r="F45" s="22">
        <v>2021</v>
      </c>
      <c r="G45" s="38">
        <f t="shared" si="1"/>
        <v>0</v>
      </c>
      <c r="H45" s="62" t="s">
        <v>761</v>
      </c>
    </row>
    <row r="46" spans="1:8 16384:16384" ht="30">
      <c r="A46" s="22">
        <v>13551800</v>
      </c>
      <c r="B46" s="23" t="s">
        <v>11</v>
      </c>
      <c r="C46" s="65" t="s">
        <v>287</v>
      </c>
      <c r="D46" s="23">
        <v>0</v>
      </c>
      <c r="E46" s="43">
        <v>0</v>
      </c>
      <c r="F46" s="22">
        <v>2021</v>
      </c>
      <c r="G46" s="38">
        <f t="shared" si="1"/>
        <v>0</v>
      </c>
      <c r="H46" s="62"/>
    </row>
    <row r="47" spans="1:8 16384:16384" ht="30">
      <c r="A47" s="22">
        <v>13552000</v>
      </c>
      <c r="B47" s="23" t="s">
        <v>12</v>
      </c>
      <c r="C47" s="65" t="s">
        <v>286</v>
      </c>
      <c r="D47" s="23">
        <f>9500000+356315000</f>
        <v>365815000</v>
      </c>
      <c r="E47" s="43">
        <f>9500000+356315000</f>
        <v>365815000</v>
      </c>
      <c r="F47" s="22">
        <v>2021</v>
      </c>
      <c r="G47" s="38">
        <f t="shared" si="1"/>
        <v>0</v>
      </c>
      <c r="H47" s="62" t="s">
        <v>760</v>
      </c>
    </row>
    <row r="49" spans="1:7">
      <c r="A49" s="23"/>
      <c r="B49" s="34"/>
      <c r="D49" s="40">
        <f>SUM(D43:D48)</f>
        <v>661337820.79999995</v>
      </c>
      <c r="G49" s="23"/>
    </row>
    <row r="50" spans="1:7">
      <c r="A50" s="23"/>
      <c r="G50" s="23"/>
    </row>
    <row r="51" spans="1:7">
      <c r="A51" s="23"/>
      <c r="D51" s="29" t="s">
        <v>292</v>
      </c>
      <c r="G51" s="23"/>
    </row>
    <row r="52" spans="1:7">
      <c r="A52" s="23"/>
      <c r="D52" s="23">
        <v>4830289</v>
      </c>
      <c r="E52" s="23" t="s">
        <v>308</v>
      </c>
      <c r="G52" s="23"/>
    </row>
    <row r="53" spans="1:7">
      <c r="A53" s="23"/>
      <c r="D53" s="23">
        <v>5442726</v>
      </c>
      <c r="E53" s="23" t="s">
        <v>293</v>
      </c>
      <c r="G53" s="23"/>
    </row>
    <row r="54" spans="1:7">
      <c r="A54" s="23"/>
      <c r="D54" s="23">
        <v>201646</v>
      </c>
      <c r="E54" s="23" t="s">
        <v>309</v>
      </c>
      <c r="G54" s="23"/>
    </row>
    <row r="55" spans="1:7">
      <c r="A55" s="23"/>
      <c r="D55" s="23">
        <v>4956411</v>
      </c>
      <c r="E55" s="23" t="s">
        <v>294</v>
      </c>
      <c r="G55" s="23"/>
    </row>
    <row r="56" spans="1:7">
      <c r="A56" s="23"/>
      <c r="D56" s="23">
        <v>6739224</v>
      </c>
      <c r="E56" s="23" t="s">
        <v>295</v>
      </c>
      <c r="G56" s="23"/>
    </row>
    <row r="57" spans="1:7">
      <c r="A57" s="23"/>
      <c r="D57" s="23">
        <v>4864951</v>
      </c>
      <c r="E57" s="23" t="s">
        <v>296</v>
      </c>
      <c r="G57" s="23"/>
    </row>
    <row r="58" spans="1:7">
      <c r="A58" s="23"/>
      <c r="D58" s="23">
        <v>14506305</v>
      </c>
      <c r="E58" s="23" t="s">
        <v>297</v>
      </c>
      <c r="G58" s="23"/>
    </row>
    <row r="59" spans="1:7">
      <c r="A59" s="23"/>
      <c r="D59" s="23">
        <v>7312099</v>
      </c>
      <c r="E59" s="23" t="s">
        <v>298</v>
      </c>
      <c r="G59" s="23"/>
    </row>
    <row r="60" spans="1:7">
      <c r="A60" s="23"/>
      <c r="D60" s="23">
        <v>11150022</v>
      </c>
      <c r="E60" s="23" t="s">
        <v>299</v>
      </c>
      <c r="G60" s="23"/>
    </row>
    <row r="61" spans="1:7">
      <c r="A61" s="23"/>
      <c r="D61" s="23">
        <v>13208090</v>
      </c>
      <c r="E61" s="23" t="s">
        <v>300</v>
      </c>
      <c r="G61" s="23"/>
    </row>
    <row r="62" spans="1:7">
      <c r="A62" s="23"/>
      <c r="D62" s="23">
        <v>8385119</v>
      </c>
      <c r="E62" s="23" t="s">
        <v>301</v>
      </c>
      <c r="G62" s="23"/>
    </row>
    <row r="63" spans="1:7">
      <c r="A63" s="23"/>
      <c r="D63" s="23">
        <v>9953586</v>
      </c>
      <c r="E63" s="23" t="s">
        <v>302</v>
      </c>
      <c r="G63" s="23"/>
    </row>
    <row r="64" spans="1:7">
      <c r="A64" s="23"/>
      <c r="D64" s="29">
        <f>SUM(D52:D63)</f>
        <v>91550468</v>
      </c>
      <c r="G64" s="23"/>
    </row>
    <row r="65" spans="1:8">
      <c r="A65" s="41"/>
      <c r="B65" s="43"/>
      <c r="C65" s="43"/>
      <c r="D65" s="43"/>
      <c r="E65" s="43"/>
      <c r="F65" s="43"/>
      <c r="G65" s="45"/>
      <c r="H65" s="43"/>
    </row>
  </sheetData>
  <mergeCells count="16">
    <mergeCell ref="F41:F42"/>
    <mergeCell ref="G41:G42"/>
    <mergeCell ref="H41:H42"/>
    <mergeCell ref="A41:A42"/>
    <mergeCell ref="B41:B42"/>
    <mergeCell ref="C41:C42"/>
    <mergeCell ref="D41:D42"/>
    <mergeCell ref="E41:E42"/>
    <mergeCell ref="G9:G10"/>
    <mergeCell ref="H9:H10"/>
    <mergeCell ref="A9:A10"/>
    <mergeCell ref="B9:B10"/>
    <mergeCell ref="C9:C10"/>
    <mergeCell ref="D9:D10"/>
    <mergeCell ref="E9:E10"/>
    <mergeCell ref="F9:F10"/>
  </mergeCells>
  <dataValidations count="1">
    <dataValidation type="list" allowBlank="1" showInputMessage="1" showErrorMessage="1" sqref="C11:C15 C43:C47" xr:uid="{9D853CB9-D36C-B641-86A4-B9D4A9EEC3F1}">
      <formula1>$XFD$1:$XFD$5</formula1>
    </dataValidation>
  </dataValidations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DA47F-EE75-974B-B318-77EBFFBFD09F}">
  <dimension ref="A1:XFD36"/>
  <sheetViews>
    <sheetView workbookViewId="0"/>
  </sheetViews>
  <sheetFormatPr baseColWidth="10" defaultRowHeight="15"/>
  <cols>
    <col min="1" max="1" width="10.5" style="22" customWidth="1"/>
    <col min="2" max="2" width="31.375" style="23" customWidth="1"/>
    <col min="3" max="3" width="25.625" style="23" customWidth="1"/>
    <col min="4" max="5" width="13.125" style="23" customWidth="1"/>
    <col min="6" max="6" width="20.875" style="23" customWidth="1"/>
    <col min="7" max="7" width="13.875" style="26" bestFit="1" customWidth="1"/>
    <col min="8" max="8" width="50.5" style="23" customWidth="1"/>
    <col min="9" max="9" width="10.875" style="23"/>
    <col min="10" max="10" width="11.5" style="23" customWidth="1"/>
    <col min="11" max="16383" width="10.875" style="23"/>
    <col min="16384" max="16384" width="39.5" style="23" bestFit="1" customWidth="1"/>
  </cols>
  <sheetData>
    <row r="1" spans="1:9 16384:16384">
      <c r="C1" s="24" t="s">
        <v>1061</v>
      </c>
      <c r="XFD1" s="27" t="s">
        <v>304</v>
      </c>
    </row>
    <row r="2" spans="1:9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F2" s="24" t="s">
        <v>311</v>
      </c>
      <c r="XFD2" s="27" t="s">
        <v>305</v>
      </c>
    </row>
    <row r="3" spans="1:9 16384:16384">
      <c r="A3" s="22">
        <v>24040500</v>
      </c>
      <c r="B3" s="23" t="s">
        <v>46</v>
      </c>
      <c r="C3" s="23">
        <v>0</v>
      </c>
      <c r="D3" s="23">
        <f ca="1">SUMIF($A$12:$E$16,A3,$D$12:$D$16)-C3</f>
        <v>72817000</v>
      </c>
      <c r="E3" s="23">
        <f>C3-'HW PYMES'!I73</f>
        <v>0</v>
      </c>
      <c r="F3" s="23" t="s">
        <v>312</v>
      </c>
      <c r="XFD3" s="27" t="s">
        <v>306</v>
      </c>
    </row>
    <row r="4" spans="1:9 16384:16384">
      <c r="A4" s="22">
        <v>24080100</v>
      </c>
      <c r="B4" s="23" t="s">
        <v>47</v>
      </c>
      <c r="C4" s="23">
        <v>0</v>
      </c>
      <c r="D4" s="23">
        <f t="shared" ref="D4:D6" ca="1" si="0">SUMIF($A$12:$E$16,A4,$D$12:$D$16)-C4</f>
        <v>0</v>
      </c>
      <c r="E4" s="23">
        <f>C4-'HW PYMES'!I74</f>
        <v>0</v>
      </c>
      <c r="XFD4" s="27"/>
    </row>
    <row r="5" spans="1:9 16384:16384">
      <c r="A5" s="22">
        <v>24120500</v>
      </c>
      <c r="B5" s="23" t="s">
        <v>162</v>
      </c>
      <c r="C5" s="23">
        <v>0</v>
      </c>
      <c r="D5" s="23">
        <f t="shared" ca="1" si="0"/>
        <v>0</v>
      </c>
      <c r="E5" s="23">
        <f>C5-'HW PYMES'!I75</f>
        <v>0</v>
      </c>
      <c r="XFD5" s="27"/>
    </row>
    <row r="6" spans="1:9 16384:16384">
      <c r="A6" s="22">
        <v>26059500</v>
      </c>
      <c r="B6" s="23" t="s">
        <v>161</v>
      </c>
      <c r="C6" s="23">
        <v>11136922</v>
      </c>
      <c r="D6" s="23">
        <f t="shared" ca="1" si="0"/>
        <v>0</v>
      </c>
      <c r="E6" s="23">
        <f>C6+'HW PYMES'!I79</f>
        <v>0</v>
      </c>
      <c r="XFD6" s="27"/>
    </row>
    <row r="7" spans="1:9 16384:16384">
      <c r="C7" s="29">
        <f>SUM(C3:C6)</f>
        <v>11136922</v>
      </c>
    </row>
    <row r="8" spans="1:9 16384:16384">
      <c r="B8" s="30" t="s">
        <v>206</v>
      </c>
      <c r="C8" s="63">
        <f>C7-D17</f>
        <v>-72817000</v>
      </c>
    </row>
    <row r="10" spans="1:9 16384:16384" ht="45" customHeight="1">
      <c r="A10" s="474" t="s">
        <v>209</v>
      </c>
      <c r="B10" s="476" t="s">
        <v>210</v>
      </c>
      <c r="C10" s="478" t="s">
        <v>290</v>
      </c>
      <c r="D10" s="479" t="s">
        <v>262</v>
      </c>
      <c r="E10" s="479" t="s">
        <v>303</v>
      </c>
      <c r="F10" s="472" t="s">
        <v>307</v>
      </c>
      <c r="G10" s="485" t="s">
        <v>221</v>
      </c>
      <c r="H10" s="485" t="s">
        <v>237</v>
      </c>
    </row>
    <row r="11" spans="1:9 16384:16384" ht="14.1" customHeight="1">
      <c r="A11" s="475"/>
      <c r="B11" s="477"/>
      <c r="C11" s="472"/>
      <c r="D11" s="480"/>
      <c r="E11" s="480"/>
      <c r="F11" s="473"/>
      <c r="G11" s="486"/>
      <c r="H11" s="486"/>
    </row>
    <row r="12" spans="1:9 16384:16384" ht="30">
      <c r="A12" s="22">
        <v>24040500</v>
      </c>
      <c r="B12" s="23" t="s">
        <v>46</v>
      </c>
      <c r="C12" s="65" t="s">
        <v>304</v>
      </c>
      <c r="D12" s="23">
        <v>72817000</v>
      </c>
      <c r="E12" s="43">
        <v>72817000</v>
      </c>
      <c r="F12" s="22">
        <v>2020</v>
      </c>
      <c r="G12" s="38">
        <f>E12-D12</f>
        <v>0</v>
      </c>
      <c r="H12" s="69" t="s">
        <v>316</v>
      </c>
      <c r="I12" s="64"/>
    </row>
    <row r="13" spans="1:9 16384:16384" ht="30">
      <c r="A13" s="22">
        <v>24080100</v>
      </c>
      <c r="B13" s="23" t="s">
        <v>47</v>
      </c>
      <c r="C13" s="65" t="s">
        <v>306</v>
      </c>
      <c r="D13" s="23">
        <v>0</v>
      </c>
      <c r="E13" s="43">
        <v>0</v>
      </c>
      <c r="F13" s="22">
        <v>2020</v>
      </c>
      <c r="G13" s="38">
        <f>E13-D13</f>
        <v>0</v>
      </c>
      <c r="H13" s="39"/>
      <c r="I13" s="64"/>
    </row>
    <row r="14" spans="1:9 16384:16384" ht="30">
      <c r="A14" s="22">
        <v>24120500</v>
      </c>
      <c r="B14" s="23" t="s">
        <v>162</v>
      </c>
      <c r="C14" s="65" t="s">
        <v>305</v>
      </c>
      <c r="D14" s="23">
        <v>0</v>
      </c>
      <c r="E14" s="43">
        <v>0</v>
      </c>
      <c r="F14" s="22">
        <v>2020</v>
      </c>
      <c r="G14" s="38">
        <f>E14-D14</f>
        <v>0</v>
      </c>
      <c r="H14" s="39"/>
      <c r="I14" s="64"/>
    </row>
    <row r="15" spans="1:9 16384:16384" ht="30">
      <c r="A15" s="22">
        <v>26059500</v>
      </c>
      <c r="B15" s="23" t="s">
        <v>161</v>
      </c>
      <c r="C15" s="65" t="s">
        <v>305</v>
      </c>
      <c r="D15" s="23">
        <f>19000+11117922</f>
        <v>11136922</v>
      </c>
      <c r="E15" s="43">
        <f>14293000-14274000+11117922</f>
        <v>11136922</v>
      </c>
      <c r="F15" s="22">
        <v>2020</v>
      </c>
      <c r="G15" s="38">
        <f>E15-D15</f>
        <v>0</v>
      </c>
      <c r="H15" s="70" t="s">
        <v>317</v>
      </c>
      <c r="I15" s="64"/>
    </row>
    <row r="17" spans="1:9 16384:16384">
      <c r="B17" s="34"/>
      <c r="D17" s="40">
        <f>SUM(D12:D16)</f>
        <v>83953922</v>
      </c>
    </row>
    <row r="18" spans="1:9 16384:16384">
      <c r="A18" s="41"/>
      <c r="B18" s="43"/>
      <c r="C18" s="43"/>
      <c r="D18" s="43"/>
      <c r="E18" s="43"/>
      <c r="F18" s="43"/>
      <c r="G18" s="45"/>
      <c r="H18" s="43"/>
    </row>
    <row r="19" spans="1:9 16384:16384">
      <c r="C19" s="24" t="s">
        <v>260</v>
      </c>
      <c r="XFD19" s="27" t="s">
        <v>304</v>
      </c>
    </row>
    <row r="20" spans="1:9 16384:16384">
      <c r="A20" s="337" t="s">
        <v>201</v>
      </c>
      <c r="B20" s="24" t="s">
        <v>202</v>
      </c>
      <c r="C20" s="24" t="s">
        <v>1030</v>
      </c>
      <c r="D20" s="24" t="s">
        <v>203</v>
      </c>
      <c r="E20" s="24" t="s">
        <v>261</v>
      </c>
      <c r="F20" s="24" t="s">
        <v>311</v>
      </c>
      <c r="XFD20" s="27" t="s">
        <v>305</v>
      </c>
    </row>
    <row r="21" spans="1:9 16384:16384">
      <c r="A21" s="22">
        <v>24040500</v>
      </c>
      <c r="B21" s="23" t="s">
        <v>46</v>
      </c>
      <c r="C21" s="23">
        <v>0</v>
      </c>
      <c r="D21" s="23">
        <f t="shared" ref="D21:D24" ca="1" si="1">SUMIF($A$30:$E$34,A21,$E$30:$E$34)-C21</f>
        <v>0</v>
      </c>
      <c r="E21" s="23">
        <f>-C21-'HW PYMES'!M73</f>
        <v>0</v>
      </c>
      <c r="XFD21" s="27" t="s">
        <v>306</v>
      </c>
    </row>
    <row r="22" spans="1:9 16384:16384">
      <c r="A22" s="22">
        <v>24080100</v>
      </c>
      <c r="B22" s="23" t="s">
        <v>47</v>
      </c>
      <c r="C22" s="23">
        <v>0.97</v>
      </c>
      <c r="D22" s="23">
        <f t="shared" ca="1" si="1"/>
        <v>-0.97</v>
      </c>
      <c r="E22" s="23">
        <f>-C22-'HW PYMES'!M74</f>
        <v>-1.94</v>
      </c>
      <c r="XFD22" s="27"/>
    </row>
    <row r="23" spans="1:9 16384:16384">
      <c r="A23" s="22">
        <v>24120500</v>
      </c>
      <c r="B23" s="23" t="s">
        <v>162</v>
      </c>
      <c r="C23" s="23">
        <v>0</v>
      </c>
      <c r="D23" s="23">
        <f t="shared" ca="1" si="1"/>
        <v>0</v>
      </c>
      <c r="E23" s="23">
        <f>-C23-'HW PYMES'!M75</f>
        <v>0</v>
      </c>
      <c r="XFD23" s="27"/>
    </row>
    <row r="24" spans="1:9 16384:16384">
      <c r="A24" s="22">
        <v>26059500</v>
      </c>
      <c r="B24" s="23" t="s">
        <v>726</v>
      </c>
      <c r="C24" s="23">
        <v>2732344.84</v>
      </c>
      <c r="D24" s="23">
        <f t="shared" ca="1" si="1"/>
        <v>0</v>
      </c>
      <c r="E24" s="23">
        <f>-C24-'HW PYMES'!M79</f>
        <v>0</v>
      </c>
      <c r="XFD24" s="27"/>
    </row>
    <row r="25" spans="1:9 16384:16384">
      <c r="C25" s="29">
        <f>SUM(C21:C24)</f>
        <v>2732345.81</v>
      </c>
    </row>
    <row r="26" spans="1:9 16384:16384">
      <c r="B26" s="30" t="s">
        <v>206</v>
      </c>
      <c r="C26" s="63">
        <f>C25-D35</f>
        <v>0.97000000020489097</v>
      </c>
    </row>
    <row r="28" spans="1:9 16384:16384" ht="45" customHeight="1">
      <c r="A28" s="474" t="s">
        <v>209</v>
      </c>
      <c r="B28" s="476" t="s">
        <v>210</v>
      </c>
      <c r="C28" s="478" t="s">
        <v>290</v>
      </c>
      <c r="D28" s="479" t="s">
        <v>262</v>
      </c>
      <c r="E28" s="479" t="s">
        <v>303</v>
      </c>
      <c r="F28" s="472" t="s">
        <v>307</v>
      </c>
      <c r="G28" s="485" t="s">
        <v>221</v>
      </c>
      <c r="H28" s="485" t="s">
        <v>237</v>
      </c>
    </row>
    <row r="29" spans="1:9 16384:16384" ht="14.1" customHeight="1">
      <c r="A29" s="475"/>
      <c r="B29" s="477"/>
      <c r="C29" s="472"/>
      <c r="D29" s="480"/>
      <c r="E29" s="480"/>
      <c r="F29" s="473"/>
      <c r="G29" s="486"/>
      <c r="H29" s="486"/>
    </row>
    <row r="30" spans="1:9 16384:16384" ht="30">
      <c r="A30" s="22">
        <v>24040500</v>
      </c>
      <c r="B30" s="23" t="s">
        <v>46</v>
      </c>
      <c r="C30" s="65" t="s">
        <v>304</v>
      </c>
      <c r="D30" s="23">
        <v>0</v>
      </c>
      <c r="E30" s="43">
        <v>0</v>
      </c>
      <c r="F30" s="22">
        <v>2021</v>
      </c>
      <c r="G30" s="38">
        <f>E30-D30</f>
        <v>0</v>
      </c>
      <c r="H30" s="69"/>
      <c r="I30" s="64"/>
    </row>
    <row r="31" spans="1:9 16384:16384" ht="30">
      <c r="A31" s="22">
        <v>24080100</v>
      </c>
      <c r="B31" s="23" t="s">
        <v>47</v>
      </c>
      <c r="C31" s="65" t="s">
        <v>306</v>
      </c>
      <c r="D31" s="23">
        <v>0</v>
      </c>
      <c r="E31" s="43">
        <v>0</v>
      </c>
      <c r="F31" s="22">
        <v>2021</v>
      </c>
      <c r="G31" s="38">
        <f>E31-D31</f>
        <v>0</v>
      </c>
      <c r="H31" s="39"/>
      <c r="I31" s="64"/>
    </row>
    <row r="32" spans="1:9 16384:16384" ht="30">
      <c r="A32" s="22">
        <v>24120500</v>
      </c>
      <c r="B32" s="23" t="s">
        <v>162</v>
      </c>
      <c r="C32" s="65" t="s">
        <v>305</v>
      </c>
      <c r="D32" s="23">
        <v>0</v>
      </c>
      <c r="E32" s="43">
        <v>0</v>
      </c>
      <c r="F32" s="22">
        <v>2021</v>
      </c>
      <c r="G32" s="38">
        <f>E32-D32</f>
        <v>0</v>
      </c>
      <c r="H32" s="39"/>
      <c r="I32" s="64"/>
    </row>
    <row r="33" spans="1:9" ht="30">
      <c r="A33" s="22">
        <v>26059500</v>
      </c>
      <c r="B33" s="23" t="s">
        <v>726</v>
      </c>
      <c r="C33" s="65" t="s">
        <v>305</v>
      </c>
      <c r="D33" s="23">
        <v>2732344.84</v>
      </c>
      <c r="E33" s="43">
        <v>2732344.84</v>
      </c>
      <c r="F33" s="22">
        <v>2021</v>
      </c>
      <c r="G33" s="38">
        <f>E33-D33</f>
        <v>0</v>
      </c>
      <c r="H33" s="70" t="s">
        <v>764</v>
      </c>
      <c r="I33" s="64"/>
    </row>
    <row r="35" spans="1:9">
      <c r="B35" s="34"/>
      <c r="D35" s="40">
        <f>SUM(D30:D34)</f>
        <v>2732344.84</v>
      </c>
    </row>
    <row r="36" spans="1:9">
      <c r="A36" s="41"/>
      <c r="B36" s="43"/>
      <c r="C36" s="43"/>
      <c r="D36" s="43"/>
      <c r="E36" s="43"/>
      <c r="F36" s="43"/>
      <c r="G36" s="45"/>
      <c r="H36" s="43"/>
    </row>
  </sheetData>
  <mergeCells count="16">
    <mergeCell ref="F28:F29"/>
    <mergeCell ref="G28:G29"/>
    <mergeCell ref="H28:H29"/>
    <mergeCell ref="A28:A29"/>
    <mergeCell ref="B28:B29"/>
    <mergeCell ref="C28:C29"/>
    <mergeCell ref="D28:D29"/>
    <mergeCell ref="E28:E29"/>
    <mergeCell ref="G10:G11"/>
    <mergeCell ref="H10:H11"/>
    <mergeCell ref="A10:A11"/>
    <mergeCell ref="B10:B11"/>
    <mergeCell ref="C10:C11"/>
    <mergeCell ref="D10:D11"/>
    <mergeCell ref="E10:E11"/>
    <mergeCell ref="F10:F11"/>
  </mergeCells>
  <dataValidations count="1">
    <dataValidation type="list" allowBlank="1" showInputMessage="1" showErrorMessage="1" sqref="C30:C33 C12:C15" xr:uid="{B988E041-C6FF-7C4F-9EA8-E2AC0051A1E9}">
      <formula1>$XFD$1:$XFD$3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ED89A-B865-9542-AF08-D85659D63234}">
  <dimension ref="A1:I79"/>
  <sheetViews>
    <sheetView zoomScaleNormal="100" workbookViewId="0">
      <selection sqref="A1:H1"/>
    </sheetView>
  </sheetViews>
  <sheetFormatPr baseColWidth="10" defaultRowHeight="12.75"/>
  <cols>
    <col min="1" max="1" width="13.375" style="78" customWidth="1"/>
    <col min="2" max="2" width="27.875" style="78" bestFit="1" customWidth="1"/>
    <col min="3" max="3" width="10.875" style="94" customWidth="1"/>
    <col min="4" max="4" width="18.375" style="94" customWidth="1"/>
    <col min="5" max="5" width="14.875" style="78" bestFit="1" customWidth="1"/>
    <col min="6" max="6" width="15.625" style="78" bestFit="1" customWidth="1"/>
    <col min="7" max="7" width="40.5" style="78" bestFit="1" customWidth="1"/>
    <col min="8" max="8" width="16.375" style="108" bestFit="1" customWidth="1"/>
    <col min="9" max="9" width="11.125" style="78" bestFit="1" customWidth="1"/>
    <col min="10" max="253" width="10.875" style="78"/>
    <col min="254" max="254" width="5.5" style="78" customWidth="1"/>
    <col min="255" max="255" width="13.375" style="78" customWidth="1"/>
    <col min="256" max="256" width="26.5" style="78" bestFit="1" customWidth="1"/>
    <col min="257" max="257" width="14.375" style="78" bestFit="1" customWidth="1"/>
    <col min="258" max="258" width="18.375" style="78" bestFit="1" customWidth="1"/>
    <col min="259" max="259" width="14.875" style="78" bestFit="1" customWidth="1"/>
    <col min="260" max="260" width="28.5" style="78" customWidth="1"/>
    <col min="261" max="261" width="18.625" style="78" bestFit="1" customWidth="1"/>
    <col min="262" max="263" width="14.875" style="78" bestFit="1" customWidth="1"/>
    <col min="264" max="264" width="15" style="78" bestFit="1" customWidth="1"/>
    <col min="265" max="509" width="10.875" style="78"/>
    <col min="510" max="510" width="5.5" style="78" customWidth="1"/>
    <col min="511" max="511" width="13.375" style="78" customWidth="1"/>
    <col min="512" max="512" width="26.5" style="78" bestFit="1" customWidth="1"/>
    <col min="513" max="513" width="14.375" style="78" bestFit="1" customWidth="1"/>
    <col min="514" max="514" width="18.375" style="78" bestFit="1" customWidth="1"/>
    <col min="515" max="515" width="14.875" style="78" bestFit="1" customWidth="1"/>
    <col min="516" max="516" width="28.5" style="78" customWidth="1"/>
    <col min="517" max="517" width="18.625" style="78" bestFit="1" customWidth="1"/>
    <col min="518" max="519" width="14.875" style="78" bestFit="1" customWidth="1"/>
    <col min="520" max="520" width="15" style="78" bestFit="1" customWidth="1"/>
    <col min="521" max="765" width="10.875" style="78"/>
    <col min="766" max="766" width="5.5" style="78" customWidth="1"/>
    <col min="767" max="767" width="13.375" style="78" customWidth="1"/>
    <col min="768" max="768" width="26.5" style="78" bestFit="1" customWidth="1"/>
    <col min="769" max="769" width="14.375" style="78" bestFit="1" customWidth="1"/>
    <col min="770" max="770" width="18.375" style="78" bestFit="1" customWidth="1"/>
    <col min="771" max="771" width="14.875" style="78" bestFit="1" customWidth="1"/>
    <col min="772" max="772" width="28.5" style="78" customWidth="1"/>
    <col min="773" max="773" width="18.625" style="78" bestFit="1" customWidth="1"/>
    <col min="774" max="775" width="14.875" style="78" bestFit="1" customWidth="1"/>
    <col min="776" max="776" width="15" style="78" bestFit="1" customWidth="1"/>
    <col min="777" max="1021" width="10.875" style="78"/>
    <col min="1022" max="1022" width="5.5" style="78" customWidth="1"/>
    <col min="1023" max="1023" width="13.375" style="78" customWidth="1"/>
    <col min="1024" max="1024" width="26.5" style="78" bestFit="1" customWidth="1"/>
    <col min="1025" max="1025" width="14.375" style="78" bestFit="1" customWidth="1"/>
    <col min="1026" max="1026" width="18.375" style="78" bestFit="1" customWidth="1"/>
    <col min="1027" max="1027" width="14.875" style="78" bestFit="1" customWidth="1"/>
    <col min="1028" max="1028" width="28.5" style="78" customWidth="1"/>
    <col min="1029" max="1029" width="18.625" style="78" bestFit="1" customWidth="1"/>
    <col min="1030" max="1031" width="14.875" style="78" bestFit="1" customWidth="1"/>
    <col min="1032" max="1032" width="15" style="78" bestFit="1" customWidth="1"/>
    <col min="1033" max="1277" width="10.875" style="78"/>
    <col min="1278" max="1278" width="5.5" style="78" customWidth="1"/>
    <col min="1279" max="1279" width="13.375" style="78" customWidth="1"/>
    <col min="1280" max="1280" width="26.5" style="78" bestFit="1" customWidth="1"/>
    <col min="1281" max="1281" width="14.375" style="78" bestFit="1" customWidth="1"/>
    <col min="1282" max="1282" width="18.375" style="78" bestFit="1" customWidth="1"/>
    <col min="1283" max="1283" width="14.875" style="78" bestFit="1" customWidth="1"/>
    <col min="1284" max="1284" width="28.5" style="78" customWidth="1"/>
    <col min="1285" max="1285" width="18.625" style="78" bestFit="1" customWidth="1"/>
    <col min="1286" max="1287" width="14.875" style="78" bestFit="1" customWidth="1"/>
    <col min="1288" max="1288" width="15" style="78" bestFit="1" customWidth="1"/>
    <col min="1289" max="1533" width="10.875" style="78"/>
    <col min="1534" max="1534" width="5.5" style="78" customWidth="1"/>
    <col min="1535" max="1535" width="13.375" style="78" customWidth="1"/>
    <col min="1536" max="1536" width="26.5" style="78" bestFit="1" customWidth="1"/>
    <col min="1537" max="1537" width="14.375" style="78" bestFit="1" customWidth="1"/>
    <col min="1538" max="1538" width="18.375" style="78" bestFit="1" customWidth="1"/>
    <col min="1539" max="1539" width="14.875" style="78" bestFit="1" customWidth="1"/>
    <col min="1540" max="1540" width="28.5" style="78" customWidth="1"/>
    <col min="1541" max="1541" width="18.625" style="78" bestFit="1" customWidth="1"/>
    <col min="1542" max="1543" width="14.875" style="78" bestFit="1" customWidth="1"/>
    <col min="1544" max="1544" width="15" style="78" bestFit="1" customWidth="1"/>
    <col min="1545" max="1789" width="10.875" style="78"/>
    <col min="1790" max="1790" width="5.5" style="78" customWidth="1"/>
    <col min="1791" max="1791" width="13.375" style="78" customWidth="1"/>
    <col min="1792" max="1792" width="26.5" style="78" bestFit="1" customWidth="1"/>
    <col min="1793" max="1793" width="14.375" style="78" bestFit="1" customWidth="1"/>
    <col min="1794" max="1794" width="18.375" style="78" bestFit="1" customWidth="1"/>
    <col min="1795" max="1795" width="14.875" style="78" bestFit="1" customWidth="1"/>
    <col min="1796" max="1796" width="28.5" style="78" customWidth="1"/>
    <col min="1797" max="1797" width="18.625" style="78" bestFit="1" customWidth="1"/>
    <col min="1798" max="1799" width="14.875" style="78" bestFit="1" customWidth="1"/>
    <col min="1800" max="1800" width="15" style="78" bestFit="1" customWidth="1"/>
    <col min="1801" max="2045" width="10.875" style="78"/>
    <col min="2046" max="2046" width="5.5" style="78" customWidth="1"/>
    <col min="2047" max="2047" width="13.375" style="78" customWidth="1"/>
    <col min="2048" max="2048" width="26.5" style="78" bestFit="1" customWidth="1"/>
    <col min="2049" max="2049" width="14.375" style="78" bestFit="1" customWidth="1"/>
    <col min="2050" max="2050" width="18.375" style="78" bestFit="1" customWidth="1"/>
    <col min="2051" max="2051" width="14.875" style="78" bestFit="1" customWidth="1"/>
    <col min="2052" max="2052" width="28.5" style="78" customWidth="1"/>
    <col min="2053" max="2053" width="18.625" style="78" bestFit="1" customWidth="1"/>
    <col min="2054" max="2055" width="14.875" style="78" bestFit="1" customWidth="1"/>
    <col min="2056" max="2056" width="15" style="78" bestFit="1" customWidth="1"/>
    <col min="2057" max="2301" width="10.875" style="78"/>
    <col min="2302" max="2302" width="5.5" style="78" customWidth="1"/>
    <col min="2303" max="2303" width="13.375" style="78" customWidth="1"/>
    <col min="2304" max="2304" width="26.5" style="78" bestFit="1" customWidth="1"/>
    <col min="2305" max="2305" width="14.375" style="78" bestFit="1" customWidth="1"/>
    <col min="2306" max="2306" width="18.375" style="78" bestFit="1" customWidth="1"/>
    <col min="2307" max="2307" width="14.875" style="78" bestFit="1" customWidth="1"/>
    <col min="2308" max="2308" width="28.5" style="78" customWidth="1"/>
    <col min="2309" max="2309" width="18.625" style="78" bestFit="1" customWidth="1"/>
    <col min="2310" max="2311" width="14.875" style="78" bestFit="1" customWidth="1"/>
    <col min="2312" max="2312" width="15" style="78" bestFit="1" customWidth="1"/>
    <col min="2313" max="2557" width="10.875" style="78"/>
    <col min="2558" max="2558" width="5.5" style="78" customWidth="1"/>
    <col min="2559" max="2559" width="13.375" style="78" customWidth="1"/>
    <col min="2560" max="2560" width="26.5" style="78" bestFit="1" customWidth="1"/>
    <col min="2561" max="2561" width="14.375" style="78" bestFit="1" customWidth="1"/>
    <col min="2562" max="2562" width="18.375" style="78" bestFit="1" customWidth="1"/>
    <col min="2563" max="2563" width="14.875" style="78" bestFit="1" customWidth="1"/>
    <col min="2564" max="2564" width="28.5" style="78" customWidth="1"/>
    <col min="2565" max="2565" width="18.625" style="78" bestFit="1" customWidth="1"/>
    <col min="2566" max="2567" width="14.875" style="78" bestFit="1" customWidth="1"/>
    <col min="2568" max="2568" width="15" style="78" bestFit="1" customWidth="1"/>
    <col min="2569" max="2813" width="10.875" style="78"/>
    <col min="2814" max="2814" width="5.5" style="78" customWidth="1"/>
    <col min="2815" max="2815" width="13.375" style="78" customWidth="1"/>
    <col min="2816" max="2816" width="26.5" style="78" bestFit="1" customWidth="1"/>
    <col min="2817" max="2817" width="14.375" style="78" bestFit="1" customWidth="1"/>
    <col min="2818" max="2818" width="18.375" style="78" bestFit="1" customWidth="1"/>
    <col min="2819" max="2819" width="14.875" style="78" bestFit="1" customWidth="1"/>
    <col min="2820" max="2820" width="28.5" style="78" customWidth="1"/>
    <col min="2821" max="2821" width="18.625" style="78" bestFit="1" customWidth="1"/>
    <col min="2822" max="2823" width="14.875" style="78" bestFit="1" customWidth="1"/>
    <col min="2824" max="2824" width="15" style="78" bestFit="1" customWidth="1"/>
    <col min="2825" max="3069" width="10.875" style="78"/>
    <col min="3070" max="3070" width="5.5" style="78" customWidth="1"/>
    <col min="3071" max="3071" width="13.375" style="78" customWidth="1"/>
    <col min="3072" max="3072" width="26.5" style="78" bestFit="1" customWidth="1"/>
    <col min="3073" max="3073" width="14.375" style="78" bestFit="1" customWidth="1"/>
    <col min="3074" max="3074" width="18.375" style="78" bestFit="1" customWidth="1"/>
    <col min="3075" max="3075" width="14.875" style="78" bestFit="1" customWidth="1"/>
    <col min="3076" max="3076" width="28.5" style="78" customWidth="1"/>
    <col min="3077" max="3077" width="18.625" style="78" bestFit="1" customWidth="1"/>
    <col min="3078" max="3079" width="14.875" style="78" bestFit="1" customWidth="1"/>
    <col min="3080" max="3080" width="15" style="78" bestFit="1" customWidth="1"/>
    <col min="3081" max="3325" width="10.875" style="78"/>
    <col min="3326" max="3326" width="5.5" style="78" customWidth="1"/>
    <col min="3327" max="3327" width="13.375" style="78" customWidth="1"/>
    <col min="3328" max="3328" width="26.5" style="78" bestFit="1" customWidth="1"/>
    <col min="3329" max="3329" width="14.375" style="78" bestFit="1" customWidth="1"/>
    <col min="3330" max="3330" width="18.375" style="78" bestFit="1" customWidth="1"/>
    <col min="3331" max="3331" width="14.875" style="78" bestFit="1" customWidth="1"/>
    <col min="3332" max="3332" width="28.5" style="78" customWidth="1"/>
    <col min="3333" max="3333" width="18.625" style="78" bestFit="1" customWidth="1"/>
    <col min="3334" max="3335" width="14.875" style="78" bestFit="1" customWidth="1"/>
    <col min="3336" max="3336" width="15" style="78" bestFit="1" customWidth="1"/>
    <col min="3337" max="3581" width="10.875" style="78"/>
    <col min="3582" max="3582" width="5.5" style="78" customWidth="1"/>
    <col min="3583" max="3583" width="13.375" style="78" customWidth="1"/>
    <col min="3584" max="3584" width="26.5" style="78" bestFit="1" customWidth="1"/>
    <col min="3585" max="3585" width="14.375" style="78" bestFit="1" customWidth="1"/>
    <col min="3586" max="3586" width="18.375" style="78" bestFit="1" customWidth="1"/>
    <col min="3587" max="3587" width="14.875" style="78" bestFit="1" customWidth="1"/>
    <col min="3588" max="3588" width="28.5" style="78" customWidth="1"/>
    <col min="3589" max="3589" width="18.625" style="78" bestFit="1" customWidth="1"/>
    <col min="3590" max="3591" width="14.875" style="78" bestFit="1" customWidth="1"/>
    <col min="3592" max="3592" width="15" style="78" bestFit="1" customWidth="1"/>
    <col min="3593" max="3837" width="10.875" style="78"/>
    <col min="3838" max="3838" width="5.5" style="78" customWidth="1"/>
    <col min="3839" max="3839" width="13.375" style="78" customWidth="1"/>
    <col min="3840" max="3840" width="26.5" style="78" bestFit="1" customWidth="1"/>
    <col min="3841" max="3841" width="14.375" style="78" bestFit="1" customWidth="1"/>
    <col min="3842" max="3842" width="18.375" style="78" bestFit="1" customWidth="1"/>
    <col min="3843" max="3843" width="14.875" style="78" bestFit="1" customWidth="1"/>
    <col min="3844" max="3844" width="28.5" style="78" customWidth="1"/>
    <col min="3845" max="3845" width="18.625" style="78" bestFit="1" customWidth="1"/>
    <col min="3846" max="3847" width="14.875" style="78" bestFit="1" customWidth="1"/>
    <col min="3848" max="3848" width="15" style="78" bestFit="1" customWidth="1"/>
    <col min="3849" max="4093" width="10.875" style="78"/>
    <col min="4094" max="4094" width="5.5" style="78" customWidth="1"/>
    <col min="4095" max="4095" width="13.375" style="78" customWidth="1"/>
    <col min="4096" max="4096" width="26.5" style="78" bestFit="1" customWidth="1"/>
    <col min="4097" max="4097" width="14.375" style="78" bestFit="1" customWidth="1"/>
    <col min="4098" max="4098" width="18.375" style="78" bestFit="1" customWidth="1"/>
    <col min="4099" max="4099" width="14.875" style="78" bestFit="1" customWidth="1"/>
    <col min="4100" max="4100" width="28.5" style="78" customWidth="1"/>
    <col min="4101" max="4101" width="18.625" style="78" bestFit="1" customWidth="1"/>
    <col min="4102" max="4103" width="14.875" style="78" bestFit="1" customWidth="1"/>
    <col min="4104" max="4104" width="15" style="78" bestFit="1" customWidth="1"/>
    <col min="4105" max="4349" width="10.875" style="78"/>
    <col min="4350" max="4350" width="5.5" style="78" customWidth="1"/>
    <col min="4351" max="4351" width="13.375" style="78" customWidth="1"/>
    <col min="4352" max="4352" width="26.5" style="78" bestFit="1" customWidth="1"/>
    <col min="4353" max="4353" width="14.375" style="78" bestFit="1" customWidth="1"/>
    <col min="4354" max="4354" width="18.375" style="78" bestFit="1" customWidth="1"/>
    <col min="4355" max="4355" width="14.875" style="78" bestFit="1" customWidth="1"/>
    <col min="4356" max="4356" width="28.5" style="78" customWidth="1"/>
    <col min="4357" max="4357" width="18.625" style="78" bestFit="1" customWidth="1"/>
    <col min="4358" max="4359" width="14.875" style="78" bestFit="1" customWidth="1"/>
    <col min="4360" max="4360" width="15" style="78" bestFit="1" customWidth="1"/>
    <col min="4361" max="4605" width="10.875" style="78"/>
    <col min="4606" max="4606" width="5.5" style="78" customWidth="1"/>
    <col min="4607" max="4607" width="13.375" style="78" customWidth="1"/>
    <col min="4608" max="4608" width="26.5" style="78" bestFit="1" customWidth="1"/>
    <col min="4609" max="4609" width="14.375" style="78" bestFit="1" customWidth="1"/>
    <col min="4610" max="4610" width="18.375" style="78" bestFit="1" customWidth="1"/>
    <col min="4611" max="4611" width="14.875" style="78" bestFit="1" customWidth="1"/>
    <col min="4612" max="4612" width="28.5" style="78" customWidth="1"/>
    <col min="4613" max="4613" width="18.625" style="78" bestFit="1" customWidth="1"/>
    <col min="4614" max="4615" width="14.875" style="78" bestFit="1" customWidth="1"/>
    <col min="4616" max="4616" width="15" style="78" bestFit="1" customWidth="1"/>
    <col min="4617" max="4861" width="10.875" style="78"/>
    <col min="4862" max="4862" width="5.5" style="78" customWidth="1"/>
    <col min="4863" max="4863" width="13.375" style="78" customWidth="1"/>
    <col min="4864" max="4864" width="26.5" style="78" bestFit="1" customWidth="1"/>
    <col min="4865" max="4865" width="14.375" style="78" bestFit="1" customWidth="1"/>
    <col min="4866" max="4866" width="18.375" style="78" bestFit="1" customWidth="1"/>
    <col min="4867" max="4867" width="14.875" style="78" bestFit="1" customWidth="1"/>
    <col min="4868" max="4868" width="28.5" style="78" customWidth="1"/>
    <col min="4869" max="4869" width="18.625" style="78" bestFit="1" customWidth="1"/>
    <col min="4870" max="4871" width="14.875" style="78" bestFit="1" customWidth="1"/>
    <col min="4872" max="4872" width="15" style="78" bestFit="1" customWidth="1"/>
    <col min="4873" max="5117" width="10.875" style="78"/>
    <col min="5118" max="5118" width="5.5" style="78" customWidth="1"/>
    <col min="5119" max="5119" width="13.375" style="78" customWidth="1"/>
    <col min="5120" max="5120" width="26.5" style="78" bestFit="1" customWidth="1"/>
    <col min="5121" max="5121" width="14.375" style="78" bestFit="1" customWidth="1"/>
    <col min="5122" max="5122" width="18.375" style="78" bestFit="1" customWidth="1"/>
    <col min="5123" max="5123" width="14.875" style="78" bestFit="1" customWidth="1"/>
    <col min="5124" max="5124" width="28.5" style="78" customWidth="1"/>
    <col min="5125" max="5125" width="18.625" style="78" bestFit="1" customWidth="1"/>
    <col min="5126" max="5127" width="14.875" style="78" bestFit="1" customWidth="1"/>
    <col min="5128" max="5128" width="15" style="78" bestFit="1" customWidth="1"/>
    <col min="5129" max="5373" width="10.875" style="78"/>
    <col min="5374" max="5374" width="5.5" style="78" customWidth="1"/>
    <col min="5375" max="5375" width="13.375" style="78" customWidth="1"/>
    <col min="5376" max="5376" width="26.5" style="78" bestFit="1" customWidth="1"/>
    <col min="5377" max="5377" width="14.375" style="78" bestFit="1" customWidth="1"/>
    <col min="5378" max="5378" width="18.375" style="78" bestFit="1" customWidth="1"/>
    <col min="5379" max="5379" width="14.875" style="78" bestFit="1" customWidth="1"/>
    <col min="5380" max="5380" width="28.5" style="78" customWidth="1"/>
    <col min="5381" max="5381" width="18.625" style="78" bestFit="1" customWidth="1"/>
    <col min="5382" max="5383" width="14.875" style="78" bestFit="1" customWidth="1"/>
    <col min="5384" max="5384" width="15" style="78" bestFit="1" customWidth="1"/>
    <col min="5385" max="5629" width="10.875" style="78"/>
    <col min="5630" max="5630" width="5.5" style="78" customWidth="1"/>
    <col min="5631" max="5631" width="13.375" style="78" customWidth="1"/>
    <col min="5632" max="5632" width="26.5" style="78" bestFit="1" customWidth="1"/>
    <col min="5633" max="5633" width="14.375" style="78" bestFit="1" customWidth="1"/>
    <col min="5634" max="5634" width="18.375" style="78" bestFit="1" customWidth="1"/>
    <col min="5635" max="5635" width="14.875" style="78" bestFit="1" customWidth="1"/>
    <col min="5636" max="5636" width="28.5" style="78" customWidth="1"/>
    <col min="5637" max="5637" width="18.625" style="78" bestFit="1" customWidth="1"/>
    <col min="5638" max="5639" width="14.875" style="78" bestFit="1" customWidth="1"/>
    <col min="5640" max="5640" width="15" style="78" bestFit="1" customWidth="1"/>
    <col min="5641" max="5885" width="10.875" style="78"/>
    <col min="5886" max="5886" width="5.5" style="78" customWidth="1"/>
    <col min="5887" max="5887" width="13.375" style="78" customWidth="1"/>
    <col min="5888" max="5888" width="26.5" style="78" bestFit="1" customWidth="1"/>
    <col min="5889" max="5889" width="14.375" style="78" bestFit="1" customWidth="1"/>
    <col min="5890" max="5890" width="18.375" style="78" bestFit="1" customWidth="1"/>
    <col min="5891" max="5891" width="14.875" style="78" bestFit="1" customWidth="1"/>
    <col min="5892" max="5892" width="28.5" style="78" customWidth="1"/>
    <col min="5893" max="5893" width="18.625" style="78" bestFit="1" customWidth="1"/>
    <col min="5894" max="5895" width="14.875" style="78" bestFit="1" customWidth="1"/>
    <col min="5896" max="5896" width="15" style="78" bestFit="1" customWidth="1"/>
    <col min="5897" max="6141" width="10.875" style="78"/>
    <col min="6142" max="6142" width="5.5" style="78" customWidth="1"/>
    <col min="6143" max="6143" width="13.375" style="78" customWidth="1"/>
    <col min="6144" max="6144" width="26.5" style="78" bestFit="1" customWidth="1"/>
    <col min="6145" max="6145" width="14.375" style="78" bestFit="1" customWidth="1"/>
    <col min="6146" max="6146" width="18.375" style="78" bestFit="1" customWidth="1"/>
    <col min="6147" max="6147" width="14.875" style="78" bestFit="1" customWidth="1"/>
    <col min="6148" max="6148" width="28.5" style="78" customWidth="1"/>
    <col min="6149" max="6149" width="18.625" style="78" bestFit="1" customWidth="1"/>
    <col min="6150" max="6151" width="14.875" style="78" bestFit="1" customWidth="1"/>
    <col min="6152" max="6152" width="15" style="78" bestFit="1" customWidth="1"/>
    <col min="6153" max="6397" width="10.875" style="78"/>
    <col min="6398" max="6398" width="5.5" style="78" customWidth="1"/>
    <col min="6399" max="6399" width="13.375" style="78" customWidth="1"/>
    <col min="6400" max="6400" width="26.5" style="78" bestFit="1" customWidth="1"/>
    <col min="6401" max="6401" width="14.375" style="78" bestFit="1" customWidth="1"/>
    <col min="6402" max="6402" width="18.375" style="78" bestFit="1" customWidth="1"/>
    <col min="6403" max="6403" width="14.875" style="78" bestFit="1" customWidth="1"/>
    <col min="6404" max="6404" width="28.5" style="78" customWidth="1"/>
    <col min="6405" max="6405" width="18.625" style="78" bestFit="1" customWidth="1"/>
    <col min="6406" max="6407" width="14.875" style="78" bestFit="1" customWidth="1"/>
    <col min="6408" max="6408" width="15" style="78" bestFit="1" customWidth="1"/>
    <col min="6409" max="6653" width="10.875" style="78"/>
    <col min="6654" max="6654" width="5.5" style="78" customWidth="1"/>
    <col min="6655" max="6655" width="13.375" style="78" customWidth="1"/>
    <col min="6656" max="6656" width="26.5" style="78" bestFit="1" customWidth="1"/>
    <col min="6657" max="6657" width="14.375" style="78" bestFit="1" customWidth="1"/>
    <col min="6658" max="6658" width="18.375" style="78" bestFit="1" customWidth="1"/>
    <col min="6659" max="6659" width="14.875" style="78" bestFit="1" customWidth="1"/>
    <col min="6660" max="6660" width="28.5" style="78" customWidth="1"/>
    <col min="6661" max="6661" width="18.625" style="78" bestFit="1" customWidth="1"/>
    <col min="6662" max="6663" width="14.875" style="78" bestFit="1" customWidth="1"/>
    <col min="6664" max="6664" width="15" style="78" bestFit="1" customWidth="1"/>
    <col min="6665" max="6909" width="10.875" style="78"/>
    <col min="6910" max="6910" width="5.5" style="78" customWidth="1"/>
    <col min="6911" max="6911" width="13.375" style="78" customWidth="1"/>
    <col min="6912" max="6912" width="26.5" style="78" bestFit="1" customWidth="1"/>
    <col min="6913" max="6913" width="14.375" style="78" bestFit="1" customWidth="1"/>
    <col min="6914" max="6914" width="18.375" style="78" bestFit="1" customWidth="1"/>
    <col min="6915" max="6915" width="14.875" style="78" bestFit="1" customWidth="1"/>
    <col min="6916" max="6916" width="28.5" style="78" customWidth="1"/>
    <col min="6917" max="6917" width="18.625" style="78" bestFit="1" customWidth="1"/>
    <col min="6918" max="6919" width="14.875" style="78" bestFit="1" customWidth="1"/>
    <col min="6920" max="6920" width="15" style="78" bestFit="1" customWidth="1"/>
    <col min="6921" max="7165" width="10.875" style="78"/>
    <col min="7166" max="7166" width="5.5" style="78" customWidth="1"/>
    <col min="7167" max="7167" width="13.375" style="78" customWidth="1"/>
    <col min="7168" max="7168" width="26.5" style="78" bestFit="1" customWidth="1"/>
    <col min="7169" max="7169" width="14.375" style="78" bestFit="1" customWidth="1"/>
    <col min="7170" max="7170" width="18.375" style="78" bestFit="1" customWidth="1"/>
    <col min="7171" max="7171" width="14.875" style="78" bestFit="1" customWidth="1"/>
    <col min="7172" max="7172" width="28.5" style="78" customWidth="1"/>
    <col min="7173" max="7173" width="18.625" style="78" bestFit="1" customWidth="1"/>
    <col min="7174" max="7175" width="14.875" style="78" bestFit="1" customWidth="1"/>
    <col min="7176" max="7176" width="15" style="78" bestFit="1" customWidth="1"/>
    <col min="7177" max="7421" width="10.875" style="78"/>
    <col min="7422" max="7422" width="5.5" style="78" customWidth="1"/>
    <col min="7423" max="7423" width="13.375" style="78" customWidth="1"/>
    <col min="7424" max="7424" width="26.5" style="78" bestFit="1" customWidth="1"/>
    <col min="7425" max="7425" width="14.375" style="78" bestFit="1" customWidth="1"/>
    <col min="7426" max="7426" width="18.375" style="78" bestFit="1" customWidth="1"/>
    <col min="7427" max="7427" width="14.875" style="78" bestFit="1" customWidth="1"/>
    <col min="7428" max="7428" width="28.5" style="78" customWidth="1"/>
    <col min="7429" max="7429" width="18.625" style="78" bestFit="1" customWidth="1"/>
    <col min="7430" max="7431" width="14.875" style="78" bestFit="1" customWidth="1"/>
    <col min="7432" max="7432" width="15" style="78" bestFit="1" customWidth="1"/>
    <col min="7433" max="7677" width="10.875" style="78"/>
    <col min="7678" max="7678" width="5.5" style="78" customWidth="1"/>
    <col min="7679" max="7679" width="13.375" style="78" customWidth="1"/>
    <col min="7680" max="7680" width="26.5" style="78" bestFit="1" customWidth="1"/>
    <col min="7681" max="7681" width="14.375" style="78" bestFit="1" customWidth="1"/>
    <col min="7682" max="7682" width="18.375" style="78" bestFit="1" customWidth="1"/>
    <col min="7683" max="7683" width="14.875" style="78" bestFit="1" customWidth="1"/>
    <col min="7684" max="7684" width="28.5" style="78" customWidth="1"/>
    <col min="7685" max="7685" width="18.625" style="78" bestFit="1" customWidth="1"/>
    <col min="7686" max="7687" width="14.875" style="78" bestFit="1" customWidth="1"/>
    <col min="7688" max="7688" width="15" style="78" bestFit="1" customWidth="1"/>
    <col min="7689" max="7933" width="10.875" style="78"/>
    <col min="7934" max="7934" width="5.5" style="78" customWidth="1"/>
    <col min="7935" max="7935" width="13.375" style="78" customWidth="1"/>
    <col min="7936" max="7936" width="26.5" style="78" bestFit="1" customWidth="1"/>
    <col min="7937" max="7937" width="14.375" style="78" bestFit="1" customWidth="1"/>
    <col min="7938" max="7938" width="18.375" style="78" bestFit="1" customWidth="1"/>
    <col min="7939" max="7939" width="14.875" style="78" bestFit="1" customWidth="1"/>
    <col min="7940" max="7940" width="28.5" style="78" customWidth="1"/>
    <col min="7941" max="7941" width="18.625" style="78" bestFit="1" customWidth="1"/>
    <col min="7942" max="7943" width="14.875" style="78" bestFit="1" customWidth="1"/>
    <col min="7944" max="7944" width="15" style="78" bestFit="1" customWidth="1"/>
    <col min="7945" max="8189" width="10.875" style="78"/>
    <col min="8190" max="8190" width="5.5" style="78" customWidth="1"/>
    <col min="8191" max="8191" width="13.375" style="78" customWidth="1"/>
    <col min="8192" max="8192" width="26.5" style="78" bestFit="1" customWidth="1"/>
    <col min="8193" max="8193" width="14.375" style="78" bestFit="1" customWidth="1"/>
    <col min="8194" max="8194" width="18.375" style="78" bestFit="1" customWidth="1"/>
    <col min="8195" max="8195" width="14.875" style="78" bestFit="1" customWidth="1"/>
    <col min="8196" max="8196" width="28.5" style="78" customWidth="1"/>
    <col min="8197" max="8197" width="18.625" style="78" bestFit="1" customWidth="1"/>
    <col min="8198" max="8199" width="14.875" style="78" bestFit="1" customWidth="1"/>
    <col min="8200" max="8200" width="15" style="78" bestFit="1" customWidth="1"/>
    <col min="8201" max="8445" width="10.875" style="78"/>
    <col min="8446" max="8446" width="5.5" style="78" customWidth="1"/>
    <col min="8447" max="8447" width="13.375" style="78" customWidth="1"/>
    <col min="8448" max="8448" width="26.5" style="78" bestFit="1" customWidth="1"/>
    <col min="8449" max="8449" width="14.375" style="78" bestFit="1" customWidth="1"/>
    <col min="8450" max="8450" width="18.375" style="78" bestFit="1" customWidth="1"/>
    <col min="8451" max="8451" width="14.875" style="78" bestFit="1" customWidth="1"/>
    <col min="8452" max="8452" width="28.5" style="78" customWidth="1"/>
    <col min="8453" max="8453" width="18.625" style="78" bestFit="1" customWidth="1"/>
    <col min="8454" max="8455" width="14.875" style="78" bestFit="1" customWidth="1"/>
    <col min="8456" max="8456" width="15" style="78" bestFit="1" customWidth="1"/>
    <col min="8457" max="8701" width="10.875" style="78"/>
    <col min="8702" max="8702" width="5.5" style="78" customWidth="1"/>
    <col min="8703" max="8703" width="13.375" style="78" customWidth="1"/>
    <col min="8704" max="8704" width="26.5" style="78" bestFit="1" customWidth="1"/>
    <col min="8705" max="8705" width="14.375" style="78" bestFit="1" customWidth="1"/>
    <col min="8706" max="8706" width="18.375" style="78" bestFit="1" customWidth="1"/>
    <col min="8707" max="8707" width="14.875" style="78" bestFit="1" customWidth="1"/>
    <col min="8708" max="8708" width="28.5" style="78" customWidth="1"/>
    <col min="8709" max="8709" width="18.625" style="78" bestFit="1" customWidth="1"/>
    <col min="8710" max="8711" width="14.875" style="78" bestFit="1" customWidth="1"/>
    <col min="8712" max="8712" width="15" style="78" bestFit="1" customWidth="1"/>
    <col min="8713" max="8957" width="10.875" style="78"/>
    <col min="8958" max="8958" width="5.5" style="78" customWidth="1"/>
    <col min="8959" max="8959" width="13.375" style="78" customWidth="1"/>
    <col min="8960" max="8960" width="26.5" style="78" bestFit="1" customWidth="1"/>
    <col min="8961" max="8961" width="14.375" style="78" bestFit="1" customWidth="1"/>
    <col min="8962" max="8962" width="18.375" style="78" bestFit="1" customWidth="1"/>
    <col min="8963" max="8963" width="14.875" style="78" bestFit="1" customWidth="1"/>
    <col min="8964" max="8964" width="28.5" style="78" customWidth="1"/>
    <col min="8965" max="8965" width="18.625" style="78" bestFit="1" customWidth="1"/>
    <col min="8966" max="8967" width="14.875" style="78" bestFit="1" customWidth="1"/>
    <col min="8968" max="8968" width="15" style="78" bestFit="1" customWidth="1"/>
    <col min="8969" max="9213" width="10.875" style="78"/>
    <col min="9214" max="9214" width="5.5" style="78" customWidth="1"/>
    <col min="9215" max="9215" width="13.375" style="78" customWidth="1"/>
    <col min="9216" max="9216" width="26.5" style="78" bestFit="1" customWidth="1"/>
    <col min="9217" max="9217" width="14.375" style="78" bestFit="1" customWidth="1"/>
    <col min="9218" max="9218" width="18.375" style="78" bestFit="1" customWidth="1"/>
    <col min="9219" max="9219" width="14.875" style="78" bestFit="1" customWidth="1"/>
    <col min="9220" max="9220" width="28.5" style="78" customWidth="1"/>
    <col min="9221" max="9221" width="18.625" style="78" bestFit="1" customWidth="1"/>
    <col min="9222" max="9223" width="14.875" style="78" bestFit="1" customWidth="1"/>
    <col min="9224" max="9224" width="15" style="78" bestFit="1" customWidth="1"/>
    <col min="9225" max="9469" width="10.875" style="78"/>
    <col min="9470" max="9470" width="5.5" style="78" customWidth="1"/>
    <col min="9471" max="9471" width="13.375" style="78" customWidth="1"/>
    <col min="9472" max="9472" width="26.5" style="78" bestFit="1" customWidth="1"/>
    <col min="9473" max="9473" width="14.375" style="78" bestFit="1" customWidth="1"/>
    <col min="9474" max="9474" width="18.375" style="78" bestFit="1" customWidth="1"/>
    <col min="9475" max="9475" width="14.875" style="78" bestFit="1" customWidth="1"/>
    <col min="9476" max="9476" width="28.5" style="78" customWidth="1"/>
    <col min="9477" max="9477" width="18.625" style="78" bestFit="1" customWidth="1"/>
    <col min="9478" max="9479" width="14.875" style="78" bestFit="1" customWidth="1"/>
    <col min="9480" max="9480" width="15" style="78" bestFit="1" customWidth="1"/>
    <col min="9481" max="9725" width="10.875" style="78"/>
    <col min="9726" max="9726" width="5.5" style="78" customWidth="1"/>
    <col min="9727" max="9727" width="13.375" style="78" customWidth="1"/>
    <col min="9728" max="9728" width="26.5" style="78" bestFit="1" customWidth="1"/>
    <col min="9729" max="9729" width="14.375" style="78" bestFit="1" customWidth="1"/>
    <col min="9730" max="9730" width="18.375" style="78" bestFit="1" customWidth="1"/>
    <col min="9731" max="9731" width="14.875" style="78" bestFit="1" customWidth="1"/>
    <col min="9732" max="9732" width="28.5" style="78" customWidth="1"/>
    <col min="9733" max="9733" width="18.625" style="78" bestFit="1" customWidth="1"/>
    <col min="9734" max="9735" width="14.875" style="78" bestFit="1" customWidth="1"/>
    <col min="9736" max="9736" width="15" style="78" bestFit="1" customWidth="1"/>
    <col min="9737" max="9981" width="10.875" style="78"/>
    <col min="9982" max="9982" width="5.5" style="78" customWidth="1"/>
    <col min="9983" max="9983" width="13.375" style="78" customWidth="1"/>
    <col min="9984" max="9984" width="26.5" style="78" bestFit="1" customWidth="1"/>
    <col min="9985" max="9985" width="14.375" style="78" bestFit="1" customWidth="1"/>
    <col min="9986" max="9986" width="18.375" style="78" bestFit="1" customWidth="1"/>
    <col min="9987" max="9987" width="14.875" style="78" bestFit="1" customWidth="1"/>
    <col min="9988" max="9988" width="28.5" style="78" customWidth="1"/>
    <col min="9989" max="9989" width="18.625" style="78" bestFit="1" customWidth="1"/>
    <col min="9990" max="9991" width="14.875" style="78" bestFit="1" customWidth="1"/>
    <col min="9992" max="9992" width="15" style="78" bestFit="1" customWidth="1"/>
    <col min="9993" max="10237" width="10.875" style="78"/>
    <col min="10238" max="10238" width="5.5" style="78" customWidth="1"/>
    <col min="10239" max="10239" width="13.375" style="78" customWidth="1"/>
    <col min="10240" max="10240" width="26.5" style="78" bestFit="1" customWidth="1"/>
    <col min="10241" max="10241" width="14.375" style="78" bestFit="1" customWidth="1"/>
    <col min="10242" max="10242" width="18.375" style="78" bestFit="1" customWidth="1"/>
    <col min="10243" max="10243" width="14.875" style="78" bestFit="1" customWidth="1"/>
    <col min="10244" max="10244" width="28.5" style="78" customWidth="1"/>
    <col min="10245" max="10245" width="18.625" style="78" bestFit="1" customWidth="1"/>
    <col min="10246" max="10247" width="14.875" style="78" bestFit="1" customWidth="1"/>
    <col min="10248" max="10248" width="15" style="78" bestFit="1" customWidth="1"/>
    <col min="10249" max="10493" width="10.875" style="78"/>
    <col min="10494" max="10494" width="5.5" style="78" customWidth="1"/>
    <col min="10495" max="10495" width="13.375" style="78" customWidth="1"/>
    <col min="10496" max="10496" width="26.5" style="78" bestFit="1" customWidth="1"/>
    <col min="10497" max="10497" width="14.375" style="78" bestFit="1" customWidth="1"/>
    <col min="10498" max="10498" width="18.375" style="78" bestFit="1" customWidth="1"/>
    <col min="10499" max="10499" width="14.875" style="78" bestFit="1" customWidth="1"/>
    <col min="10500" max="10500" width="28.5" style="78" customWidth="1"/>
    <col min="10501" max="10501" width="18.625" style="78" bestFit="1" customWidth="1"/>
    <col min="10502" max="10503" width="14.875" style="78" bestFit="1" customWidth="1"/>
    <col min="10504" max="10504" width="15" style="78" bestFit="1" customWidth="1"/>
    <col min="10505" max="10749" width="10.875" style="78"/>
    <col min="10750" max="10750" width="5.5" style="78" customWidth="1"/>
    <col min="10751" max="10751" width="13.375" style="78" customWidth="1"/>
    <col min="10752" max="10752" width="26.5" style="78" bestFit="1" customWidth="1"/>
    <col min="10753" max="10753" width="14.375" style="78" bestFit="1" customWidth="1"/>
    <col min="10754" max="10754" width="18.375" style="78" bestFit="1" customWidth="1"/>
    <col min="10755" max="10755" width="14.875" style="78" bestFit="1" customWidth="1"/>
    <col min="10756" max="10756" width="28.5" style="78" customWidth="1"/>
    <col min="10757" max="10757" width="18.625" style="78" bestFit="1" customWidth="1"/>
    <col min="10758" max="10759" width="14.875" style="78" bestFit="1" customWidth="1"/>
    <col min="10760" max="10760" width="15" style="78" bestFit="1" customWidth="1"/>
    <col min="10761" max="11005" width="10.875" style="78"/>
    <col min="11006" max="11006" width="5.5" style="78" customWidth="1"/>
    <col min="11007" max="11007" width="13.375" style="78" customWidth="1"/>
    <col min="11008" max="11008" width="26.5" style="78" bestFit="1" customWidth="1"/>
    <col min="11009" max="11009" width="14.375" style="78" bestFit="1" customWidth="1"/>
    <col min="11010" max="11010" width="18.375" style="78" bestFit="1" customWidth="1"/>
    <col min="11011" max="11011" width="14.875" style="78" bestFit="1" customWidth="1"/>
    <col min="11012" max="11012" width="28.5" style="78" customWidth="1"/>
    <col min="11013" max="11013" width="18.625" style="78" bestFit="1" customWidth="1"/>
    <col min="11014" max="11015" width="14.875" style="78" bestFit="1" customWidth="1"/>
    <col min="11016" max="11016" width="15" style="78" bestFit="1" customWidth="1"/>
    <col min="11017" max="11261" width="10.875" style="78"/>
    <col min="11262" max="11262" width="5.5" style="78" customWidth="1"/>
    <col min="11263" max="11263" width="13.375" style="78" customWidth="1"/>
    <col min="11264" max="11264" width="26.5" style="78" bestFit="1" customWidth="1"/>
    <col min="11265" max="11265" width="14.375" style="78" bestFit="1" customWidth="1"/>
    <col min="11266" max="11266" width="18.375" style="78" bestFit="1" customWidth="1"/>
    <col min="11267" max="11267" width="14.875" style="78" bestFit="1" customWidth="1"/>
    <col min="11268" max="11268" width="28.5" style="78" customWidth="1"/>
    <col min="11269" max="11269" width="18.625" style="78" bestFit="1" customWidth="1"/>
    <col min="11270" max="11271" width="14.875" style="78" bestFit="1" customWidth="1"/>
    <col min="11272" max="11272" width="15" style="78" bestFit="1" customWidth="1"/>
    <col min="11273" max="11517" width="10.875" style="78"/>
    <col min="11518" max="11518" width="5.5" style="78" customWidth="1"/>
    <col min="11519" max="11519" width="13.375" style="78" customWidth="1"/>
    <col min="11520" max="11520" width="26.5" style="78" bestFit="1" customWidth="1"/>
    <col min="11521" max="11521" width="14.375" style="78" bestFit="1" customWidth="1"/>
    <col min="11522" max="11522" width="18.375" style="78" bestFit="1" customWidth="1"/>
    <col min="11523" max="11523" width="14.875" style="78" bestFit="1" customWidth="1"/>
    <col min="11524" max="11524" width="28.5" style="78" customWidth="1"/>
    <col min="11525" max="11525" width="18.625" style="78" bestFit="1" customWidth="1"/>
    <col min="11526" max="11527" width="14.875" style="78" bestFit="1" customWidth="1"/>
    <col min="11528" max="11528" width="15" style="78" bestFit="1" customWidth="1"/>
    <col min="11529" max="11773" width="10.875" style="78"/>
    <col min="11774" max="11774" width="5.5" style="78" customWidth="1"/>
    <col min="11775" max="11775" width="13.375" style="78" customWidth="1"/>
    <col min="11776" max="11776" width="26.5" style="78" bestFit="1" customWidth="1"/>
    <col min="11777" max="11777" width="14.375" style="78" bestFit="1" customWidth="1"/>
    <col min="11778" max="11778" width="18.375" style="78" bestFit="1" customWidth="1"/>
    <col min="11779" max="11779" width="14.875" style="78" bestFit="1" customWidth="1"/>
    <col min="11780" max="11780" width="28.5" style="78" customWidth="1"/>
    <col min="11781" max="11781" width="18.625" style="78" bestFit="1" customWidth="1"/>
    <col min="11782" max="11783" width="14.875" style="78" bestFit="1" customWidth="1"/>
    <col min="11784" max="11784" width="15" style="78" bestFit="1" customWidth="1"/>
    <col min="11785" max="12029" width="10.875" style="78"/>
    <col min="12030" max="12030" width="5.5" style="78" customWidth="1"/>
    <col min="12031" max="12031" width="13.375" style="78" customWidth="1"/>
    <col min="12032" max="12032" width="26.5" style="78" bestFit="1" customWidth="1"/>
    <col min="12033" max="12033" width="14.375" style="78" bestFit="1" customWidth="1"/>
    <col min="12034" max="12034" width="18.375" style="78" bestFit="1" customWidth="1"/>
    <col min="12035" max="12035" width="14.875" style="78" bestFit="1" customWidth="1"/>
    <col min="12036" max="12036" width="28.5" style="78" customWidth="1"/>
    <col min="12037" max="12037" width="18.625" style="78" bestFit="1" customWidth="1"/>
    <col min="12038" max="12039" width="14.875" style="78" bestFit="1" customWidth="1"/>
    <col min="12040" max="12040" width="15" style="78" bestFit="1" customWidth="1"/>
    <col min="12041" max="12285" width="10.875" style="78"/>
    <col min="12286" max="12286" width="5.5" style="78" customWidth="1"/>
    <col min="12287" max="12287" width="13.375" style="78" customWidth="1"/>
    <col min="12288" max="12288" width="26.5" style="78" bestFit="1" customWidth="1"/>
    <col min="12289" max="12289" width="14.375" style="78" bestFit="1" customWidth="1"/>
    <col min="12290" max="12290" width="18.375" style="78" bestFit="1" customWidth="1"/>
    <col min="12291" max="12291" width="14.875" style="78" bestFit="1" customWidth="1"/>
    <col min="12292" max="12292" width="28.5" style="78" customWidth="1"/>
    <col min="12293" max="12293" width="18.625" style="78" bestFit="1" customWidth="1"/>
    <col min="12294" max="12295" width="14.875" style="78" bestFit="1" customWidth="1"/>
    <col min="12296" max="12296" width="15" style="78" bestFit="1" customWidth="1"/>
    <col min="12297" max="12541" width="10.875" style="78"/>
    <col min="12542" max="12542" width="5.5" style="78" customWidth="1"/>
    <col min="12543" max="12543" width="13.375" style="78" customWidth="1"/>
    <col min="12544" max="12544" width="26.5" style="78" bestFit="1" customWidth="1"/>
    <col min="12545" max="12545" width="14.375" style="78" bestFit="1" customWidth="1"/>
    <col min="12546" max="12546" width="18.375" style="78" bestFit="1" customWidth="1"/>
    <col min="12547" max="12547" width="14.875" style="78" bestFit="1" customWidth="1"/>
    <col min="12548" max="12548" width="28.5" style="78" customWidth="1"/>
    <col min="12549" max="12549" width="18.625" style="78" bestFit="1" customWidth="1"/>
    <col min="12550" max="12551" width="14.875" style="78" bestFit="1" customWidth="1"/>
    <col min="12552" max="12552" width="15" style="78" bestFit="1" customWidth="1"/>
    <col min="12553" max="12797" width="10.875" style="78"/>
    <col min="12798" max="12798" width="5.5" style="78" customWidth="1"/>
    <col min="12799" max="12799" width="13.375" style="78" customWidth="1"/>
    <col min="12800" max="12800" width="26.5" style="78" bestFit="1" customWidth="1"/>
    <col min="12801" max="12801" width="14.375" style="78" bestFit="1" customWidth="1"/>
    <col min="12802" max="12802" width="18.375" style="78" bestFit="1" customWidth="1"/>
    <col min="12803" max="12803" width="14.875" style="78" bestFit="1" customWidth="1"/>
    <col min="12804" max="12804" width="28.5" style="78" customWidth="1"/>
    <col min="12805" max="12805" width="18.625" style="78" bestFit="1" customWidth="1"/>
    <col min="12806" max="12807" width="14.875" style="78" bestFit="1" customWidth="1"/>
    <col min="12808" max="12808" width="15" style="78" bestFit="1" customWidth="1"/>
    <col min="12809" max="13053" width="10.875" style="78"/>
    <col min="13054" max="13054" width="5.5" style="78" customWidth="1"/>
    <col min="13055" max="13055" width="13.375" style="78" customWidth="1"/>
    <col min="13056" max="13056" width="26.5" style="78" bestFit="1" customWidth="1"/>
    <col min="13057" max="13057" width="14.375" style="78" bestFit="1" customWidth="1"/>
    <col min="13058" max="13058" width="18.375" style="78" bestFit="1" customWidth="1"/>
    <col min="13059" max="13059" width="14.875" style="78" bestFit="1" customWidth="1"/>
    <col min="13060" max="13060" width="28.5" style="78" customWidth="1"/>
    <col min="13061" max="13061" width="18.625" style="78" bestFit="1" customWidth="1"/>
    <col min="13062" max="13063" width="14.875" style="78" bestFit="1" customWidth="1"/>
    <col min="13064" max="13064" width="15" style="78" bestFit="1" customWidth="1"/>
    <col min="13065" max="13309" width="10.875" style="78"/>
    <col min="13310" max="13310" width="5.5" style="78" customWidth="1"/>
    <col min="13311" max="13311" width="13.375" style="78" customWidth="1"/>
    <col min="13312" max="13312" width="26.5" style="78" bestFit="1" customWidth="1"/>
    <col min="13313" max="13313" width="14.375" style="78" bestFit="1" customWidth="1"/>
    <col min="13314" max="13314" width="18.375" style="78" bestFit="1" customWidth="1"/>
    <col min="13315" max="13315" width="14.875" style="78" bestFit="1" customWidth="1"/>
    <col min="13316" max="13316" width="28.5" style="78" customWidth="1"/>
    <col min="13317" max="13317" width="18.625" style="78" bestFit="1" customWidth="1"/>
    <col min="13318" max="13319" width="14.875" style="78" bestFit="1" customWidth="1"/>
    <col min="13320" max="13320" width="15" style="78" bestFit="1" customWidth="1"/>
    <col min="13321" max="13565" width="10.875" style="78"/>
    <col min="13566" max="13566" width="5.5" style="78" customWidth="1"/>
    <col min="13567" max="13567" width="13.375" style="78" customWidth="1"/>
    <col min="13568" max="13568" width="26.5" style="78" bestFit="1" customWidth="1"/>
    <col min="13569" max="13569" width="14.375" style="78" bestFit="1" customWidth="1"/>
    <col min="13570" max="13570" width="18.375" style="78" bestFit="1" customWidth="1"/>
    <col min="13571" max="13571" width="14.875" style="78" bestFit="1" customWidth="1"/>
    <col min="13572" max="13572" width="28.5" style="78" customWidth="1"/>
    <col min="13573" max="13573" width="18.625" style="78" bestFit="1" customWidth="1"/>
    <col min="13574" max="13575" width="14.875" style="78" bestFit="1" customWidth="1"/>
    <col min="13576" max="13576" width="15" style="78" bestFit="1" customWidth="1"/>
    <col min="13577" max="13821" width="10.875" style="78"/>
    <col min="13822" max="13822" width="5.5" style="78" customWidth="1"/>
    <col min="13823" max="13823" width="13.375" style="78" customWidth="1"/>
    <col min="13824" max="13824" width="26.5" style="78" bestFit="1" customWidth="1"/>
    <col min="13825" max="13825" width="14.375" style="78" bestFit="1" customWidth="1"/>
    <col min="13826" max="13826" width="18.375" style="78" bestFit="1" customWidth="1"/>
    <col min="13827" max="13827" width="14.875" style="78" bestFit="1" customWidth="1"/>
    <col min="13828" max="13828" width="28.5" style="78" customWidth="1"/>
    <col min="13829" max="13829" width="18.625" style="78" bestFit="1" customWidth="1"/>
    <col min="13830" max="13831" width="14.875" style="78" bestFit="1" customWidth="1"/>
    <col min="13832" max="13832" width="15" style="78" bestFit="1" customWidth="1"/>
    <col min="13833" max="14077" width="10.875" style="78"/>
    <col min="14078" max="14078" width="5.5" style="78" customWidth="1"/>
    <col min="14079" max="14079" width="13.375" style="78" customWidth="1"/>
    <col min="14080" max="14080" width="26.5" style="78" bestFit="1" customWidth="1"/>
    <col min="14081" max="14081" width="14.375" style="78" bestFit="1" customWidth="1"/>
    <col min="14082" max="14082" width="18.375" style="78" bestFit="1" customWidth="1"/>
    <col min="14083" max="14083" width="14.875" style="78" bestFit="1" customWidth="1"/>
    <col min="14084" max="14084" width="28.5" style="78" customWidth="1"/>
    <col min="14085" max="14085" width="18.625" style="78" bestFit="1" customWidth="1"/>
    <col min="14086" max="14087" width="14.875" style="78" bestFit="1" customWidth="1"/>
    <col min="14088" max="14088" width="15" style="78" bestFit="1" customWidth="1"/>
    <col min="14089" max="14333" width="10.875" style="78"/>
    <col min="14334" max="14334" width="5.5" style="78" customWidth="1"/>
    <col min="14335" max="14335" width="13.375" style="78" customWidth="1"/>
    <col min="14336" max="14336" width="26.5" style="78" bestFit="1" customWidth="1"/>
    <col min="14337" max="14337" width="14.375" style="78" bestFit="1" customWidth="1"/>
    <col min="14338" max="14338" width="18.375" style="78" bestFit="1" customWidth="1"/>
    <col min="14339" max="14339" width="14.875" style="78" bestFit="1" customWidth="1"/>
    <col min="14340" max="14340" width="28.5" style="78" customWidth="1"/>
    <col min="14341" max="14341" width="18.625" style="78" bestFit="1" customWidth="1"/>
    <col min="14342" max="14343" width="14.875" style="78" bestFit="1" customWidth="1"/>
    <col min="14344" max="14344" width="15" style="78" bestFit="1" customWidth="1"/>
    <col min="14345" max="14589" width="10.875" style="78"/>
    <col min="14590" max="14590" width="5.5" style="78" customWidth="1"/>
    <col min="14591" max="14591" width="13.375" style="78" customWidth="1"/>
    <col min="14592" max="14592" width="26.5" style="78" bestFit="1" customWidth="1"/>
    <col min="14593" max="14593" width="14.375" style="78" bestFit="1" customWidth="1"/>
    <col min="14594" max="14594" width="18.375" style="78" bestFit="1" customWidth="1"/>
    <col min="14595" max="14595" width="14.875" style="78" bestFit="1" customWidth="1"/>
    <col min="14596" max="14596" width="28.5" style="78" customWidth="1"/>
    <col min="14597" max="14597" width="18.625" style="78" bestFit="1" customWidth="1"/>
    <col min="14598" max="14599" width="14.875" style="78" bestFit="1" customWidth="1"/>
    <col min="14600" max="14600" width="15" style="78" bestFit="1" customWidth="1"/>
    <col min="14601" max="14845" width="10.875" style="78"/>
    <col min="14846" max="14846" width="5.5" style="78" customWidth="1"/>
    <col min="14847" max="14847" width="13.375" style="78" customWidth="1"/>
    <col min="14848" max="14848" width="26.5" style="78" bestFit="1" customWidth="1"/>
    <col min="14849" max="14849" width="14.375" style="78" bestFit="1" customWidth="1"/>
    <col min="14850" max="14850" width="18.375" style="78" bestFit="1" customWidth="1"/>
    <col min="14851" max="14851" width="14.875" style="78" bestFit="1" customWidth="1"/>
    <col min="14852" max="14852" width="28.5" style="78" customWidth="1"/>
    <col min="14853" max="14853" width="18.625" style="78" bestFit="1" customWidth="1"/>
    <col min="14854" max="14855" width="14.875" style="78" bestFit="1" customWidth="1"/>
    <col min="14856" max="14856" width="15" style="78" bestFit="1" customWidth="1"/>
    <col min="14857" max="15101" width="10.875" style="78"/>
    <col min="15102" max="15102" width="5.5" style="78" customWidth="1"/>
    <col min="15103" max="15103" width="13.375" style="78" customWidth="1"/>
    <col min="15104" max="15104" width="26.5" style="78" bestFit="1" customWidth="1"/>
    <col min="15105" max="15105" width="14.375" style="78" bestFit="1" customWidth="1"/>
    <col min="15106" max="15106" width="18.375" style="78" bestFit="1" customWidth="1"/>
    <col min="15107" max="15107" width="14.875" style="78" bestFit="1" customWidth="1"/>
    <col min="15108" max="15108" width="28.5" style="78" customWidth="1"/>
    <col min="15109" max="15109" width="18.625" style="78" bestFit="1" customWidth="1"/>
    <col min="15110" max="15111" width="14.875" style="78" bestFit="1" customWidth="1"/>
    <col min="15112" max="15112" width="15" style="78" bestFit="1" customWidth="1"/>
    <col min="15113" max="15357" width="10.875" style="78"/>
    <col min="15358" max="15358" width="5.5" style="78" customWidth="1"/>
    <col min="15359" max="15359" width="13.375" style="78" customWidth="1"/>
    <col min="15360" max="15360" width="26.5" style="78" bestFit="1" customWidth="1"/>
    <col min="15361" max="15361" width="14.375" style="78" bestFit="1" customWidth="1"/>
    <col min="15362" max="15362" width="18.375" style="78" bestFit="1" customWidth="1"/>
    <col min="15363" max="15363" width="14.875" style="78" bestFit="1" customWidth="1"/>
    <col min="15364" max="15364" width="28.5" style="78" customWidth="1"/>
    <col min="15365" max="15365" width="18.625" style="78" bestFit="1" customWidth="1"/>
    <col min="15366" max="15367" width="14.875" style="78" bestFit="1" customWidth="1"/>
    <col min="15368" max="15368" width="15" style="78" bestFit="1" customWidth="1"/>
    <col min="15369" max="15613" width="10.875" style="78"/>
    <col min="15614" max="15614" width="5.5" style="78" customWidth="1"/>
    <col min="15615" max="15615" width="13.375" style="78" customWidth="1"/>
    <col min="15616" max="15616" width="26.5" style="78" bestFit="1" customWidth="1"/>
    <col min="15617" max="15617" width="14.375" style="78" bestFit="1" customWidth="1"/>
    <col min="15618" max="15618" width="18.375" style="78" bestFit="1" customWidth="1"/>
    <col min="15619" max="15619" width="14.875" style="78" bestFit="1" customWidth="1"/>
    <col min="15620" max="15620" width="28.5" style="78" customWidth="1"/>
    <col min="15621" max="15621" width="18.625" style="78" bestFit="1" customWidth="1"/>
    <col min="15622" max="15623" width="14.875" style="78" bestFit="1" customWidth="1"/>
    <col min="15624" max="15624" width="15" style="78" bestFit="1" customWidth="1"/>
    <col min="15625" max="15869" width="10.875" style="78"/>
    <col min="15870" max="15870" width="5.5" style="78" customWidth="1"/>
    <col min="15871" max="15871" width="13.375" style="78" customWidth="1"/>
    <col min="15872" max="15872" width="26.5" style="78" bestFit="1" customWidth="1"/>
    <col min="15873" max="15873" width="14.375" style="78" bestFit="1" customWidth="1"/>
    <col min="15874" max="15874" width="18.375" style="78" bestFit="1" customWidth="1"/>
    <col min="15875" max="15875" width="14.875" style="78" bestFit="1" customWidth="1"/>
    <col min="15876" max="15876" width="28.5" style="78" customWidth="1"/>
    <col min="15877" max="15877" width="18.625" style="78" bestFit="1" customWidth="1"/>
    <col min="15878" max="15879" width="14.875" style="78" bestFit="1" customWidth="1"/>
    <col min="15880" max="15880" width="15" style="78" bestFit="1" customWidth="1"/>
    <col min="15881" max="16125" width="10.875" style="78"/>
    <col min="16126" max="16126" width="5.5" style="78" customWidth="1"/>
    <col min="16127" max="16127" width="13.375" style="78" customWidth="1"/>
    <col min="16128" max="16128" width="26.5" style="78" bestFit="1" customWidth="1"/>
    <col min="16129" max="16129" width="14.375" style="78" bestFit="1" customWidth="1"/>
    <col min="16130" max="16130" width="18.375" style="78" bestFit="1" customWidth="1"/>
    <col min="16131" max="16131" width="14.875" style="78" bestFit="1" customWidth="1"/>
    <col min="16132" max="16132" width="28.5" style="78" customWidth="1"/>
    <col min="16133" max="16133" width="18.625" style="78" bestFit="1" customWidth="1"/>
    <col min="16134" max="16135" width="14.875" style="78" bestFit="1" customWidth="1"/>
    <col min="16136" max="16136" width="15" style="78" bestFit="1" customWidth="1"/>
    <col min="16137" max="16384" width="10.875" style="78"/>
  </cols>
  <sheetData>
    <row r="1" spans="1:8" ht="18">
      <c r="A1" s="497" t="s">
        <v>765</v>
      </c>
      <c r="B1" s="497"/>
      <c r="C1" s="497"/>
      <c r="D1" s="497"/>
      <c r="E1" s="497"/>
      <c r="F1" s="497"/>
      <c r="G1" s="497"/>
      <c r="H1" s="497"/>
    </row>
    <row r="2" spans="1:8">
      <c r="A2" s="498" t="s">
        <v>347</v>
      </c>
      <c r="B2" s="498"/>
      <c r="C2" s="498"/>
      <c r="D2" s="498"/>
      <c r="E2" s="84"/>
      <c r="F2" s="499" t="s">
        <v>355</v>
      </c>
      <c r="G2" s="499"/>
      <c r="H2" s="499"/>
    </row>
    <row r="3" spans="1:8">
      <c r="A3" s="79"/>
      <c r="B3" s="79"/>
      <c r="C3" s="95"/>
      <c r="D3" s="96"/>
      <c r="E3" s="84"/>
      <c r="F3" s="85"/>
      <c r="G3" s="85"/>
      <c r="H3" s="102"/>
    </row>
    <row r="4" spans="1:8">
      <c r="A4" s="86"/>
      <c r="B4" s="86" t="s">
        <v>349</v>
      </c>
      <c r="C4" s="97" t="s">
        <v>350</v>
      </c>
      <c r="D4" s="98" t="s">
        <v>351</v>
      </c>
      <c r="E4" s="88"/>
      <c r="F4" s="87" t="s">
        <v>356</v>
      </c>
      <c r="G4" s="87" t="s">
        <v>357</v>
      </c>
      <c r="H4" s="98" t="s">
        <v>358</v>
      </c>
    </row>
    <row r="5" spans="1:8">
      <c r="A5" s="89" t="s">
        <v>940</v>
      </c>
      <c r="B5" s="89" t="s">
        <v>940</v>
      </c>
      <c r="C5" s="99">
        <v>111349</v>
      </c>
      <c r="D5" s="100">
        <v>39877020.710000001</v>
      </c>
      <c r="E5" s="91"/>
      <c r="F5" s="90" t="s">
        <v>951</v>
      </c>
      <c r="G5" s="90" t="s">
        <v>951</v>
      </c>
      <c r="H5" s="109">
        <v>16451173</v>
      </c>
    </row>
    <row r="6" spans="1:8">
      <c r="A6" s="89" t="s">
        <v>941</v>
      </c>
      <c r="B6" s="89" t="s">
        <v>941</v>
      </c>
      <c r="C6" s="99">
        <v>6090</v>
      </c>
      <c r="D6" s="100">
        <v>33488097.82</v>
      </c>
      <c r="E6" s="91"/>
      <c r="F6" s="90" t="s">
        <v>952</v>
      </c>
      <c r="G6" s="90" t="s">
        <v>952</v>
      </c>
      <c r="H6" s="109">
        <v>255433892</v>
      </c>
    </row>
    <row r="7" spans="1:8">
      <c r="A7" s="89" t="s">
        <v>942</v>
      </c>
      <c r="B7" s="89" t="s">
        <v>942</v>
      </c>
      <c r="C7" s="99">
        <v>8350</v>
      </c>
      <c r="D7" s="100">
        <v>28740700</v>
      </c>
      <c r="E7" s="82"/>
      <c r="F7" s="90" t="s">
        <v>953</v>
      </c>
      <c r="G7" s="90" t="s">
        <v>953</v>
      </c>
      <c r="H7" s="109">
        <v>215611451</v>
      </c>
    </row>
    <row r="8" spans="1:8">
      <c r="A8" s="89" t="s">
        <v>943</v>
      </c>
      <c r="B8" s="89" t="s">
        <v>943</v>
      </c>
      <c r="C8" s="99">
        <v>23534</v>
      </c>
      <c r="D8" s="100">
        <v>52877852.700000003</v>
      </c>
      <c r="E8" s="91"/>
      <c r="F8" s="90" t="s">
        <v>954</v>
      </c>
      <c r="G8" s="90" t="s">
        <v>954</v>
      </c>
      <c r="H8" s="109">
        <v>13165975</v>
      </c>
    </row>
    <row r="9" spans="1:8">
      <c r="A9" s="89" t="s">
        <v>944</v>
      </c>
      <c r="B9" s="89" t="s">
        <v>944</v>
      </c>
      <c r="C9" s="99">
        <v>6949.72</v>
      </c>
      <c r="D9" s="100">
        <v>15979934.73</v>
      </c>
      <c r="E9" s="91"/>
      <c r="F9" s="90" t="s">
        <v>955</v>
      </c>
      <c r="G9" s="90" t="s">
        <v>955</v>
      </c>
      <c r="H9" s="109">
        <v>16362871.369999999</v>
      </c>
    </row>
    <row r="10" spans="1:8">
      <c r="A10" s="89" t="s">
        <v>945</v>
      </c>
      <c r="B10" s="89" t="s">
        <v>945</v>
      </c>
      <c r="C10" s="99">
        <v>2500</v>
      </c>
      <c r="D10" s="100">
        <v>6750000</v>
      </c>
      <c r="E10" s="91"/>
      <c r="F10" s="90" t="s">
        <v>956</v>
      </c>
      <c r="G10" s="90" t="s">
        <v>956</v>
      </c>
      <c r="H10" s="109">
        <v>2486627.89</v>
      </c>
    </row>
    <row r="11" spans="1:8">
      <c r="A11" s="89" t="s">
        <v>946</v>
      </c>
      <c r="B11" s="89" t="s">
        <v>946</v>
      </c>
      <c r="C11" s="99">
        <v>79852</v>
      </c>
      <c r="D11" s="100">
        <v>6646160.5599999996</v>
      </c>
      <c r="E11" s="91"/>
      <c r="F11" s="90" t="s">
        <v>957</v>
      </c>
      <c r="G11" s="90" t="s">
        <v>957</v>
      </c>
      <c r="H11" s="109">
        <v>1293756.03</v>
      </c>
    </row>
    <row r="12" spans="1:8">
      <c r="A12" s="89" t="s">
        <v>947</v>
      </c>
      <c r="B12" s="89" t="s">
        <v>947</v>
      </c>
      <c r="C12" s="99">
        <v>83525</v>
      </c>
      <c r="D12" s="100">
        <v>5625934.79</v>
      </c>
      <c r="E12" s="91"/>
      <c r="F12" s="90" t="s">
        <v>958</v>
      </c>
      <c r="G12" s="90" t="s">
        <v>958</v>
      </c>
      <c r="H12" s="109">
        <v>940852.6</v>
      </c>
    </row>
    <row r="13" spans="1:8">
      <c r="A13" s="89" t="s">
        <v>948</v>
      </c>
      <c r="B13" s="89" t="s">
        <v>948</v>
      </c>
      <c r="C13" s="99">
        <v>1000</v>
      </c>
      <c r="D13" s="100">
        <v>5271133.2699999996</v>
      </c>
      <c r="E13" s="91"/>
      <c r="F13" s="90" t="s">
        <v>959</v>
      </c>
      <c r="G13" s="90" t="s">
        <v>959</v>
      </c>
      <c r="H13" s="109">
        <v>2700591.02</v>
      </c>
    </row>
    <row r="14" spans="1:8">
      <c r="A14" s="89" t="s">
        <v>949</v>
      </c>
      <c r="B14" s="89" t="s">
        <v>949</v>
      </c>
      <c r="C14" s="99">
        <v>350</v>
      </c>
      <c r="D14" s="100">
        <v>945000</v>
      </c>
      <c r="E14" s="91"/>
      <c r="F14" s="90" t="s">
        <v>960</v>
      </c>
      <c r="G14" s="90" t="s">
        <v>960</v>
      </c>
      <c r="H14" s="109">
        <v>1881233.53</v>
      </c>
    </row>
    <row r="15" spans="1:8">
      <c r="A15" s="84"/>
      <c r="B15" s="84"/>
      <c r="C15" s="101"/>
      <c r="D15" s="102"/>
      <c r="E15" s="83" t="s">
        <v>203</v>
      </c>
      <c r="F15" s="90" t="s">
        <v>961</v>
      </c>
      <c r="G15" s="90" t="s">
        <v>961</v>
      </c>
      <c r="H15" s="109">
        <v>836103.78</v>
      </c>
    </row>
    <row r="16" spans="1:8">
      <c r="A16" s="496" t="s">
        <v>353</v>
      </c>
      <c r="B16" s="496"/>
      <c r="C16" s="496"/>
      <c r="D16" s="103">
        <f>SUM(D5:D15)</f>
        <v>196201834.58000001</v>
      </c>
      <c r="E16" s="108">
        <f>D16-'HW PYMES'!I24</f>
        <v>0</v>
      </c>
      <c r="F16" s="90" t="s">
        <v>962</v>
      </c>
      <c r="G16" s="90" t="s">
        <v>962</v>
      </c>
      <c r="H16" s="109">
        <v>1045129.78</v>
      </c>
    </row>
    <row r="17" spans="1:9">
      <c r="A17" s="92"/>
      <c r="B17" s="92"/>
      <c r="C17" s="104"/>
      <c r="D17" s="105"/>
      <c r="E17" s="91"/>
      <c r="F17" s="90" t="s">
        <v>963</v>
      </c>
      <c r="G17" s="90" t="s">
        <v>963</v>
      </c>
      <c r="H17" s="109">
        <v>17326121</v>
      </c>
    </row>
    <row r="18" spans="1:9">
      <c r="A18" s="498" t="s">
        <v>359</v>
      </c>
      <c r="B18" s="498"/>
      <c r="C18" s="498"/>
      <c r="D18" s="498"/>
      <c r="E18" s="91"/>
      <c r="F18" s="90" t="s">
        <v>964</v>
      </c>
      <c r="G18" s="90" t="s">
        <v>964</v>
      </c>
      <c r="H18" s="100">
        <v>3700000</v>
      </c>
    </row>
    <row r="19" spans="1:9">
      <c r="A19" s="79"/>
      <c r="B19" s="79"/>
      <c r="C19" s="95"/>
      <c r="D19" s="96"/>
      <c r="E19" s="91"/>
      <c r="F19" s="90" t="s">
        <v>965</v>
      </c>
      <c r="G19" s="90" t="s">
        <v>965</v>
      </c>
      <c r="H19" s="100">
        <v>1140340</v>
      </c>
    </row>
    <row r="20" spans="1:9">
      <c r="A20" s="86" t="s">
        <v>348</v>
      </c>
      <c r="B20" s="86" t="s">
        <v>349</v>
      </c>
      <c r="C20" s="97" t="s">
        <v>350</v>
      </c>
      <c r="D20" s="98" t="s">
        <v>351</v>
      </c>
      <c r="E20" s="91"/>
      <c r="F20" s="80"/>
      <c r="G20" s="80"/>
      <c r="H20" s="109"/>
    </row>
    <row r="21" spans="1:9">
      <c r="A21" s="89" t="s">
        <v>950</v>
      </c>
      <c r="B21" s="81" t="s">
        <v>950</v>
      </c>
      <c r="C21" s="99">
        <v>23548.501</v>
      </c>
      <c r="D21" s="106">
        <f>70937622.62-486766.07</f>
        <v>70450856.550000012</v>
      </c>
      <c r="E21" s="91"/>
      <c r="F21" s="80"/>
      <c r="G21" s="80"/>
      <c r="H21" s="100"/>
    </row>
    <row r="22" spans="1:9">
      <c r="A22" s="91"/>
      <c r="B22" s="91"/>
      <c r="C22" s="107"/>
      <c r="D22" s="107"/>
      <c r="E22" s="91"/>
      <c r="F22" s="80"/>
      <c r="G22" s="80"/>
      <c r="H22" s="109"/>
    </row>
    <row r="23" spans="1:9">
      <c r="A23" s="84"/>
      <c r="B23" s="84"/>
      <c r="C23" s="101"/>
      <c r="D23" s="102"/>
      <c r="E23" s="83" t="s">
        <v>203</v>
      </c>
      <c r="F23" s="80"/>
      <c r="G23" s="80"/>
      <c r="H23" s="100"/>
    </row>
    <row r="24" spans="1:9">
      <c r="A24" s="496" t="s">
        <v>360</v>
      </c>
      <c r="B24" s="496"/>
      <c r="C24" s="496"/>
      <c r="D24" s="103">
        <f>SUM(D21)</f>
        <v>70450856.550000012</v>
      </c>
      <c r="E24" s="108">
        <f>D24-'HW PYMES'!I25</f>
        <v>0</v>
      </c>
      <c r="F24" s="90"/>
      <c r="G24" s="80"/>
      <c r="H24" s="100"/>
    </row>
    <row r="25" spans="1:9">
      <c r="A25" s="84"/>
      <c r="B25" s="84"/>
      <c r="C25" s="101"/>
      <c r="D25" s="102"/>
      <c r="E25" s="83" t="s">
        <v>203</v>
      </c>
      <c r="F25" s="85"/>
      <c r="G25" s="85"/>
      <c r="H25" s="102"/>
      <c r="I25" s="83" t="s">
        <v>203</v>
      </c>
    </row>
    <row r="26" spans="1:9">
      <c r="A26" s="496" t="s">
        <v>354</v>
      </c>
      <c r="B26" s="496"/>
      <c r="C26" s="496"/>
      <c r="D26" s="103">
        <f>+D24+D16+H26</f>
        <v>817028809.12999988</v>
      </c>
      <c r="E26" s="108">
        <f>D26-SUM('HW PYMES'!I20:I27)</f>
        <v>0</v>
      </c>
      <c r="G26" s="93" t="s">
        <v>352</v>
      </c>
      <c r="H26" s="103">
        <f>SUM(H5:H24)</f>
        <v>550376117.99999988</v>
      </c>
      <c r="I26" s="108">
        <f>H26-'HW PYMES'!I23</f>
        <v>0</v>
      </c>
    </row>
    <row r="27" spans="1:9">
      <c r="F27" s="85"/>
      <c r="G27" s="85"/>
      <c r="H27" s="102"/>
    </row>
    <row r="28" spans="1:9" ht="18">
      <c r="A28" s="497" t="s">
        <v>1031</v>
      </c>
      <c r="B28" s="497"/>
      <c r="C28" s="497"/>
      <c r="D28" s="497"/>
      <c r="E28" s="497"/>
      <c r="F28" s="497"/>
      <c r="G28" s="497"/>
      <c r="H28" s="497"/>
    </row>
    <row r="29" spans="1:9">
      <c r="A29" s="498" t="s">
        <v>347</v>
      </c>
      <c r="B29" s="498"/>
      <c r="C29" s="498"/>
      <c r="D29" s="498"/>
      <c r="E29" s="84"/>
      <c r="F29" s="499" t="s">
        <v>355</v>
      </c>
      <c r="G29" s="499"/>
      <c r="H29" s="499"/>
    </row>
    <row r="30" spans="1:9">
      <c r="A30" s="336"/>
      <c r="B30" s="336"/>
      <c r="C30" s="95"/>
      <c r="D30" s="96"/>
      <c r="E30" s="84"/>
      <c r="F30" s="85"/>
      <c r="G30" s="85"/>
      <c r="H30" s="102"/>
    </row>
    <row r="31" spans="1:9">
      <c r="A31" s="86" t="s">
        <v>348</v>
      </c>
      <c r="B31" s="86" t="s">
        <v>349</v>
      </c>
      <c r="C31" s="97" t="s">
        <v>350</v>
      </c>
      <c r="D31" s="98" t="s">
        <v>351</v>
      </c>
      <c r="E31" s="88"/>
      <c r="F31" s="87" t="s">
        <v>356</v>
      </c>
      <c r="G31" s="87" t="s">
        <v>357</v>
      </c>
      <c r="H31" s="98" t="s">
        <v>358</v>
      </c>
    </row>
    <row r="32" spans="1:9">
      <c r="A32" s="89" t="s">
        <v>940</v>
      </c>
      <c r="B32" s="89" t="s">
        <v>940</v>
      </c>
      <c r="C32" s="99">
        <v>6090</v>
      </c>
      <c r="D32" s="100">
        <v>39379405.350000001</v>
      </c>
      <c r="E32" s="91"/>
      <c r="F32" s="90" t="s">
        <v>951</v>
      </c>
      <c r="G32" s="90" t="s">
        <v>951</v>
      </c>
      <c r="H32" s="109">
        <v>33388029.359999999</v>
      </c>
    </row>
    <row r="33" spans="1:9">
      <c r="A33" s="89" t="s">
        <v>941</v>
      </c>
      <c r="B33" s="89" t="s">
        <v>941</v>
      </c>
      <c r="C33" s="99">
        <v>72799.73</v>
      </c>
      <c r="D33" s="100">
        <v>25219090.670000002</v>
      </c>
      <c r="E33" s="91"/>
      <c r="F33" s="90" t="s">
        <v>952</v>
      </c>
      <c r="G33" s="90" t="s">
        <v>952</v>
      </c>
      <c r="H33" s="109">
        <v>656720879.50999999</v>
      </c>
      <c r="I33" s="108"/>
    </row>
    <row r="34" spans="1:9">
      <c r="A34" s="89" t="s">
        <v>942</v>
      </c>
      <c r="B34" s="89" t="s">
        <v>942</v>
      </c>
      <c r="C34" s="99">
        <v>9424.44</v>
      </c>
      <c r="D34" s="100">
        <v>23650157.82</v>
      </c>
      <c r="E34" s="82"/>
      <c r="F34" s="90" t="s">
        <v>953</v>
      </c>
      <c r="G34" s="90" t="s">
        <v>953</v>
      </c>
      <c r="H34" s="109">
        <v>185568920.50999999</v>
      </c>
      <c r="I34" s="108"/>
    </row>
    <row r="35" spans="1:9">
      <c r="A35" s="89" t="s">
        <v>943</v>
      </c>
      <c r="B35" s="89" t="s">
        <v>943</v>
      </c>
      <c r="C35" s="99">
        <v>197983</v>
      </c>
      <c r="D35" s="100">
        <v>16140300.07</v>
      </c>
      <c r="E35" s="91"/>
      <c r="F35" s="90" t="s">
        <v>954</v>
      </c>
      <c r="G35" s="90" t="s">
        <v>954</v>
      </c>
      <c r="H35" s="109">
        <v>710145329.21000004</v>
      </c>
      <c r="I35" s="108"/>
    </row>
    <row r="36" spans="1:9">
      <c r="A36" s="89" t="s">
        <v>944</v>
      </c>
      <c r="B36" s="89" t="s">
        <v>944</v>
      </c>
      <c r="C36" s="99">
        <v>3442</v>
      </c>
      <c r="D36" s="100">
        <v>14132257.220000001</v>
      </c>
      <c r="E36" s="91"/>
      <c r="F36" s="90" t="s">
        <v>955</v>
      </c>
      <c r="G36" s="90" t="s">
        <v>955</v>
      </c>
      <c r="H36" s="109">
        <v>3813160</v>
      </c>
    </row>
    <row r="37" spans="1:9">
      <c r="A37" s="89" t="s">
        <v>945</v>
      </c>
      <c r="B37" s="89" t="s">
        <v>945</v>
      </c>
      <c r="C37" s="99">
        <v>130454.14</v>
      </c>
      <c r="D37" s="100">
        <v>12599551.800000001</v>
      </c>
      <c r="E37" s="91"/>
      <c r="F37" s="90" t="s">
        <v>956</v>
      </c>
      <c r="G37" s="90" t="s">
        <v>956</v>
      </c>
      <c r="H37" s="109">
        <v>152160037.16</v>
      </c>
      <c r="I37" s="108"/>
    </row>
    <row r="38" spans="1:9">
      <c r="A38" s="89" t="s">
        <v>946</v>
      </c>
      <c r="B38" s="89" t="s">
        <v>946</v>
      </c>
      <c r="C38" s="99">
        <v>91</v>
      </c>
      <c r="D38" s="100">
        <v>8841137.3800000008</v>
      </c>
      <c r="E38" s="91"/>
      <c r="F38" s="90" t="s">
        <v>957</v>
      </c>
      <c r="G38" s="90" t="s">
        <v>957</v>
      </c>
      <c r="H38" s="109">
        <v>14809720</v>
      </c>
    </row>
    <row r="39" spans="1:9">
      <c r="A39" s="89" t="s">
        <v>947</v>
      </c>
      <c r="B39" s="89" t="s">
        <v>947</v>
      </c>
      <c r="C39" s="99">
        <v>230</v>
      </c>
      <c r="D39" s="100">
        <v>4715000</v>
      </c>
      <c r="E39" s="91"/>
      <c r="F39" s="90" t="s">
        <v>958</v>
      </c>
      <c r="G39" s="90" t="s">
        <v>958</v>
      </c>
      <c r="H39" s="109">
        <v>26262388</v>
      </c>
    </row>
    <row r="40" spans="1:9">
      <c r="A40" s="89" t="s">
        <v>948</v>
      </c>
      <c r="B40" s="89" t="s">
        <v>948</v>
      </c>
      <c r="C40" s="99">
        <v>550</v>
      </c>
      <c r="D40" s="100">
        <v>4070000</v>
      </c>
      <c r="E40" s="91"/>
      <c r="F40" s="90" t="s">
        <v>959</v>
      </c>
      <c r="G40" s="90" t="s">
        <v>959</v>
      </c>
      <c r="H40" s="109">
        <v>18818140</v>
      </c>
    </row>
    <row r="41" spans="1:9">
      <c r="A41" s="89" t="s">
        <v>949</v>
      </c>
      <c r="B41" s="89" t="s">
        <v>949</v>
      </c>
      <c r="C41" s="99">
        <v>64</v>
      </c>
      <c r="D41" s="100">
        <v>3520000</v>
      </c>
      <c r="E41" s="91"/>
      <c r="F41" s="90" t="s">
        <v>960</v>
      </c>
      <c r="G41" s="90" t="s">
        <v>960</v>
      </c>
      <c r="H41" s="109">
        <v>13350143.25</v>
      </c>
    </row>
    <row r="42" spans="1:9">
      <c r="A42" s="89" t="s">
        <v>966</v>
      </c>
      <c r="B42" s="89" t="s">
        <v>966</v>
      </c>
      <c r="C42" s="99">
        <v>935</v>
      </c>
      <c r="D42" s="100">
        <v>3459500</v>
      </c>
      <c r="E42" s="91"/>
      <c r="F42" s="90" t="s">
        <v>961</v>
      </c>
      <c r="G42" s="90" t="s">
        <v>961</v>
      </c>
      <c r="H42" s="109">
        <v>22308104.289999999</v>
      </c>
    </row>
    <row r="43" spans="1:9">
      <c r="A43" s="89" t="s">
        <v>967</v>
      </c>
      <c r="B43" s="89" t="s">
        <v>967</v>
      </c>
      <c r="C43" s="99">
        <v>897.77</v>
      </c>
      <c r="D43" s="100">
        <v>2455570.27</v>
      </c>
      <c r="E43" s="91"/>
      <c r="F43" s="90" t="s">
        <v>962</v>
      </c>
      <c r="G43" s="90" t="s">
        <v>962</v>
      </c>
      <c r="H43" s="109">
        <v>48831530</v>
      </c>
    </row>
    <row r="44" spans="1:9">
      <c r="A44" s="89" t="s">
        <v>968</v>
      </c>
      <c r="B44" s="89" t="s">
        <v>968</v>
      </c>
      <c r="C44" s="99">
        <v>2762.5</v>
      </c>
      <c r="D44" s="100">
        <v>1096466.6000000001</v>
      </c>
      <c r="E44" s="91"/>
      <c r="F44" s="90" t="s">
        <v>963</v>
      </c>
      <c r="G44" s="90" t="s">
        <v>963</v>
      </c>
      <c r="H44" s="109">
        <v>17502960</v>
      </c>
    </row>
    <row r="45" spans="1:9">
      <c r="A45" s="89" t="s">
        <v>969</v>
      </c>
      <c r="B45" s="89" t="s">
        <v>969</v>
      </c>
      <c r="C45" s="99">
        <v>387</v>
      </c>
      <c r="D45" s="100">
        <v>909450</v>
      </c>
      <c r="E45" s="91"/>
      <c r="F45" s="90" t="s">
        <v>964</v>
      </c>
      <c r="G45" s="90" t="s">
        <v>964</v>
      </c>
      <c r="H45" s="109">
        <v>99980691.859999999</v>
      </c>
    </row>
    <row r="46" spans="1:9">
      <c r="A46" s="84"/>
      <c r="B46" s="84"/>
      <c r="C46" s="101"/>
      <c r="D46" s="102"/>
      <c r="E46" s="83" t="s">
        <v>203</v>
      </c>
      <c r="F46" s="90" t="s">
        <v>965</v>
      </c>
      <c r="G46" s="90" t="s">
        <v>965</v>
      </c>
      <c r="H46" s="109">
        <v>9355716.6699999999</v>
      </c>
    </row>
    <row r="47" spans="1:9">
      <c r="A47" s="496" t="s">
        <v>353</v>
      </c>
      <c r="B47" s="496"/>
      <c r="C47" s="496"/>
      <c r="D47" s="103">
        <f>SUM(D32:D46)</f>
        <v>160187887.18000001</v>
      </c>
      <c r="E47" s="108">
        <f>D47-'HW PYMES'!M20-'HW PYMES'!M21-'HW PYMES'!M24-'HW PYMES'!M26</f>
        <v>0</v>
      </c>
      <c r="F47" s="90" t="s">
        <v>970</v>
      </c>
      <c r="G47" s="90" t="s">
        <v>970</v>
      </c>
      <c r="H47" s="109">
        <v>28569448.950000003</v>
      </c>
    </row>
    <row r="48" spans="1:9">
      <c r="A48" s="92"/>
      <c r="B48" s="92"/>
      <c r="C48" s="104"/>
      <c r="D48" s="105"/>
      <c r="E48" s="91"/>
      <c r="F48" s="90" t="s">
        <v>971</v>
      </c>
      <c r="G48" s="90" t="s">
        <v>971</v>
      </c>
      <c r="H48" s="100">
        <v>28293566.420000002</v>
      </c>
    </row>
    <row r="49" spans="1:9">
      <c r="A49" s="498" t="s">
        <v>359</v>
      </c>
      <c r="B49" s="498"/>
      <c r="C49" s="498"/>
      <c r="D49" s="498"/>
      <c r="E49" s="91"/>
      <c r="F49" s="90" t="s">
        <v>972</v>
      </c>
      <c r="G49" s="90" t="s">
        <v>972</v>
      </c>
      <c r="H49" s="100">
        <v>84119047.219999999</v>
      </c>
    </row>
    <row r="50" spans="1:9">
      <c r="A50" s="336"/>
      <c r="B50" s="336"/>
      <c r="C50" s="95"/>
      <c r="D50" s="96"/>
      <c r="E50" s="91"/>
      <c r="F50" s="90" t="s">
        <v>973</v>
      </c>
      <c r="G50" s="90" t="s">
        <v>973</v>
      </c>
      <c r="H50" s="109">
        <v>853310</v>
      </c>
    </row>
    <row r="51" spans="1:9">
      <c r="A51" s="86" t="s">
        <v>348</v>
      </c>
      <c r="B51" s="86" t="s">
        <v>349</v>
      </c>
      <c r="C51" s="97" t="s">
        <v>350</v>
      </c>
      <c r="D51" s="98" t="s">
        <v>351</v>
      </c>
      <c r="E51" s="91"/>
      <c r="F51" s="90" t="s">
        <v>974</v>
      </c>
      <c r="G51" s="90" t="s">
        <v>974</v>
      </c>
      <c r="H51" s="100">
        <v>10250000</v>
      </c>
    </row>
    <row r="52" spans="1:9">
      <c r="A52" s="89" t="s">
        <v>950</v>
      </c>
      <c r="B52" s="81" t="s">
        <v>950</v>
      </c>
      <c r="C52" s="99">
        <v>27043.268</v>
      </c>
      <c r="D52" s="106">
        <v>154960843.65000001</v>
      </c>
      <c r="E52" s="91"/>
      <c r="F52" s="90" t="s">
        <v>975</v>
      </c>
      <c r="G52" s="90" t="s">
        <v>975</v>
      </c>
      <c r="H52" s="109">
        <v>24550000</v>
      </c>
    </row>
    <row r="53" spans="1:9">
      <c r="A53" s="91"/>
      <c r="B53" s="91"/>
      <c r="C53" s="107"/>
      <c r="D53" s="107"/>
      <c r="E53" s="91"/>
      <c r="F53" s="90" t="s">
        <v>976</v>
      </c>
      <c r="G53" s="90" t="s">
        <v>976</v>
      </c>
      <c r="H53" s="100">
        <v>300400000</v>
      </c>
      <c r="I53" s="108"/>
    </row>
    <row r="54" spans="1:9">
      <c r="A54" s="84"/>
      <c r="B54" s="84"/>
      <c r="C54" s="101"/>
      <c r="D54" s="102"/>
      <c r="E54" s="83" t="s">
        <v>203</v>
      </c>
      <c r="F54" s="90" t="s">
        <v>977</v>
      </c>
      <c r="G54" s="90" t="s">
        <v>977</v>
      </c>
      <c r="H54" s="100">
        <v>95630364.400000006</v>
      </c>
    </row>
    <row r="55" spans="1:9">
      <c r="A55" s="496" t="s">
        <v>360</v>
      </c>
      <c r="B55" s="496"/>
      <c r="C55" s="496"/>
      <c r="D55" s="103">
        <f>SUM(D52)</f>
        <v>154960843.65000001</v>
      </c>
      <c r="E55" s="108">
        <f>D55-'HW PYMES'!M25-'HW PYMES'!M27</f>
        <v>0</v>
      </c>
      <c r="F55" s="85"/>
      <c r="G55" s="85"/>
      <c r="H55" s="102"/>
      <c r="I55" s="83" t="s">
        <v>203</v>
      </c>
    </row>
    <row r="56" spans="1:9">
      <c r="A56" s="84"/>
      <c r="B56" s="84"/>
      <c r="C56" s="101"/>
      <c r="D56" s="102"/>
      <c r="G56" s="93" t="s">
        <v>352</v>
      </c>
      <c r="H56" s="103">
        <f>SUM(H32:H54)</f>
        <v>2585681486.8100004</v>
      </c>
      <c r="I56" s="108">
        <f>H56-'HW PYMES'!M23</f>
        <v>0.1100006103515625</v>
      </c>
    </row>
    <row r="57" spans="1:9">
      <c r="A57" s="84"/>
      <c r="B57" s="84"/>
      <c r="C57" s="101"/>
      <c r="D57" s="102"/>
      <c r="G57" s="343"/>
      <c r="H57" s="105"/>
      <c r="I57" s="108"/>
    </row>
    <row r="58" spans="1:9">
      <c r="A58" s="498" t="s">
        <v>766</v>
      </c>
      <c r="B58" s="498"/>
      <c r="C58" s="498"/>
      <c r="D58" s="498"/>
    </row>
    <row r="60" spans="1:9">
      <c r="A60" s="86" t="s">
        <v>348</v>
      </c>
      <c r="B60" s="86" t="s">
        <v>349</v>
      </c>
      <c r="C60" s="97" t="s">
        <v>350</v>
      </c>
      <c r="D60" s="98" t="s">
        <v>351</v>
      </c>
    </row>
    <row r="61" spans="1:9">
      <c r="A61" s="89" t="s">
        <v>978</v>
      </c>
      <c r="B61" s="89" t="s">
        <v>978</v>
      </c>
      <c r="C61" s="99">
        <v>84</v>
      </c>
      <c r="D61" s="100">
        <v>47726959.600000001</v>
      </c>
    </row>
    <row r="62" spans="1:9">
      <c r="A62" s="89" t="s">
        <v>979</v>
      </c>
      <c r="B62" s="89" t="s">
        <v>979</v>
      </c>
      <c r="C62" s="99">
        <v>133</v>
      </c>
      <c r="D62" s="100">
        <v>36507999.609999999</v>
      </c>
    </row>
    <row r="63" spans="1:9">
      <c r="A63" s="89" t="s">
        <v>980</v>
      </c>
      <c r="B63" s="89" t="s">
        <v>980</v>
      </c>
      <c r="C63" s="99">
        <v>99</v>
      </c>
      <c r="D63" s="100">
        <v>27575097.510000002</v>
      </c>
    </row>
    <row r="64" spans="1:9">
      <c r="A64" s="89" t="s">
        <v>981</v>
      </c>
      <c r="B64" s="89" t="s">
        <v>981</v>
      </c>
      <c r="C64" s="99">
        <v>12</v>
      </c>
      <c r="D64" s="100">
        <v>19544412.809999999</v>
      </c>
    </row>
    <row r="65" spans="1:5">
      <c r="A65" s="89" t="s">
        <v>982</v>
      </c>
      <c r="B65" s="89" t="s">
        <v>982</v>
      </c>
      <c r="C65" s="99">
        <v>24</v>
      </c>
      <c r="D65" s="100">
        <v>17257665.09</v>
      </c>
    </row>
    <row r="66" spans="1:5">
      <c r="A66" s="89" t="s">
        <v>983</v>
      </c>
      <c r="B66" s="89" t="s">
        <v>983</v>
      </c>
      <c r="C66" s="99">
        <v>22</v>
      </c>
      <c r="D66" s="100">
        <v>15393971.85</v>
      </c>
    </row>
    <row r="67" spans="1:5">
      <c r="A67" s="89" t="s">
        <v>984</v>
      </c>
      <c r="B67" s="89" t="s">
        <v>984</v>
      </c>
      <c r="C67" s="99">
        <v>27</v>
      </c>
      <c r="D67" s="100">
        <v>11160687.76</v>
      </c>
    </row>
    <row r="68" spans="1:5">
      <c r="A68" s="89" t="s">
        <v>985</v>
      </c>
      <c r="B68" s="89" t="s">
        <v>985</v>
      </c>
      <c r="C68" s="99">
        <v>11</v>
      </c>
      <c r="D68" s="100">
        <v>8485637.8800000008</v>
      </c>
    </row>
    <row r="69" spans="1:5">
      <c r="A69" s="89" t="s">
        <v>986</v>
      </c>
      <c r="B69" s="89" t="s">
        <v>986</v>
      </c>
      <c r="C69" s="99">
        <v>52</v>
      </c>
      <c r="D69" s="100">
        <v>8136096.0099999998</v>
      </c>
    </row>
    <row r="70" spans="1:5">
      <c r="A70" s="89" t="s">
        <v>987</v>
      </c>
      <c r="B70" s="89" t="s">
        <v>987</v>
      </c>
      <c r="C70" s="99">
        <v>14</v>
      </c>
      <c r="D70" s="100">
        <v>8127516.2300000004</v>
      </c>
    </row>
    <row r="71" spans="1:5">
      <c r="A71" s="89" t="s">
        <v>988</v>
      </c>
      <c r="B71" s="89" t="s">
        <v>988</v>
      </c>
      <c r="C71" s="99">
        <v>23</v>
      </c>
      <c r="D71" s="100">
        <v>5465282.96</v>
      </c>
    </row>
    <row r="72" spans="1:5">
      <c r="A72" s="89" t="s">
        <v>989</v>
      </c>
      <c r="B72" s="89" t="s">
        <v>989</v>
      </c>
      <c r="C72" s="99">
        <v>10</v>
      </c>
      <c r="D72" s="100">
        <v>3913860.95</v>
      </c>
    </row>
    <row r="73" spans="1:5">
      <c r="A73" s="89" t="s">
        <v>990</v>
      </c>
      <c r="B73" s="89" t="s">
        <v>990</v>
      </c>
      <c r="C73" s="99">
        <v>15</v>
      </c>
      <c r="D73" s="100">
        <v>3708760.52</v>
      </c>
    </row>
    <row r="74" spans="1:5">
      <c r="A74" s="89" t="s">
        <v>991</v>
      </c>
      <c r="B74" s="89" t="s">
        <v>991</v>
      </c>
      <c r="C74" s="99">
        <v>12</v>
      </c>
      <c r="D74" s="100">
        <v>2736412.19</v>
      </c>
    </row>
    <row r="75" spans="1:5">
      <c r="A75" s="89" t="s">
        <v>992</v>
      </c>
      <c r="B75" s="89" t="s">
        <v>992</v>
      </c>
      <c r="C75" s="99">
        <v>6</v>
      </c>
      <c r="D75" s="100">
        <v>1667084.05</v>
      </c>
    </row>
    <row r="76" spans="1:5">
      <c r="A76" s="84"/>
      <c r="B76" s="84"/>
      <c r="C76" s="101"/>
      <c r="D76" s="102"/>
      <c r="E76" s="83" t="s">
        <v>203</v>
      </c>
    </row>
    <row r="77" spans="1:5">
      <c r="A77" s="496" t="s">
        <v>767</v>
      </c>
      <c r="B77" s="496"/>
      <c r="C77" s="496"/>
      <c r="D77" s="103">
        <f>SUM(D61:D76)</f>
        <v>217407445.01999998</v>
      </c>
      <c r="E77" s="108">
        <f>D77-'HW PYMES'!M28</f>
        <v>0</v>
      </c>
    </row>
    <row r="79" spans="1:5">
      <c r="A79" s="496" t="s">
        <v>354</v>
      </c>
      <c r="B79" s="496"/>
      <c r="C79" s="496"/>
      <c r="D79" s="103">
        <f>+D55+D47+H56+D77</f>
        <v>3118237662.6600003</v>
      </c>
      <c r="E79" s="108">
        <f>D79-SUM('HW PYMES'!M20:M28)</f>
        <v>0.1100001335144043</v>
      </c>
    </row>
  </sheetData>
  <sortState xmlns:xlrd2="http://schemas.microsoft.com/office/spreadsheetml/2017/richdata2" ref="K32:K54">
    <sortCondition ref="K32"/>
  </sortState>
  <mergeCells count="16">
    <mergeCell ref="A55:C55"/>
    <mergeCell ref="A79:C79"/>
    <mergeCell ref="A58:D58"/>
    <mergeCell ref="A77:C77"/>
    <mergeCell ref="A28:H28"/>
    <mergeCell ref="A29:D29"/>
    <mergeCell ref="F29:H29"/>
    <mergeCell ref="A47:C47"/>
    <mergeCell ref="A49:D49"/>
    <mergeCell ref="A26:C26"/>
    <mergeCell ref="A1:H1"/>
    <mergeCell ref="A2:D2"/>
    <mergeCell ref="F2:H2"/>
    <mergeCell ref="A16:C16"/>
    <mergeCell ref="A18:D18"/>
    <mergeCell ref="A24:C24"/>
  </mergeCells>
  <pageMargins left="0.7" right="0.7" top="0.75" bottom="0.75" header="0.3" footer="0.3"/>
  <pageSetup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2AB1-09DD-5C41-9294-6DD66A748360}">
  <dimension ref="A1:XFD302"/>
  <sheetViews>
    <sheetView topLeftCell="S19" workbookViewId="0">
      <selection activeCell="AF30" sqref="AF30"/>
    </sheetView>
  </sheetViews>
  <sheetFormatPr baseColWidth="10" defaultRowHeight="15"/>
  <cols>
    <col min="1" max="1" width="10.5" style="22" customWidth="1"/>
    <col min="2" max="2" width="31.375" style="23" customWidth="1"/>
    <col min="3" max="3" width="18" style="23" customWidth="1"/>
    <col min="4" max="4" width="13.125" style="49" customWidth="1"/>
    <col min="5" max="5" width="20.875" style="23" customWidth="1"/>
    <col min="6" max="6" width="12.625" style="49" customWidth="1"/>
    <col min="7" max="7" width="14.625" style="49" bestFit="1" customWidth="1"/>
    <col min="8" max="9" width="12.625" style="49" customWidth="1"/>
    <col min="10" max="10" width="14.625" style="49" customWidth="1"/>
    <col min="11" max="11" width="15.625" style="23" customWidth="1"/>
    <col min="12" max="13" width="13.875" style="23" customWidth="1"/>
    <col min="14" max="14" width="15.125" style="23" customWidth="1"/>
    <col min="15" max="15" width="13.875" style="23" bestFit="1" customWidth="1"/>
    <col min="16" max="16" width="9" style="23" customWidth="1"/>
    <col min="17" max="17" width="30.625" style="23" customWidth="1"/>
    <col min="18" max="20" width="12.625" style="23" customWidth="1"/>
    <col min="21" max="21" width="15.125" style="23" customWidth="1"/>
    <col min="22" max="26" width="12.625" style="23" customWidth="1"/>
    <col min="27" max="27" width="13.875" style="23" bestFit="1" customWidth="1"/>
    <col min="28" max="28" width="12.625" style="23" customWidth="1"/>
    <col min="29" max="29" width="13.875" style="23" bestFit="1" customWidth="1"/>
    <col min="30" max="30" width="50.875" style="23" customWidth="1"/>
    <col min="31" max="31" width="12.625" style="23" bestFit="1" customWidth="1"/>
    <col min="32" max="32" width="12.875" style="23" bestFit="1" customWidth="1"/>
    <col min="33" max="33" width="11.375" style="23" bestFit="1" customWidth="1"/>
    <col min="34" max="34" width="11" style="23" bestFit="1" customWidth="1"/>
    <col min="35" max="35" width="10.875" style="23"/>
    <col min="36" max="36" width="11.125" style="23" bestFit="1" customWidth="1"/>
    <col min="37" max="16348" width="10.875" style="23"/>
    <col min="16349" max="16349" width="25.5" style="23" bestFit="1" customWidth="1"/>
    <col min="16350" max="16383" width="10.875" style="23"/>
    <col min="16384" max="16384" width="32.5" style="23" bestFit="1" customWidth="1"/>
  </cols>
  <sheetData>
    <row r="1" spans="1:10 16349:16384">
      <c r="C1" s="24" t="s">
        <v>1061</v>
      </c>
      <c r="D1" s="23"/>
      <c r="F1" s="23"/>
      <c r="G1" s="23"/>
      <c r="H1" s="23"/>
      <c r="I1" s="23"/>
      <c r="J1" s="23"/>
      <c r="XFD1" s="27" t="s">
        <v>361</v>
      </c>
    </row>
    <row r="2" spans="1:10 16349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F2" s="23"/>
      <c r="G2" s="23"/>
      <c r="H2" s="23"/>
      <c r="I2" s="23"/>
      <c r="J2" s="23"/>
      <c r="XFD2" s="27" t="s">
        <v>362</v>
      </c>
    </row>
    <row r="3" spans="1:10 16349:16384">
      <c r="A3" s="22">
        <v>15040000</v>
      </c>
      <c r="B3" s="23" t="s">
        <v>14</v>
      </c>
      <c r="C3" s="23">
        <v>1694129760</v>
      </c>
      <c r="D3" s="23">
        <f ca="1">SUMIF($A$28:$N$299,A3,$N$28:$N$299)-C3</f>
        <v>0</v>
      </c>
      <c r="E3" s="23">
        <f>C3-'HW PYMES'!I29</f>
        <v>0</v>
      </c>
      <c r="F3" s="23"/>
      <c r="G3" s="23"/>
      <c r="H3" s="23"/>
      <c r="I3" s="23"/>
      <c r="J3" s="23"/>
      <c r="XFD3" s="27" t="s">
        <v>363</v>
      </c>
    </row>
    <row r="4" spans="1:10 16349:16384">
      <c r="A4" s="22">
        <v>19100400</v>
      </c>
      <c r="B4" s="23" t="s">
        <v>15</v>
      </c>
      <c r="C4" s="23">
        <v>5956220240</v>
      </c>
      <c r="D4" s="138">
        <f>AE30-C3-C4</f>
        <v>0</v>
      </c>
      <c r="E4" s="23">
        <f>C4-'HW PYMES'!I30</f>
        <v>0</v>
      </c>
      <c r="F4" s="23"/>
      <c r="G4" s="23"/>
      <c r="H4" s="23"/>
      <c r="I4" s="23"/>
      <c r="J4" s="23"/>
      <c r="XFD4" s="27" t="s">
        <v>364</v>
      </c>
    </row>
    <row r="5" spans="1:10 16349:16384">
      <c r="A5" s="22">
        <v>15080000</v>
      </c>
      <c r="B5" s="23" t="s">
        <v>159</v>
      </c>
      <c r="C5" s="23">
        <v>0</v>
      </c>
      <c r="D5" s="23">
        <f t="shared" ref="D5:D14" ca="1" si="0">SUMIF($A$28:$N$299,A5,$N$28:$N$299)-C5</f>
        <v>0</v>
      </c>
      <c r="E5" s="23">
        <f>C5-'HW PYMES'!I31</f>
        <v>0</v>
      </c>
      <c r="F5" s="23"/>
      <c r="G5" s="23"/>
      <c r="H5" s="23"/>
      <c r="I5" s="23"/>
      <c r="J5" s="23"/>
      <c r="XFD5" s="27" t="s">
        <v>21</v>
      </c>
    </row>
    <row r="6" spans="1:10 16349:16384">
      <c r="A6" s="22">
        <v>15080500</v>
      </c>
      <c r="B6" s="23" t="s">
        <v>16</v>
      </c>
      <c r="C6" s="23">
        <v>0</v>
      </c>
      <c r="D6" s="23">
        <f t="shared" ca="1" si="0"/>
        <v>0</v>
      </c>
      <c r="E6" s="23">
        <f>C6-'HW PYMES'!I32</f>
        <v>0</v>
      </c>
      <c r="F6" s="23"/>
      <c r="G6" s="23"/>
      <c r="H6" s="23"/>
      <c r="I6" s="23"/>
      <c r="J6" s="23"/>
      <c r="XFD6" s="27" t="s">
        <v>365</v>
      </c>
    </row>
    <row r="7" spans="1:10 16349:16384">
      <c r="A7" s="22">
        <v>15160000</v>
      </c>
      <c r="B7" s="23" t="s">
        <v>17</v>
      </c>
      <c r="C7" s="23">
        <v>767877668.79999995</v>
      </c>
      <c r="D7" s="23">
        <f t="shared" ca="1" si="0"/>
        <v>0</v>
      </c>
      <c r="E7" s="23">
        <f>C7-'HW PYMES'!I33</f>
        <v>0</v>
      </c>
      <c r="F7" s="23"/>
      <c r="G7" s="23"/>
      <c r="H7" s="23"/>
      <c r="I7" s="23"/>
      <c r="J7" s="23"/>
      <c r="XFD7" s="27" t="s">
        <v>366</v>
      </c>
    </row>
    <row r="8" spans="1:10 16349:16384">
      <c r="A8" s="22">
        <v>15161000</v>
      </c>
      <c r="B8" s="23" t="s">
        <v>18</v>
      </c>
      <c r="C8" s="23">
        <v>7757906220</v>
      </c>
      <c r="D8" s="23">
        <f t="shared" ca="1" si="0"/>
        <v>0</v>
      </c>
      <c r="E8" s="23">
        <f>C8-'HW PYMES'!I34</f>
        <v>0</v>
      </c>
      <c r="F8" s="23"/>
      <c r="G8" s="23"/>
      <c r="H8" s="23"/>
      <c r="I8" s="23"/>
      <c r="J8" s="23"/>
      <c r="XFD8" s="27" t="s">
        <v>367</v>
      </c>
    </row>
    <row r="9" spans="1:10 16349:16384">
      <c r="A9" s="22">
        <v>15162000</v>
      </c>
      <c r="B9" s="23" t="s">
        <v>19</v>
      </c>
      <c r="C9" s="23">
        <v>719412180</v>
      </c>
      <c r="D9" s="23">
        <f t="shared" ca="1" si="0"/>
        <v>0</v>
      </c>
      <c r="E9" s="23">
        <f>C9-'HW PYMES'!I35</f>
        <v>0</v>
      </c>
      <c r="F9" s="23"/>
      <c r="G9" s="23"/>
      <c r="H9" s="23"/>
      <c r="I9" s="23"/>
      <c r="J9" s="23"/>
      <c r="XFD9" s="27" t="s">
        <v>368</v>
      </c>
    </row>
    <row r="10" spans="1:10 16349:16384">
      <c r="A10" s="22">
        <v>15200000</v>
      </c>
      <c r="B10" s="23" t="s">
        <v>20</v>
      </c>
      <c r="C10" s="23">
        <v>14284795271.629999</v>
      </c>
      <c r="D10" s="23">
        <f t="shared" ca="1" si="0"/>
        <v>1.0015487670898438E-2</v>
      </c>
      <c r="E10" s="23">
        <f>C10-'HW PYMES'!I36</f>
        <v>0</v>
      </c>
      <c r="F10" s="23"/>
      <c r="G10" s="23"/>
      <c r="H10" s="23"/>
      <c r="I10" s="23"/>
      <c r="J10" s="23"/>
      <c r="XDU10" s="27"/>
    </row>
    <row r="11" spans="1:10 16349:16384">
      <c r="A11" s="22">
        <v>15210000</v>
      </c>
      <c r="B11" s="23" t="s">
        <v>191</v>
      </c>
      <c r="C11" s="23">
        <v>0</v>
      </c>
      <c r="D11" s="23">
        <f t="shared" ca="1" si="0"/>
        <v>0</v>
      </c>
      <c r="E11" s="23">
        <f>C11-'HW PYMES'!I37</f>
        <v>0</v>
      </c>
      <c r="F11" s="23"/>
      <c r="G11" s="23"/>
      <c r="H11" s="23"/>
      <c r="I11" s="23"/>
      <c r="J11" s="23"/>
      <c r="XDU11" s="27"/>
    </row>
    <row r="12" spans="1:10 16349:16384">
      <c r="A12" s="22">
        <v>15240000</v>
      </c>
      <c r="B12" s="23" t="s">
        <v>21</v>
      </c>
      <c r="C12" s="23">
        <v>48053988</v>
      </c>
      <c r="D12" s="23">
        <f t="shared" ca="1" si="0"/>
        <v>0</v>
      </c>
      <c r="E12" s="23">
        <f>C12-'HW PYMES'!I38</f>
        <v>0</v>
      </c>
      <c r="F12" s="23"/>
      <c r="G12" s="23"/>
      <c r="H12" s="23"/>
      <c r="I12" s="23"/>
      <c r="J12" s="23"/>
      <c r="XDU12" s="27"/>
    </row>
    <row r="13" spans="1:10 16349:16384">
      <c r="A13" s="22">
        <v>15280000</v>
      </c>
      <c r="B13" s="23" t="s">
        <v>22</v>
      </c>
      <c r="C13" s="23">
        <v>136644640.44999999</v>
      </c>
      <c r="D13" s="23">
        <f t="shared" ca="1" si="0"/>
        <v>0</v>
      </c>
      <c r="E13" s="23">
        <f>C13-'HW PYMES'!I39</f>
        <v>0</v>
      </c>
      <c r="F13" s="23"/>
      <c r="G13" s="23"/>
      <c r="H13" s="23"/>
      <c r="I13" s="23"/>
      <c r="J13" s="23"/>
      <c r="XDU13" s="27"/>
    </row>
    <row r="14" spans="1:10 16349:16384">
      <c r="A14" s="22">
        <v>15400000</v>
      </c>
      <c r="B14" s="23" t="s">
        <v>23</v>
      </c>
      <c r="C14" s="23">
        <v>2468903437.5500002</v>
      </c>
      <c r="D14" s="23">
        <f t="shared" ca="1" si="0"/>
        <v>0</v>
      </c>
      <c r="E14" s="23">
        <f>C14-'HW PYMES'!I40</f>
        <v>0</v>
      </c>
      <c r="F14" s="23"/>
      <c r="G14" s="23"/>
      <c r="H14" s="23"/>
      <c r="I14" s="23"/>
      <c r="J14" s="23"/>
      <c r="XDU14" s="27"/>
    </row>
    <row r="15" spans="1:10 16349:16384">
      <c r="A15" s="22">
        <v>15920500</v>
      </c>
      <c r="B15" s="23" t="s">
        <v>24</v>
      </c>
      <c r="C15" s="23">
        <v>-52613840.280000001</v>
      </c>
      <c r="D15" s="23">
        <f t="shared" ref="D15:D22" ca="1" si="1">SUMIF($P$28:$AB$299,A15,$AB$28:$AB$299)+C15</f>
        <v>-0.2800000011920929</v>
      </c>
      <c r="E15" s="23">
        <f>C15-'HW PYMES'!I41</f>
        <v>0</v>
      </c>
      <c r="F15" s="23"/>
      <c r="G15" s="23"/>
      <c r="H15" s="23"/>
      <c r="I15" s="23"/>
      <c r="J15" s="23"/>
      <c r="XDU15" s="27"/>
    </row>
    <row r="16" spans="1:10 16349:16384">
      <c r="A16" s="22">
        <v>15920600</v>
      </c>
      <c r="B16" s="23" t="s">
        <v>25</v>
      </c>
      <c r="C16" s="23">
        <v>-531560241</v>
      </c>
      <c r="D16" s="23">
        <f t="shared" ca="1" si="1"/>
        <v>0</v>
      </c>
      <c r="E16" s="23">
        <f>C16-'HW PYMES'!I42</f>
        <v>0</v>
      </c>
      <c r="F16" s="23"/>
      <c r="G16" s="23"/>
      <c r="H16" s="23"/>
      <c r="I16" s="23"/>
      <c r="J16" s="23"/>
      <c r="XDU16" s="27"/>
    </row>
    <row r="17" spans="1:33 16349:16349">
      <c r="A17" s="22">
        <v>15920700</v>
      </c>
      <c r="B17" s="23" t="s">
        <v>26</v>
      </c>
      <c r="C17" s="23">
        <v>-49293057.010000005</v>
      </c>
      <c r="D17" s="23">
        <f t="shared" ca="1" si="1"/>
        <v>-1.000000536441803E-2</v>
      </c>
      <c r="E17" s="23">
        <f>C17-'HW PYMES'!I43</f>
        <v>0</v>
      </c>
      <c r="F17" s="23"/>
      <c r="G17" s="23"/>
      <c r="H17" s="23"/>
      <c r="I17" s="23"/>
      <c r="J17" s="23"/>
      <c r="XDU17" s="27"/>
    </row>
    <row r="18" spans="1:33 16349:16349">
      <c r="A18" s="22">
        <v>15921000</v>
      </c>
      <c r="B18" s="23" t="s">
        <v>27</v>
      </c>
      <c r="C18" s="23">
        <v>-1802322363.1500001</v>
      </c>
      <c r="D18" s="23">
        <f t="shared" ca="1" si="1"/>
        <v>3.8499999046325684</v>
      </c>
      <c r="E18" s="23">
        <f>C18-'HW PYMES'!I44</f>
        <v>0</v>
      </c>
      <c r="F18" s="23"/>
      <c r="G18" s="23"/>
      <c r="H18" s="23"/>
      <c r="I18" s="23"/>
      <c r="J18" s="23"/>
      <c r="XDU18" s="27"/>
    </row>
    <row r="19" spans="1:33 16349:16349">
      <c r="A19" s="22">
        <v>15921100</v>
      </c>
      <c r="B19" s="23" t="s">
        <v>192</v>
      </c>
      <c r="C19" s="23">
        <v>0</v>
      </c>
      <c r="D19" s="23">
        <f t="shared" ca="1" si="1"/>
        <v>0</v>
      </c>
      <c r="E19" s="23">
        <f>C19-'HW PYMES'!I45</f>
        <v>0</v>
      </c>
      <c r="F19" s="23"/>
      <c r="G19" s="23"/>
      <c r="H19" s="23"/>
      <c r="I19" s="23"/>
      <c r="J19" s="23"/>
      <c r="XDU19" s="27"/>
    </row>
    <row r="20" spans="1:33 16349:16349">
      <c r="A20" s="22">
        <v>15921500</v>
      </c>
      <c r="B20" s="23" t="s">
        <v>28</v>
      </c>
      <c r="C20" s="23">
        <v>-15132966.83</v>
      </c>
      <c r="D20" s="23">
        <f t="shared" ca="1" si="1"/>
        <v>1.1699999999254942</v>
      </c>
      <c r="E20" s="23">
        <f>C20-'HW PYMES'!I46</f>
        <v>0</v>
      </c>
      <c r="F20" s="23"/>
      <c r="G20" s="23"/>
      <c r="H20" s="23"/>
      <c r="I20" s="23"/>
      <c r="J20" s="23"/>
      <c r="XDU20" s="27"/>
    </row>
    <row r="21" spans="1:33 16349:16349">
      <c r="A21" s="22">
        <v>15922000</v>
      </c>
      <c r="B21" s="23" t="s">
        <v>29</v>
      </c>
      <c r="C21" s="23">
        <v>-45928341.670000002</v>
      </c>
      <c r="D21" s="23">
        <f t="shared" ca="1" si="1"/>
        <v>-0.67000000178813934</v>
      </c>
      <c r="E21" s="23">
        <f>C21-'HW PYMES'!I47</f>
        <v>0</v>
      </c>
      <c r="F21" s="23"/>
      <c r="G21" s="23"/>
      <c r="H21" s="23"/>
      <c r="I21" s="23"/>
      <c r="J21" s="23"/>
      <c r="XDU21" s="27"/>
    </row>
    <row r="22" spans="1:33 16349:16349">
      <c r="A22" s="22">
        <v>15923500</v>
      </c>
      <c r="B22" s="23" t="s">
        <v>30</v>
      </c>
      <c r="C22" s="23">
        <v>-988716858.88</v>
      </c>
      <c r="D22" s="23">
        <f t="shared" ca="1" si="1"/>
        <v>0.12000000476837158</v>
      </c>
      <c r="E22" s="23">
        <f>C22-'HW PYMES'!I48</f>
        <v>0</v>
      </c>
      <c r="F22" s="23"/>
      <c r="G22" s="23"/>
      <c r="H22" s="23"/>
      <c r="I22" s="23"/>
      <c r="J22" s="23"/>
      <c r="K22" s="110" t="s">
        <v>369</v>
      </c>
      <c r="L22" s="111">
        <f t="shared" ref="L22:L27" si="2">50*M22</f>
        <v>1374250</v>
      </c>
      <c r="M22" s="111">
        <v>27485</v>
      </c>
      <c r="XDU22" s="27"/>
    </row>
    <row r="23" spans="1:33 16349:16349">
      <c r="C23" s="29">
        <f>SUM(C3:C22)</f>
        <v>30348375737.610001</v>
      </c>
      <c r="D23" s="23"/>
      <c r="F23" s="23"/>
      <c r="G23" s="23"/>
      <c r="H23" s="23"/>
      <c r="I23" s="23"/>
      <c r="J23" s="23"/>
      <c r="K23" s="110" t="s">
        <v>370</v>
      </c>
      <c r="L23" s="111">
        <f t="shared" si="2"/>
        <v>1413950</v>
      </c>
      <c r="M23" s="111">
        <v>28279</v>
      </c>
      <c r="XDU23" s="27"/>
    </row>
    <row r="24" spans="1:33 16349:16349">
      <c r="B24" s="30" t="s">
        <v>206</v>
      </c>
      <c r="C24" s="30">
        <f>C23-C4-M300+AB300</f>
        <v>4.170013427734375</v>
      </c>
      <c r="D24" s="23"/>
      <c r="F24" s="23"/>
      <c r="G24" s="23"/>
      <c r="H24" s="23"/>
      <c r="I24" s="23"/>
      <c r="J24" s="23"/>
      <c r="K24" s="110" t="s">
        <v>371</v>
      </c>
      <c r="L24" s="111">
        <f t="shared" si="2"/>
        <v>1487650</v>
      </c>
      <c r="M24" s="111">
        <v>29753</v>
      </c>
    </row>
    <row r="25" spans="1:33 16349:16349">
      <c r="B25" s="22"/>
      <c r="C25" s="22"/>
      <c r="D25" s="23"/>
      <c r="F25" s="23"/>
      <c r="G25" s="23"/>
      <c r="H25" s="23"/>
      <c r="I25" s="23"/>
      <c r="J25" s="23"/>
      <c r="K25" s="110" t="s">
        <v>373</v>
      </c>
      <c r="L25" s="111">
        <f t="shared" si="2"/>
        <v>1592950</v>
      </c>
      <c r="M25" s="111">
        <v>31859</v>
      </c>
    </row>
    <row r="26" spans="1:33 16349:16349">
      <c r="B26" s="30"/>
      <c r="C26" s="30"/>
      <c r="D26" s="23"/>
      <c r="F26" s="23"/>
      <c r="G26" s="23"/>
      <c r="H26" s="23"/>
      <c r="I26" s="23"/>
      <c r="J26" s="23"/>
      <c r="K26" s="173" t="s">
        <v>404</v>
      </c>
      <c r="L26" s="174">
        <f t="shared" si="2"/>
        <v>1657800</v>
      </c>
      <c r="M26" s="174">
        <v>33156</v>
      </c>
      <c r="W26" s="110" t="s">
        <v>372</v>
      </c>
    </row>
    <row r="27" spans="1:33 16349:16349">
      <c r="B27" s="22"/>
      <c r="C27" s="22"/>
      <c r="D27" s="22"/>
      <c r="E27" s="22"/>
      <c r="F27" s="22"/>
      <c r="G27" s="22"/>
      <c r="H27" s="22"/>
      <c r="I27" s="22"/>
      <c r="J27" s="22"/>
      <c r="K27" s="173" t="s">
        <v>406</v>
      </c>
      <c r="L27" s="174">
        <f t="shared" si="2"/>
        <v>1713500</v>
      </c>
      <c r="M27" s="174">
        <v>34270</v>
      </c>
      <c r="N27" s="48"/>
      <c r="P27" s="22"/>
      <c r="Q27" s="22"/>
      <c r="R27" s="22"/>
      <c r="S27" s="22"/>
      <c r="U27" s="22"/>
      <c r="V27" s="22"/>
      <c r="W27" s="112">
        <v>44196</v>
      </c>
      <c r="X27" s="22"/>
      <c r="Y27" s="22"/>
      <c r="Z27" s="22"/>
      <c r="AA27" s="22"/>
      <c r="AB27" s="22"/>
      <c r="AC27" s="22"/>
    </row>
    <row r="28" spans="1:33 16349:16349" ht="15" customHeight="1">
      <c r="A28" s="474" t="s">
        <v>209</v>
      </c>
      <c r="B28" s="476" t="s">
        <v>210</v>
      </c>
      <c r="C28" s="476" t="s">
        <v>374</v>
      </c>
      <c r="D28" s="478" t="s">
        <v>375</v>
      </c>
      <c r="E28" s="478" t="s">
        <v>376</v>
      </c>
      <c r="F28" s="478" t="s">
        <v>377</v>
      </c>
      <c r="G28" s="478" t="s">
        <v>378</v>
      </c>
      <c r="H28" s="478" t="s">
        <v>379</v>
      </c>
      <c r="I28" s="478" t="s">
        <v>380</v>
      </c>
      <c r="J28" s="478" t="s">
        <v>381</v>
      </c>
      <c r="K28" s="478" t="s">
        <v>382</v>
      </c>
      <c r="L28" s="478" t="s">
        <v>383</v>
      </c>
      <c r="M28" s="478" t="s">
        <v>1060</v>
      </c>
      <c r="N28" s="478" t="s">
        <v>402</v>
      </c>
      <c r="O28" s="478" t="s">
        <v>384</v>
      </c>
      <c r="P28" s="474" t="s">
        <v>209</v>
      </c>
      <c r="Q28" s="476" t="s">
        <v>210</v>
      </c>
      <c r="R28" s="478" t="s">
        <v>385</v>
      </c>
      <c r="S28" s="472" t="s">
        <v>386</v>
      </c>
      <c r="T28" s="478" t="s">
        <v>387</v>
      </c>
      <c r="U28" s="474" t="s">
        <v>388</v>
      </c>
      <c r="V28" s="475" t="s">
        <v>389</v>
      </c>
      <c r="W28" s="474" t="s">
        <v>390</v>
      </c>
      <c r="X28" s="474" t="s">
        <v>391</v>
      </c>
      <c r="Y28" s="475" t="s">
        <v>392</v>
      </c>
      <c r="Z28" s="475" t="s">
        <v>393</v>
      </c>
      <c r="AA28" s="503" t="s">
        <v>394</v>
      </c>
      <c r="AB28" s="503" t="s">
        <v>395</v>
      </c>
      <c r="AC28" s="503" t="s">
        <v>396</v>
      </c>
      <c r="AD28" s="475" t="s">
        <v>397</v>
      </c>
      <c r="AE28" s="475" t="s">
        <v>398</v>
      </c>
      <c r="AF28" s="501" t="s">
        <v>206</v>
      </c>
      <c r="AG28" s="501" t="s">
        <v>405</v>
      </c>
    </row>
    <row r="29" spans="1:33 16349:16349" ht="45" customHeight="1">
      <c r="A29" s="475"/>
      <c r="B29" s="477"/>
      <c r="C29" s="477"/>
      <c r="D29" s="472"/>
      <c r="E29" s="472"/>
      <c r="F29" s="472"/>
      <c r="G29" s="472"/>
      <c r="H29" s="472"/>
      <c r="I29" s="472"/>
      <c r="J29" s="472"/>
      <c r="K29" s="472"/>
      <c r="L29" s="472"/>
      <c r="M29" s="472"/>
      <c r="N29" s="472"/>
      <c r="O29" s="472"/>
      <c r="P29" s="475"/>
      <c r="Q29" s="477"/>
      <c r="R29" s="472"/>
      <c r="S29" s="473"/>
      <c r="T29" s="472"/>
      <c r="U29" s="475"/>
      <c r="V29" s="500"/>
      <c r="W29" s="475"/>
      <c r="X29" s="475"/>
      <c r="Y29" s="500"/>
      <c r="Z29" s="500"/>
      <c r="AA29" s="504"/>
      <c r="AB29" s="504"/>
      <c r="AC29" s="504"/>
      <c r="AD29" s="500"/>
      <c r="AE29" s="500"/>
      <c r="AF29" s="502"/>
      <c r="AG29" s="502"/>
    </row>
    <row r="30" spans="1:33 16349:16349" s="73" customFormat="1">
      <c r="A30" s="72">
        <v>15040000</v>
      </c>
      <c r="B30" s="73" t="s">
        <v>14</v>
      </c>
      <c r="C30" s="73" t="s">
        <v>993</v>
      </c>
      <c r="D30" s="73">
        <v>1</v>
      </c>
      <c r="E30" s="36" t="s">
        <v>361</v>
      </c>
      <c r="F30" s="144"/>
      <c r="G30" s="144"/>
      <c r="H30" s="144"/>
      <c r="I30" s="144"/>
      <c r="J30" s="77">
        <v>43069</v>
      </c>
      <c r="K30" s="52" t="str">
        <f>IF(L30&gt;($M$24*50),"SI","NO")</f>
        <v>SI</v>
      </c>
      <c r="L30" s="113">
        <f>M30/D30</f>
        <v>1694129760</v>
      </c>
      <c r="M30" s="73">
        <v>1694129760</v>
      </c>
      <c r="N30" s="145">
        <v>1694129760</v>
      </c>
      <c r="O30" s="113">
        <f>IF(K30="SI",N30,0)</f>
        <v>1694129760</v>
      </c>
      <c r="P30" s="146"/>
      <c r="Q30" s="147"/>
      <c r="R30" s="147"/>
      <c r="S30" s="147"/>
      <c r="T30" s="113">
        <f>IF(O30&gt;0,S30,0)</f>
        <v>0</v>
      </c>
      <c r="U30" s="38">
        <f>IF(O30&gt;0,N30-S30,0)</f>
        <v>1694129760</v>
      </c>
      <c r="V30" s="148" t="s">
        <v>399</v>
      </c>
      <c r="W30" s="116">
        <f>IF(ISERROR(IF(ROUND(($W$27-J30)/30,0)&gt;(V30*12),(V30*12),(ROUND(($W$27-J30)/30,0)))),0,"FALSO")</f>
        <v>0</v>
      </c>
      <c r="X30" s="116">
        <f>IF(ISERROR((V30*12)-W30),0,"FALSO")</f>
        <v>0</v>
      </c>
      <c r="Y30" s="38">
        <f>IF(ISERROR(N30/(V30*12)),0,"FALSO")</f>
        <v>0</v>
      </c>
      <c r="Z30" s="38">
        <f>IF(U30&gt;0,W30*Y30,0)</f>
        <v>0</v>
      </c>
      <c r="AA30" s="38">
        <f>ROUND(IF(U30&gt;0,N30,0),0)</f>
        <v>1694129760</v>
      </c>
      <c r="AB30" s="38">
        <f>ROUND(IF(U30&gt;0,Z30,0),0)</f>
        <v>0</v>
      </c>
      <c r="AC30" s="38">
        <f>AA30-AB30</f>
        <v>1694129760</v>
      </c>
      <c r="AD30" s="149"/>
      <c r="AE30" s="73">
        <v>7650350000</v>
      </c>
      <c r="AF30" s="73">
        <f>AE30-AC30</f>
        <v>5956220240</v>
      </c>
      <c r="AG30" s="23"/>
    </row>
    <row r="31" spans="1:33 16349:16349" s="72" customFormat="1"/>
    <row r="32" spans="1:33 16349:16349" s="73" customFormat="1">
      <c r="A32" s="72">
        <v>15160000</v>
      </c>
      <c r="B32" s="73" t="s">
        <v>17</v>
      </c>
      <c r="C32" s="74" t="s">
        <v>994</v>
      </c>
      <c r="D32" s="73">
        <v>1</v>
      </c>
      <c r="E32" s="36" t="s">
        <v>362</v>
      </c>
      <c r="F32" s="144"/>
      <c r="G32" s="144"/>
      <c r="H32" s="144"/>
      <c r="I32" s="144"/>
      <c r="J32" s="77">
        <v>43069</v>
      </c>
      <c r="K32" s="52" t="str">
        <f t="shared" ref="K32:K39" si="3">IF(L32&gt;($M$24*50),"SI","NO")</f>
        <v>SI</v>
      </c>
      <c r="L32" s="113">
        <f>M32/D32</f>
        <v>767877668.79999995</v>
      </c>
      <c r="M32" s="73">
        <v>767877668.79999995</v>
      </c>
      <c r="N32" s="145">
        <v>767877668.79999995</v>
      </c>
      <c r="O32" s="113">
        <f>IF(K32="SI",N32,0)</f>
        <v>767877668.79999995</v>
      </c>
      <c r="P32" s="72">
        <v>15920500</v>
      </c>
      <c r="Q32" s="73" t="s">
        <v>24</v>
      </c>
      <c r="R32" s="73">
        <v>18485944</v>
      </c>
      <c r="S32" s="73">
        <v>18485944</v>
      </c>
      <c r="T32" s="113">
        <f>IF(O32&gt;0,S32,0)</f>
        <v>18485944</v>
      </c>
      <c r="U32" s="38">
        <f>IF(O32&gt;0,N32-S32,0)</f>
        <v>749391724.79999995</v>
      </c>
      <c r="V32" s="148">
        <v>45</v>
      </c>
      <c r="W32" s="116">
        <f>IF(ROUND(($W$27-J32)/30,0)&gt;(V32*12),(V32*12),(ROUND(($W$27-J32)/30,0)))-1</f>
        <v>37</v>
      </c>
      <c r="X32" s="116">
        <f>(V32*12)-W32</f>
        <v>503</v>
      </c>
      <c r="Y32" s="38">
        <f>N32/(V32*12)</f>
        <v>1421995.6829629629</v>
      </c>
      <c r="Z32" s="38">
        <f>IF(U32&gt;0,W32*Y32,0)</f>
        <v>52613840.269629627</v>
      </c>
      <c r="AA32" s="38">
        <f>ROUND(IF(U32&gt;0,N32,0),0)</f>
        <v>767877669</v>
      </c>
      <c r="AB32" s="38">
        <f>ROUND(IF(U32&gt;0,Z32,0),0)</f>
        <v>52613840</v>
      </c>
      <c r="AC32" s="38">
        <f>AA32-AB32</f>
        <v>715263829</v>
      </c>
    </row>
    <row r="33" spans="1:33" s="73" customFormat="1">
      <c r="A33" s="72">
        <v>15161000</v>
      </c>
      <c r="B33" s="73" t="s">
        <v>18</v>
      </c>
      <c r="C33" s="74" t="s">
        <v>994</v>
      </c>
      <c r="D33" s="73">
        <v>1</v>
      </c>
      <c r="E33" s="36" t="s">
        <v>362</v>
      </c>
      <c r="F33" s="144"/>
      <c r="G33" s="144"/>
      <c r="H33" s="144"/>
      <c r="I33" s="144"/>
      <c r="J33" s="77">
        <v>43069</v>
      </c>
      <c r="K33" s="52" t="str">
        <f t="shared" si="3"/>
        <v>SI</v>
      </c>
      <c r="L33" s="113">
        <f>M33/D33</f>
        <v>7712107742</v>
      </c>
      <c r="M33" s="73">
        <v>7712107742</v>
      </c>
      <c r="N33" s="145">
        <v>7712107742</v>
      </c>
      <c r="O33" s="113">
        <f>IF(K33="SI",N33,0)</f>
        <v>7712107742</v>
      </c>
      <c r="P33" s="72">
        <v>15920600</v>
      </c>
      <c r="Q33" s="73" t="s">
        <v>25</v>
      </c>
      <c r="R33" s="73">
        <v>185661853</v>
      </c>
      <c r="S33" s="73">
        <v>185661853</v>
      </c>
      <c r="T33" s="113">
        <f>IF(O33&gt;0,S33,0)</f>
        <v>185661853</v>
      </c>
      <c r="U33" s="38">
        <f>IF(O33&gt;0,N33-S33,0)</f>
        <v>7526445889</v>
      </c>
      <c r="V33" s="148">
        <v>45</v>
      </c>
      <c r="W33" s="116">
        <f t="shared" ref="W33:W39" si="4">IF(ROUND(($W$27-J33)/30,0)&gt;(V33*12),(V33*12),(ROUND(($W$27-J33)/30,0)))-1</f>
        <v>37</v>
      </c>
      <c r="X33" s="116">
        <f>(V33*12)-W33</f>
        <v>503</v>
      </c>
      <c r="Y33" s="38">
        <f>N33/(V33*12)</f>
        <v>14281681.003703704</v>
      </c>
      <c r="Z33" s="38">
        <f>IF(U33&gt;0,W33*Y33,0)</f>
        <v>528422197.13703704</v>
      </c>
      <c r="AA33" s="38">
        <f>ROUND(IF(U33&gt;0,N33,0),0)</f>
        <v>7712107742</v>
      </c>
      <c r="AB33" s="38">
        <f>ROUND(IF(U33&gt;0,Z33,0),0)</f>
        <v>528422197</v>
      </c>
      <c r="AC33" s="38">
        <f>AA33-AB33</f>
        <v>7183685545</v>
      </c>
    </row>
    <row r="34" spans="1:33" s="73" customFormat="1">
      <c r="A34" s="72">
        <v>15161000</v>
      </c>
      <c r="B34" s="73" t="s">
        <v>18</v>
      </c>
      <c r="C34" s="74" t="s">
        <v>994</v>
      </c>
      <c r="D34" s="73">
        <v>1</v>
      </c>
      <c r="E34" s="36" t="s">
        <v>362</v>
      </c>
      <c r="F34" s="144"/>
      <c r="G34" s="144"/>
      <c r="H34" s="144"/>
      <c r="I34" s="144"/>
      <c r="J34" s="77">
        <v>43069</v>
      </c>
      <c r="K34" s="52" t="str">
        <f t="shared" si="3"/>
        <v>SI</v>
      </c>
      <c r="L34" s="113">
        <f t="shared" ref="L34:L37" si="5">M34/D34</f>
        <v>45798478</v>
      </c>
      <c r="M34" s="73">
        <v>45798478</v>
      </c>
      <c r="N34" s="145">
        <v>45798478</v>
      </c>
      <c r="O34" s="113">
        <f t="shared" ref="O34:O37" si="6">IF(K34="SI",N34,0)</f>
        <v>45798478</v>
      </c>
      <c r="P34" s="72">
        <v>15920600</v>
      </c>
      <c r="Q34" s="73" t="s">
        <v>25</v>
      </c>
      <c r="R34" s="73">
        <v>1102556</v>
      </c>
      <c r="S34" s="73">
        <v>1102556</v>
      </c>
      <c r="T34" s="113">
        <f t="shared" ref="T34:T37" si="7">IF(O34&gt;0,S34,0)</f>
        <v>1102556</v>
      </c>
      <c r="U34" s="38">
        <f t="shared" ref="U34:U37" si="8">IF(O34&gt;0,N34-S34,0)</f>
        <v>44695922</v>
      </c>
      <c r="V34" s="148">
        <v>45</v>
      </c>
      <c r="W34" s="116">
        <f t="shared" si="4"/>
        <v>37</v>
      </c>
      <c r="X34" s="116">
        <f t="shared" ref="X34:X39" si="9">(V34*12)-W34</f>
        <v>503</v>
      </c>
      <c r="Y34" s="38">
        <f t="shared" ref="Y34:Y39" si="10">N34/(V34*12)</f>
        <v>84811.996296296289</v>
      </c>
      <c r="Z34" s="38">
        <f>IF(U34&gt;0,W34*Y34,0)</f>
        <v>3138043.8629629626</v>
      </c>
      <c r="AA34" s="38">
        <f t="shared" ref="AA34:AA39" si="11">ROUND(IF(U34&gt;0,N34,0),0)</f>
        <v>45798478</v>
      </c>
      <c r="AB34" s="38">
        <f t="shared" ref="AB34:AB39" si="12">ROUND(IF(U34&gt;0,Z34,0),0)</f>
        <v>3138044</v>
      </c>
      <c r="AC34" s="38">
        <f t="shared" ref="AC34:AC39" si="13">AA34-AB34</f>
        <v>42660434</v>
      </c>
    </row>
    <row r="35" spans="1:33" s="73" customFormat="1">
      <c r="A35" s="72">
        <v>15162000</v>
      </c>
      <c r="B35" s="73" t="s">
        <v>19</v>
      </c>
      <c r="C35" s="74" t="s">
        <v>994</v>
      </c>
      <c r="D35" s="73">
        <v>1</v>
      </c>
      <c r="E35" s="36" t="s">
        <v>362</v>
      </c>
      <c r="F35" s="144"/>
      <c r="G35" s="144"/>
      <c r="H35" s="144"/>
      <c r="I35" s="144"/>
      <c r="J35" s="77">
        <v>43069</v>
      </c>
      <c r="K35" s="52" t="str">
        <f t="shared" si="3"/>
        <v>SI</v>
      </c>
      <c r="L35" s="113">
        <f t="shared" si="5"/>
        <v>211430939</v>
      </c>
      <c r="M35" s="73">
        <v>211430939</v>
      </c>
      <c r="N35" s="145">
        <v>211430939</v>
      </c>
      <c r="O35" s="113">
        <f t="shared" si="6"/>
        <v>211430939</v>
      </c>
      <c r="P35" s="72">
        <v>15920700</v>
      </c>
      <c r="Q35" s="73" t="s">
        <v>26</v>
      </c>
      <c r="R35" s="73">
        <v>5090004</v>
      </c>
      <c r="S35" s="73">
        <v>5090004</v>
      </c>
      <c r="T35" s="113">
        <f t="shared" si="7"/>
        <v>5090004</v>
      </c>
      <c r="U35" s="38">
        <f t="shared" si="8"/>
        <v>206340935</v>
      </c>
      <c r="V35" s="148">
        <v>45</v>
      </c>
      <c r="W35" s="116">
        <f t="shared" si="4"/>
        <v>37</v>
      </c>
      <c r="X35" s="116">
        <f t="shared" si="9"/>
        <v>503</v>
      </c>
      <c r="Y35" s="38">
        <f t="shared" si="10"/>
        <v>391538.77592592593</v>
      </c>
      <c r="Z35" s="38">
        <f t="shared" ref="Z35:Z39" si="14">IF(U35&gt;0,W35*Y35,0)</f>
        <v>14486934.70925926</v>
      </c>
      <c r="AA35" s="38">
        <f t="shared" si="11"/>
        <v>211430939</v>
      </c>
      <c r="AB35" s="38">
        <f t="shared" si="12"/>
        <v>14486935</v>
      </c>
      <c r="AC35" s="38">
        <f t="shared" si="13"/>
        <v>196944004</v>
      </c>
    </row>
    <row r="36" spans="1:33" s="73" customFormat="1">
      <c r="A36" s="72">
        <v>15162000</v>
      </c>
      <c r="B36" s="73" t="s">
        <v>19</v>
      </c>
      <c r="C36" s="74" t="s">
        <v>994</v>
      </c>
      <c r="D36" s="73">
        <v>1</v>
      </c>
      <c r="E36" s="36" t="s">
        <v>362</v>
      </c>
      <c r="F36" s="144"/>
      <c r="G36" s="144"/>
      <c r="H36" s="144"/>
      <c r="I36" s="144"/>
      <c r="J36" s="77">
        <v>43069</v>
      </c>
      <c r="K36" s="52" t="str">
        <f t="shared" si="3"/>
        <v>SI</v>
      </c>
      <c r="L36" s="113">
        <f t="shared" si="5"/>
        <v>7192000</v>
      </c>
      <c r="M36" s="73">
        <v>7192000</v>
      </c>
      <c r="N36" s="145">
        <v>7192000</v>
      </c>
      <c r="O36" s="113">
        <f t="shared" si="6"/>
        <v>7192000</v>
      </c>
      <c r="P36" s="72">
        <v>15920700</v>
      </c>
      <c r="Q36" s="73" t="s">
        <v>26</v>
      </c>
      <c r="R36" s="73">
        <v>173141</v>
      </c>
      <c r="S36" s="73">
        <v>173141</v>
      </c>
      <c r="T36" s="113">
        <f t="shared" si="7"/>
        <v>173141</v>
      </c>
      <c r="U36" s="38">
        <f t="shared" si="8"/>
        <v>7018859</v>
      </c>
      <c r="V36" s="148">
        <v>45</v>
      </c>
      <c r="W36" s="116">
        <f t="shared" si="4"/>
        <v>37</v>
      </c>
      <c r="X36" s="116">
        <f t="shared" si="9"/>
        <v>503</v>
      </c>
      <c r="Y36" s="38">
        <f t="shared" si="10"/>
        <v>13318.518518518518</v>
      </c>
      <c r="Z36" s="38">
        <f t="shared" si="14"/>
        <v>492785.18518518517</v>
      </c>
      <c r="AA36" s="38">
        <f t="shared" si="11"/>
        <v>7192000</v>
      </c>
      <c r="AB36" s="38">
        <f t="shared" si="12"/>
        <v>492785</v>
      </c>
      <c r="AC36" s="38">
        <f t="shared" si="13"/>
        <v>6699215</v>
      </c>
    </row>
    <row r="37" spans="1:33" s="73" customFormat="1">
      <c r="A37" s="72">
        <v>15162000</v>
      </c>
      <c r="B37" s="73" t="s">
        <v>19</v>
      </c>
      <c r="C37" s="74" t="s">
        <v>994</v>
      </c>
      <c r="D37" s="73">
        <v>1</v>
      </c>
      <c r="E37" s="117" t="s">
        <v>362</v>
      </c>
      <c r="F37" s="144"/>
      <c r="G37" s="144"/>
      <c r="H37" s="144"/>
      <c r="I37" s="144"/>
      <c r="J37" s="77">
        <v>43069</v>
      </c>
      <c r="K37" s="118" t="str">
        <f t="shared" si="3"/>
        <v>SI</v>
      </c>
      <c r="L37" s="119">
        <f t="shared" si="5"/>
        <v>12400000</v>
      </c>
      <c r="M37" s="73">
        <v>12400000</v>
      </c>
      <c r="N37" s="145">
        <v>12400000</v>
      </c>
      <c r="O37" s="119">
        <f t="shared" si="6"/>
        <v>12400000</v>
      </c>
      <c r="P37" s="72">
        <v>15920700</v>
      </c>
      <c r="Q37" s="73" t="s">
        <v>26</v>
      </c>
      <c r="R37" s="73">
        <v>298519</v>
      </c>
      <c r="S37" s="73">
        <v>298519</v>
      </c>
      <c r="T37" s="119">
        <f t="shared" si="7"/>
        <v>298519</v>
      </c>
      <c r="U37" s="120">
        <f t="shared" si="8"/>
        <v>12101481</v>
      </c>
      <c r="V37" s="148">
        <v>45</v>
      </c>
      <c r="W37" s="121">
        <f t="shared" si="4"/>
        <v>37</v>
      </c>
      <c r="X37" s="121">
        <f t="shared" si="9"/>
        <v>503</v>
      </c>
      <c r="Y37" s="120">
        <f t="shared" si="10"/>
        <v>22962.962962962964</v>
      </c>
      <c r="Z37" s="120">
        <f t="shared" si="14"/>
        <v>849629.62962962966</v>
      </c>
      <c r="AA37" s="120">
        <f t="shared" si="11"/>
        <v>12400000</v>
      </c>
      <c r="AB37" s="120">
        <f t="shared" si="12"/>
        <v>849630</v>
      </c>
      <c r="AC37" s="120">
        <f t="shared" si="13"/>
        <v>11550370</v>
      </c>
    </row>
    <row r="38" spans="1:33" s="73" customFormat="1">
      <c r="A38" s="150">
        <v>15162000</v>
      </c>
      <c r="B38" s="151" t="s">
        <v>19</v>
      </c>
      <c r="C38" s="151" t="s">
        <v>994</v>
      </c>
      <c r="D38" s="151">
        <v>1</v>
      </c>
      <c r="E38" s="122" t="s">
        <v>362</v>
      </c>
      <c r="F38" s="152"/>
      <c r="G38" s="152"/>
      <c r="H38" s="152"/>
      <c r="I38" s="152"/>
      <c r="J38" s="153">
        <v>43069</v>
      </c>
      <c r="K38" s="123" t="str">
        <f t="shared" si="3"/>
        <v>SI</v>
      </c>
      <c r="L38" s="142">
        <f>M38/D38</f>
        <v>82215000</v>
      </c>
      <c r="M38" s="151">
        <v>82215000</v>
      </c>
      <c r="N38" s="154">
        <v>82215000</v>
      </c>
      <c r="O38" s="142">
        <f>IF(K38="SI",N38,0)</f>
        <v>82215000</v>
      </c>
      <c r="P38" s="155">
        <v>15920700</v>
      </c>
      <c r="Q38" s="151" t="s">
        <v>26</v>
      </c>
      <c r="R38" s="151">
        <v>1979250</v>
      </c>
      <c r="S38" s="151">
        <v>1979250</v>
      </c>
      <c r="T38" s="142">
        <f>IF(O38&gt;0,S38,0)</f>
        <v>1979250</v>
      </c>
      <c r="U38" s="125">
        <f>IF(O38&gt;0,N38-S38,0)</f>
        <v>80235750</v>
      </c>
      <c r="V38" s="156">
        <v>45</v>
      </c>
      <c r="W38" s="137">
        <f t="shared" si="4"/>
        <v>37</v>
      </c>
      <c r="X38" s="124">
        <f t="shared" si="9"/>
        <v>503</v>
      </c>
      <c r="Y38" s="125">
        <f t="shared" si="10"/>
        <v>152250</v>
      </c>
      <c r="Z38" s="125">
        <f t="shared" si="14"/>
        <v>5633250</v>
      </c>
      <c r="AA38" s="125">
        <f t="shared" si="11"/>
        <v>82215000</v>
      </c>
      <c r="AB38" s="125">
        <f t="shared" si="12"/>
        <v>5633250</v>
      </c>
      <c r="AC38" s="126">
        <f t="shared" si="13"/>
        <v>76581750</v>
      </c>
    </row>
    <row r="39" spans="1:33" s="73" customFormat="1">
      <c r="A39" s="157">
        <v>15162000</v>
      </c>
      <c r="B39" s="158" t="s">
        <v>19</v>
      </c>
      <c r="C39" s="158" t="s">
        <v>994</v>
      </c>
      <c r="D39" s="158">
        <v>1</v>
      </c>
      <c r="E39" s="127" t="s">
        <v>362</v>
      </c>
      <c r="F39" s="159"/>
      <c r="G39" s="159"/>
      <c r="H39" s="159"/>
      <c r="I39" s="159"/>
      <c r="J39" s="160">
        <v>43069</v>
      </c>
      <c r="K39" s="128" t="str">
        <f t="shared" si="3"/>
        <v>SI</v>
      </c>
      <c r="L39" s="129">
        <f>M39/D39</f>
        <v>406174241</v>
      </c>
      <c r="M39" s="158">
        <v>406174241</v>
      </c>
      <c r="N39" s="161">
        <v>406174241</v>
      </c>
      <c r="O39" s="129">
        <f>IF(K39="SI",N39,0)</f>
        <v>406174241</v>
      </c>
      <c r="P39" s="162">
        <v>15920700</v>
      </c>
      <c r="Q39" s="158" t="s">
        <v>26</v>
      </c>
      <c r="R39" s="158">
        <v>9778269</v>
      </c>
      <c r="S39" s="158">
        <v>9778269</v>
      </c>
      <c r="T39" s="129">
        <f>IF(O39&gt;0,S39,0)</f>
        <v>9778269</v>
      </c>
      <c r="U39" s="130">
        <f>IF(O39&gt;0,N39-S39,0)</f>
        <v>396395972</v>
      </c>
      <c r="V39" s="163">
        <v>45</v>
      </c>
      <c r="W39" s="131">
        <f t="shared" si="4"/>
        <v>37</v>
      </c>
      <c r="X39" s="131">
        <f t="shared" si="9"/>
        <v>503</v>
      </c>
      <c r="Y39" s="130">
        <f t="shared" si="10"/>
        <v>752174.52037037036</v>
      </c>
      <c r="Z39" s="130">
        <f t="shared" si="14"/>
        <v>27830457.253703702</v>
      </c>
      <c r="AA39" s="130">
        <f t="shared" si="11"/>
        <v>406174241</v>
      </c>
      <c r="AB39" s="130">
        <f t="shared" si="12"/>
        <v>27830457</v>
      </c>
      <c r="AC39" s="132">
        <f t="shared" si="13"/>
        <v>378343784</v>
      </c>
    </row>
    <row r="40" spans="1:33" s="72" customFormat="1">
      <c r="AG40" s="73"/>
    </row>
    <row r="41" spans="1:33" s="73" customFormat="1">
      <c r="A41" s="72">
        <v>15200000</v>
      </c>
      <c r="B41" s="73" t="s">
        <v>20</v>
      </c>
      <c r="C41" s="74" t="s">
        <v>995</v>
      </c>
      <c r="D41" s="73">
        <v>1</v>
      </c>
      <c r="E41" s="36" t="s">
        <v>364</v>
      </c>
      <c r="F41" s="144"/>
      <c r="G41" s="144"/>
      <c r="H41" s="144"/>
      <c r="I41" s="144"/>
      <c r="J41" s="77">
        <v>43069</v>
      </c>
      <c r="K41" s="52" t="str">
        <f t="shared" ref="K41:K72" si="15">IF(L41&gt;($M$24*50),"SI","NO")</f>
        <v>SI</v>
      </c>
      <c r="L41" s="113">
        <f>M41/D41</f>
        <v>242509492.80000001</v>
      </c>
      <c r="M41" s="73">
        <v>242509492.80000001</v>
      </c>
      <c r="N41" s="145">
        <v>242509492.80000001</v>
      </c>
      <c r="O41" s="113">
        <f>IF(K41="SI",N41,0)</f>
        <v>242509492.80000001</v>
      </c>
      <c r="P41" s="72">
        <v>15921000</v>
      </c>
      <c r="Q41" s="73" t="s">
        <v>27</v>
      </c>
      <c r="R41" s="73">
        <v>13135931</v>
      </c>
      <c r="S41" s="73">
        <v>13135931</v>
      </c>
      <c r="T41" s="113">
        <f>IF(O41&gt;0,S41,0)</f>
        <v>13135931</v>
      </c>
      <c r="U41" s="38">
        <f>IF(O41&gt;0,N41-S41,0)</f>
        <v>229373561.80000001</v>
      </c>
      <c r="V41" s="148">
        <v>20</v>
      </c>
      <c r="W41" s="116">
        <f>IF(ROUND(($W$27-J41)/30,0)&gt;(V41*12),(V41*12),(ROUND(($W$27-J41)/30,0)))-1</f>
        <v>37</v>
      </c>
      <c r="X41" s="116">
        <f>(V41*12)-W41</f>
        <v>203</v>
      </c>
      <c r="Y41" s="38">
        <f>N41/(V41*12)</f>
        <v>1010456.2200000001</v>
      </c>
      <c r="Z41" s="38">
        <f>IF(U41&gt;0,W41*Y41,0)</f>
        <v>37386880.140000001</v>
      </c>
      <c r="AA41" s="38">
        <f>ROUND(IF(U41&gt;0,N41,0),0)</f>
        <v>242509493</v>
      </c>
      <c r="AB41" s="38">
        <f>ROUND(IF(U41&gt;0,Z41,0),0)</f>
        <v>37386880</v>
      </c>
      <c r="AC41" s="38">
        <f>AA41-AB41</f>
        <v>205122613</v>
      </c>
    </row>
    <row r="42" spans="1:33" s="73" customFormat="1">
      <c r="A42" s="72">
        <v>15200000</v>
      </c>
      <c r="B42" s="73" t="s">
        <v>20</v>
      </c>
      <c r="C42" s="74" t="s">
        <v>995</v>
      </c>
      <c r="D42" s="73">
        <v>1</v>
      </c>
      <c r="E42" s="36" t="s">
        <v>364</v>
      </c>
      <c r="F42" s="144"/>
      <c r="G42" s="144"/>
      <c r="H42" s="144"/>
      <c r="I42" s="144"/>
      <c r="J42" s="77">
        <v>43069</v>
      </c>
      <c r="K42" s="52" t="str">
        <f t="shared" si="15"/>
        <v>SI</v>
      </c>
      <c r="L42" s="113">
        <f t="shared" ref="L42" si="16">M42/D42</f>
        <v>395695677.60000002</v>
      </c>
      <c r="M42" s="73">
        <v>395695677.60000002</v>
      </c>
      <c r="N42" s="145">
        <v>395695677.60000002</v>
      </c>
      <c r="O42" s="113">
        <f t="shared" ref="O42" si="17">IF(K42="SI",N42,0)</f>
        <v>395695677.60000002</v>
      </c>
      <c r="P42" s="72">
        <v>15921000</v>
      </c>
      <c r="Q42" s="73" t="s">
        <v>27</v>
      </c>
      <c r="R42" s="73">
        <v>21433516</v>
      </c>
      <c r="S42" s="73">
        <v>21433516</v>
      </c>
      <c r="T42" s="113">
        <f t="shared" ref="T42" si="18">IF(O42&gt;0,S42,0)</f>
        <v>21433516</v>
      </c>
      <c r="U42" s="38">
        <f t="shared" ref="U42" si="19">IF(O42&gt;0,N42-S42,0)</f>
        <v>374262161.60000002</v>
      </c>
      <c r="V42" s="148">
        <v>20</v>
      </c>
      <c r="W42" s="116">
        <f t="shared" ref="W42:W95" si="20">IF(ROUND(($W$27-J42)/30,0)&gt;(V42*12),(V42*12),(ROUND(($W$27-J42)/30,0)))-1</f>
        <v>37</v>
      </c>
      <c r="X42" s="116">
        <f t="shared" ref="X42" si="21">(V42*12)-W42</f>
        <v>203</v>
      </c>
      <c r="Y42" s="38">
        <f t="shared" ref="Y42" si="22">N42/(V42*12)</f>
        <v>1648731.99</v>
      </c>
      <c r="Z42" s="38">
        <f t="shared" ref="Z42" si="23">IF(U42&gt;0,W42*Y42,0)</f>
        <v>61003083.630000003</v>
      </c>
      <c r="AA42" s="38">
        <f t="shared" ref="AA42" si="24">ROUND(IF(U42&gt;0,N42,0),0)</f>
        <v>395695678</v>
      </c>
      <c r="AB42" s="38">
        <f t="shared" ref="AB42" si="25">ROUND(IF(U42&gt;0,Z42,0),0)</f>
        <v>61003084</v>
      </c>
      <c r="AC42" s="38">
        <f t="shared" ref="AC42" si="26">AA42-AB42</f>
        <v>334692594</v>
      </c>
    </row>
    <row r="43" spans="1:33" s="73" customFormat="1">
      <c r="A43" s="72">
        <v>15200000</v>
      </c>
      <c r="B43" s="73" t="s">
        <v>20</v>
      </c>
      <c r="C43" s="164" t="s">
        <v>995</v>
      </c>
      <c r="D43" s="73">
        <v>1</v>
      </c>
      <c r="E43" s="36" t="s">
        <v>364</v>
      </c>
      <c r="F43" s="144"/>
      <c r="G43" s="144"/>
      <c r="H43" s="144"/>
      <c r="I43" s="144"/>
      <c r="J43" s="77">
        <v>43069</v>
      </c>
      <c r="K43" s="52" t="str">
        <f t="shared" si="15"/>
        <v>SI</v>
      </c>
      <c r="L43" s="113">
        <f>M43/D43</f>
        <v>2232008171</v>
      </c>
      <c r="M43" s="73">
        <v>2232008171</v>
      </c>
      <c r="N43" s="145">
        <v>2232008171</v>
      </c>
      <c r="O43" s="113">
        <f>IF(K43="SI",N43,0)</f>
        <v>2232008171</v>
      </c>
      <c r="P43" s="72">
        <v>15921000</v>
      </c>
      <c r="Q43" s="73" t="s">
        <v>27</v>
      </c>
      <c r="R43" s="73">
        <v>120900443</v>
      </c>
      <c r="S43" s="73">
        <v>120900443</v>
      </c>
      <c r="T43" s="113">
        <f>IF(O43&gt;0,S43,0)</f>
        <v>120900443</v>
      </c>
      <c r="U43" s="38">
        <f>IF(O43&gt;0,N43-S43,0)</f>
        <v>2111107728</v>
      </c>
      <c r="V43" s="148">
        <v>20</v>
      </c>
      <c r="W43" s="116">
        <f t="shared" si="20"/>
        <v>37</v>
      </c>
      <c r="X43" s="116">
        <f>(V43*12)-W43</f>
        <v>203</v>
      </c>
      <c r="Y43" s="38">
        <f>N43/(V43*12)</f>
        <v>9300034.0458333325</v>
      </c>
      <c r="Z43" s="38">
        <f>IF(U43&gt;0,W43*Y43,0)</f>
        <v>344101259.69583333</v>
      </c>
      <c r="AA43" s="38">
        <f>ROUND(IF(U43&gt;0,N43,0),0)</f>
        <v>2232008171</v>
      </c>
      <c r="AB43" s="38">
        <f>ROUND(IF(U43&gt;0,Z43,0),0)</f>
        <v>344101260</v>
      </c>
      <c r="AC43" s="38">
        <f>AA43-AB43</f>
        <v>1887906911</v>
      </c>
    </row>
    <row r="44" spans="1:33" s="73" customFormat="1">
      <c r="A44" s="72">
        <v>15200000</v>
      </c>
      <c r="B44" s="73" t="s">
        <v>20</v>
      </c>
      <c r="C44" s="165" t="s">
        <v>995</v>
      </c>
      <c r="D44" s="73">
        <v>1</v>
      </c>
      <c r="E44" s="36" t="s">
        <v>364</v>
      </c>
      <c r="F44" s="144"/>
      <c r="G44" s="144"/>
      <c r="H44" s="144"/>
      <c r="I44" s="144"/>
      <c r="J44" s="77">
        <v>43069</v>
      </c>
      <c r="K44" s="52" t="str">
        <f t="shared" si="15"/>
        <v>SI</v>
      </c>
      <c r="L44" s="113">
        <f>M44/D44</f>
        <v>36533858.979999997</v>
      </c>
      <c r="M44" s="73">
        <v>36533858.979999997</v>
      </c>
      <c r="N44" s="145">
        <v>36533858.979999997</v>
      </c>
      <c r="O44" s="113">
        <f>IF(K44="SI",N44,0)</f>
        <v>36533858.979999997</v>
      </c>
      <c r="P44" s="72">
        <v>15921000</v>
      </c>
      <c r="Q44" s="73" t="s">
        <v>27</v>
      </c>
      <c r="R44" s="73">
        <v>1978917</v>
      </c>
      <c r="S44" s="73">
        <v>1978917</v>
      </c>
      <c r="T44" s="113">
        <f>IF(O44&gt;0,S44,0)</f>
        <v>1978917</v>
      </c>
      <c r="U44" s="38">
        <f>IF(O44&gt;0,N44-S44,0)</f>
        <v>34554941.979999997</v>
      </c>
      <c r="V44" s="148">
        <v>20</v>
      </c>
      <c r="W44" s="116">
        <f t="shared" si="20"/>
        <v>37</v>
      </c>
      <c r="X44" s="116">
        <f>(V44*12)-W44</f>
        <v>203</v>
      </c>
      <c r="Y44" s="38">
        <f>N44/(V44*12)</f>
        <v>152224.41241666666</v>
      </c>
      <c r="Z44" s="38">
        <f>IF(U44&gt;0,W44*Y44,0)</f>
        <v>5632303.2594166668</v>
      </c>
      <c r="AA44" s="38">
        <f>ROUND(IF(U44&gt;0,N44,0),0)</f>
        <v>36533859</v>
      </c>
      <c r="AB44" s="38">
        <f>ROUND(IF(U44&gt;0,Z44,0),0)</f>
        <v>5632303</v>
      </c>
      <c r="AC44" s="38">
        <f>AA44-AB44</f>
        <v>30901556</v>
      </c>
    </row>
    <row r="45" spans="1:33" s="73" customFormat="1">
      <c r="A45" s="72">
        <v>15200000</v>
      </c>
      <c r="B45" s="73" t="s">
        <v>20</v>
      </c>
      <c r="C45" s="74" t="s">
        <v>995</v>
      </c>
      <c r="D45" s="73">
        <v>1</v>
      </c>
      <c r="E45" s="36" t="s">
        <v>364</v>
      </c>
      <c r="F45" s="144"/>
      <c r="G45" s="144"/>
      <c r="H45" s="144"/>
      <c r="I45" s="144"/>
      <c r="J45" s="77">
        <v>43069</v>
      </c>
      <c r="K45" s="52" t="str">
        <f t="shared" si="15"/>
        <v>SI</v>
      </c>
      <c r="L45" s="113">
        <f t="shared" ref="L45:L220" si="27">M45/D45</f>
        <v>696539751.29999995</v>
      </c>
      <c r="M45" s="73">
        <v>696539751.29999995</v>
      </c>
      <c r="N45" s="145">
        <v>696539751.29999995</v>
      </c>
      <c r="O45" s="113">
        <f t="shared" ref="O45:O220" si="28">IF(K45="SI",N45,0)</f>
        <v>696539751.29999995</v>
      </c>
      <c r="P45" s="72">
        <v>15921000</v>
      </c>
      <c r="Q45" s="73" t="s">
        <v>27</v>
      </c>
      <c r="R45" s="73">
        <v>37729237</v>
      </c>
      <c r="S45" s="73">
        <v>37729237</v>
      </c>
      <c r="T45" s="113">
        <f t="shared" ref="T45:T220" si="29">IF(O45&gt;0,S45,0)</f>
        <v>37729237</v>
      </c>
      <c r="U45" s="38">
        <f t="shared" ref="U45:U220" si="30">IF(O45&gt;0,N45-S45,0)</f>
        <v>658810514.29999995</v>
      </c>
      <c r="V45" s="148">
        <v>20</v>
      </c>
      <c r="W45" s="116">
        <f t="shared" si="20"/>
        <v>37</v>
      </c>
      <c r="X45" s="116">
        <f t="shared" ref="X45:X108" si="31">(V45*12)-W45</f>
        <v>203</v>
      </c>
      <c r="Y45" s="38">
        <f t="shared" ref="Y45:Y108" si="32">N45/(V45*12)</f>
        <v>2902248.9637499996</v>
      </c>
      <c r="Z45" s="38">
        <f t="shared" ref="Z45:Z108" si="33">IF(U45&gt;0,W45*Y45,0)</f>
        <v>107383211.65874998</v>
      </c>
      <c r="AA45" s="38">
        <f t="shared" ref="AA45:AA108" si="34">ROUND(IF(U45&gt;0,N45,0),0)</f>
        <v>696539751</v>
      </c>
      <c r="AB45" s="38">
        <f t="shared" ref="AB45:AB108" si="35">ROUND(IF(U45&gt;0,Z45,0),0)</f>
        <v>107383212</v>
      </c>
      <c r="AC45" s="38">
        <f t="shared" ref="AC45:AC108" si="36">AA45-AB45</f>
        <v>589156539</v>
      </c>
    </row>
    <row r="46" spans="1:33" s="73" customFormat="1">
      <c r="A46" s="72">
        <v>15200000</v>
      </c>
      <c r="B46" s="73" t="s">
        <v>20</v>
      </c>
      <c r="C46" s="74" t="s">
        <v>995</v>
      </c>
      <c r="D46" s="73">
        <v>1</v>
      </c>
      <c r="E46" s="36" t="s">
        <v>364</v>
      </c>
      <c r="F46" s="144"/>
      <c r="G46" s="144"/>
      <c r="H46" s="144"/>
      <c r="I46" s="144"/>
      <c r="J46" s="77">
        <v>43069</v>
      </c>
      <c r="K46" s="52" t="str">
        <f t="shared" si="15"/>
        <v>SI</v>
      </c>
      <c r="L46" s="113">
        <f t="shared" si="27"/>
        <v>46760471.579999998</v>
      </c>
      <c r="M46" s="73">
        <v>46760471.579999998</v>
      </c>
      <c r="N46" s="145">
        <v>46760471.579999998</v>
      </c>
      <c r="O46" s="113">
        <f t="shared" si="28"/>
        <v>46760471.579999998</v>
      </c>
      <c r="P46" s="72">
        <v>15921000</v>
      </c>
      <c r="Q46" s="73" t="s">
        <v>27</v>
      </c>
      <c r="R46" s="73">
        <v>5065718</v>
      </c>
      <c r="S46" s="73">
        <v>5065718</v>
      </c>
      <c r="T46" s="113">
        <f t="shared" si="29"/>
        <v>5065718</v>
      </c>
      <c r="U46" s="38">
        <f t="shared" si="30"/>
        <v>41694753.579999998</v>
      </c>
      <c r="V46" s="148">
        <v>10</v>
      </c>
      <c r="W46" s="116">
        <f t="shared" si="20"/>
        <v>37</v>
      </c>
      <c r="X46" s="116">
        <f t="shared" si="31"/>
        <v>83</v>
      </c>
      <c r="Y46" s="38">
        <f t="shared" si="32"/>
        <v>389670.59649999999</v>
      </c>
      <c r="Z46" s="38">
        <f t="shared" si="33"/>
        <v>14417812.070499999</v>
      </c>
      <c r="AA46" s="38">
        <f t="shared" si="34"/>
        <v>46760472</v>
      </c>
      <c r="AB46" s="38">
        <f t="shared" si="35"/>
        <v>14417812</v>
      </c>
      <c r="AC46" s="38">
        <f t="shared" si="36"/>
        <v>32342660</v>
      </c>
    </row>
    <row r="47" spans="1:33" s="73" customFormat="1">
      <c r="A47" s="72">
        <v>15200000</v>
      </c>
      <c r="B47" s="73" t="s">
        <v>20</v>
      </c>
      <c r="C47" s="74" t="s">
        <v>995</v>
      </c>
      <c r="D47" s="73">
        <v>1</v>
      </c>
      <c r="E47" s="36" t="s">
        <v>364</v>
      </c>
      <c r="F47" s="144"/>
      <c r="G47" s="144"/>
      <c r="H47" s="144"/>
      <c r="I47" s="144"/>
      <c r="J47" s="77">
        <v>43069</v>
      </c>
      <c r="K47" s="52" t="str">
        <f t="shared" si="15"/>
        <v>SI</v>
      </c>
      <c r="L47" s="113">
        <f t="shared" si="27"/>
        <v>14257374.710000001</v>
      </c>
      <c r="M47" s="73">
        <v>14257374.710000001</v>
      </c>
      <c r="N47" s="145">
        <v>14257374.710000001</v>
      </c>
      <c r="O47" s="113">
        <f t="shared" si="28"/>
        <v>14257374.710000001</v>
      </c>
      <c r="P47" s="72">
        <v>15921000</v>
      </c>
      <c r="Q47" s="73" t="s">
        <v>27</v>
      </c>
      <c r="R47" s="73">
        <v>1544549</v>
      </c>
      <c r="S47" s="73">
        <v>1544549</v>
      </c>
      <c r="T47" s="113">
        <f t="shared" si="29"/>
        <v>1544549</v>
      </c>
      <c r="U47" s="38">
        <f t="shared" si="30"/>
        <v>12712825.710000001</v>
      </c>
      <c r="V47" s="148">
        <v>10</v>
      </c>
      <c r="W47" s="116">
        <f t="shared" si="20"/>
        <v>37</v>
      </c>
      <c r="X47" s="116">
        <f t="shared" si="31"/>
        <v>83</v>
      </c>
      <c r="Y47" s="38">
        <f t="shared" si="32"/>
        <v>118811.45591666667</v>
      </c>
      <c r="Z47" s="38">
        <f t="shared" si="33"/>
        <v>4396023.8689166671</v>
      </c>
      <c r="AA47" s="38">
        <f t="shared" si="34"/>
        <v>14257375</v>
      </c>
      <c r="AB47" s="38">
        <f t="shared" si="35"/>
        <v>4396024</v>
      </c>
      <c r="AC47" s="38">
        <f t="shared" si="36"/>
        <v>9861351</v>
      </c>
    </row>
    <row r="48" spans="1:33" s="73" customFormat="1">
      <c r="A48" s="72">
        <v>15200000</v>
      </c>
      <c r="B48" s="73" t="s">
        <v>20</v>
      </c>
      <c r="C48" s="74" t="s">
        <v>995</v>
      </c>
      <c r="D48" s="73">
        <v>1</v>
      </c>
      <c r="E48" s="36" t="s">
        <v>364</v>
      </c>
      <c r="F48" s="144"/>
      <c r="G48" s="144"/>
      <c r="H48" s="144"/>
      <c r="I48" s="144"/>
      <c r="J48" s="77">
        <v>43069</v>
      </c>
      <c r="K48" s="52" t="str">
        <f t="shared" si="15"/>
        <v>SI</v>
      </c>
      <c r="L48" s="113">
        <f t="shared" si="27"/>
        <v>14257374.710000001</v>
      </c>
      <c r="M48" s="73">
        <v>14257374.710000001</v>
      </c>
      <c r="N48" s="145">
        <v>14257374.710000001</v>
      </c>
      <c r="O48" s="113">
        <f t="shared" si="28"/>
        <v>14257374.710000001</v>
      </c>
      <c r="P48" s="72">
        <v>15921000</v>
      </c>
      <c r="Q48" s="73" t="s">
        <v>27</v>
      </c>
      <c r="R48" s="73">
        <v>1544549</v>
      </c>
      <c r="S48" s="73">
        <v>1544549</v>
      </c>
      <c r="T48" s="113">
        <f t="shared" si="29"/>
        <v>1544549</v>
      </c>
      <c r="U48" s="38">
        <f t="shared" si="30"/>
        <v>12712825.710000001</v>
      </c>
      <c r="V48" s="148">
        <v>10</v>
      </c>
      <c r="W48" s="116">
        <f t="shared" si="20"/>
        <v>37</v>
      </c>
      <c r="X48" s="116">
        <f t="shared" si="31"/>
        <v>83</v>
      </c>
      <c r="Y48" s="38">
        <f t="shared" si="32"/>
        <v>118811.45591666667</v>
      </c>
      <c r="Z48" s="38">
        <f t="shared" si="33"/>
        <v>4396023.8689166671</v>
      </c>
      <c r="AA48" s="38">
        <f t="shared" si="34"/>
        <v>14257375</v>
      </c>
      <c r="AB48" s="38">
        <f t="shared" si="35"/>
        <v>4396024</v>
      </c>
      <c r="AC48" s="38">
        <f t="shared" si="36"/>
        <v>9861351</v>
      </c>
    </row>
    <row r="49" spans="1:29" s="73" customFormat="1">
      <c r="A49" s="72">
        <v>15200000</v>
      </c>
      <c r="B49" s="73" t="s">
        <v>20</v>
      </c>
      <c r="C49" s="74" t="s">
        <v>995</v>
      </c>
      <c r="D49" s="73">
        <v>1</v>
      </c>
      <c r="E49" s="36" t="s">
        <v>364</v>
      </c>
      <c r="F49" s="144"/>
      <c r="G49" s="144"/>
      <c r="H49" s="144"/>
      <c r="I49" s="144"/>
      <c r="J49" s="77">
        <v>43069</v>
      </c>
      <c r="K49" s="52" t="str">
        <f t="shared" si="15"/>
        <v>SI</v>
      </c>
      <c r="L49" s="113">
        <f t="shared" si="27"/>
        <v>14257374.710000001</v>
      </c>
      <c r="M49" s="73">
        <v>14257374.710000001</v>
      </c>
      <c r="N49" s="145">
        <v>14257374.710000001</v>
      </c>
      <c r="O49" s="113">
        <f t="shared" si="28"/>
        <v>14257374.710000001</v>
      </c>
      <c r="P49" s="72">
        <v>15921000</v>
      </c>
      <c r="Q49" s="73" t="s">
        <v>27</v>
      </c>
      <c r="R49" s="73">
        <v>1544549</v>
      </c>
      <c r="S49" s="73">
        <v>1544549</v>
      </c>
      <c r="T49" s="113">
        <f t="shared" si="29"/>
        <v>1544549</v>
      </c>
      <c r="U49" s="38">
        <f t="shared" si="30"/>
        <v>12712825.710000001</v>
      </c>
      <c r="V49" s="148">
        <v>10</v>
      </c>
      <c r="W49" s="116">
        <f t="shared" si="20"/>
        <v>37</v>
      </c>
      <c r="X49" s="116">
        <f t="shared" si="31"/>
        <v>83</v>
      </c>
      <c r="Y49" s="38">
        <f t="shared" si="32"/>
        <v>118811.45591666667</v>
      </c>
      <c r="Z49" s="38">
        <f t="shared" si="33"/>
        <v>4396023.8689166671</v>
      </c>
      <c r="AA49" s="38">
        <f t="shared" si="34"/>
        <v>14257375</v>
      </c>
      <c r="AB49" s="38">
        <f t="shared" si="35"/>
        <v>4396024</v>
      </c>
      <c r="AC49" s="38">
        <f t="shared" si="36"/>
        <v>9861351</v>
      </c>
    </row>
    <row r="50" spans="1:29" s="73" customFormat="1">
      <c r="A50" s="72">
        <v>15200000</v>
      </c>
      <c r="B50" s="73" t="s">
        <v>20</v>
      </c>
      <c r="C50" s="74" t="s">
        <v>995</v>
      </c>
      <c r="D50" s="73">
        <v>1</v>
      </c>
      <c r="E50" s="36" t="s">
        <v>364</v>
      </c>
      <c r="F50" s="144"/>
      <c r="G50" s="144"/>
      <c r="H50" s="144"/>
      <c r="I50" s="144"/>
      <c r="J50" s="77">
        <v>43069</v>
      </c>
      <c r="K50" s="52" t="str">
        <f t="shared" si="15"/>
        <v>SI</v>
      </c>
      <c r="L50" s="113">
        <f t="shared" si="27"/>
        <v>14257374.710000001</v>
      </c>
      <c r="M50" s="73">
        <v>14257374.710000001</v>
      </c>
      <c r="N50" s="145">
        <v>14257374.710000001</v>
      </c>
      <c r="O50" s="113">
        <f t="shared" si="28"/>
        <v>14257374.710000001</v>
      </c>
      <c r="P50" s="72">
        <v>15921000</v>
      </c>
      <c r="Q50" s="73" t="s">
        <v>27</v>
      </c>
      <c r="R50" s="73">
        <v>1544549</v>
      </c>
      <c r="S50" s="73">
        <v>1544549</v>
      </c>
      <c r="T50" s="113">
        <f t="shared" si="29"/>
        <v>1544549</v>
      </c>
      <c r="U50" s="38">
        <f t="shared" si="30"/>
        <v>12712825.710000001</v>
      </c>
      <c r="V50" s="148">
        <v>10</v>
      </c>
      <c r="W50" s="116">
        <f t="shared" si="20"/>
        <v>37</v>
      </c>
      <c r="X50" s="116">
        <f t="shared" si="31"/>
        <v>83</v>
      </c>
      <c r="Y50" s="38">
        <f t="shared" si="32"/>
        <v>118811.45591666667</v>
      </c>
      <c r="Z50" s="38">
        <f t="shared" si="33"/>
        <v>4396023.8689166671</v>
      </c>
      <c r="AA50" s="38">
        <f t="shared" si="34"/>
        <v>14257375</v>
      </c>
      <c r="AB50" s="38">
        <f t="shared" si="35"/>
        <v>4396024</v>
      </c>
      <c r="AC50" s="38">
        <f t="shared" si="36"/>
        <v>9861351</v>
      </c>
    </row>
    <row r="51" spans="1:29" s="73" customFormat="1">
      <c r="A51" s="72">
        <v>15200000</v>
      </c>
      <c r="B51" s="73" t="s">
        <v>20</v>
      </c>
      <c r="C51" s="74" t="s">
        <v>995</v>
      </c>
      <c r="D51" s="73">
        <v>1</v>
      </c>
      <c r="E51" s="36" t="s">
        <v>364</v>
      </c>
      <c r="F51" s="144"/>
      <c r="G51" s="144"/>
      <c r="H51" s="144"/>
      <c r="I51" s="144"/>
      <c r="J51" s="77">
        <v>43069</v>
      </c>
      <c r="K51" s="52" t="str">
        <f t="shared" si="15"/>
        <v>SI</v>
      </c>
      <c r="L51" s="113">
        <f t="shared" si="27"/>
        <v>720959095.79999995</v>
      </c>
      <c r="M51" s="73">
        <v>720959095.79999995</v>
      </c>
      <c r="N51" s="145">
        <v>720959095.79999995</v>
      </c>
      <c r="O51" s="113">
        <f t="shared" si="28"/>
        <v>720959095.79999995</v>
      </c>
      <c r="P51" s="72">
        <v>15921000</v>
      </c>
      <c r="Q51" s="73" t="s">
        <v>27</v>
      </c>
      <c r="R51" s="73">
        <v>39051951</v>
      </c>
      <c r="S51" s="73">
        <v>39051951</v>
      </c>
      <c r="T51" s="113">
        <f t="shared" si="29"/>
        <v>39051951</v>
      </c>
      <c r="U51" s="38">
        <f t="shared" si="30"/>
        <v>681907144.79999995</v>
      </c>
      <c r="V51" s="148">
        <v>20</v>
      </c>
      <c r="W51" s="116">
        <f t="shared" si="20"/>
        <v>37</v>
      </c>
      <c r="X51" s="116">
        <f t="shared" si="31"/>
        <v>203</v>
      </c>
      <c r="Y51" s="38">
        <f t="shared" si="32"/>
        <v>3003996.2324999999</v>
      </c>
      <c r="Z51" s="38">
        <f t="shared" si="33"/>
        <v>111147860.60249999</v>
      </c>
      <c r="AA51" s="38">
        <f t="shared" si="34"/>
        <v>720959096</v>
      </c>
      <c r="AB51" s="38">
        <f t="shared" si="35"/>
        <v>111147861</v>
      </c>
      <c r="AC51" s="38">
        <f t="shared" si="36"/>
        <v>609811235</v>
      </c>
    </row>
    <row r="52" spans="1:29" s="73" customFormat="1">
      <c r="A52" s="72">
        <v>15200000</v>
      </c>
      <c r="B52" s="73" t="s">
        <v>20</v>
      </c>
      <c r="C52" s="74" t="s">
        <v>995</v>
      </c>
      <c r="D52" s="73">
        <v>1</v>
      </c>
      <c r="E52" s="36" t="s">
        <v>364</v>
      </c>
      <c r="F52" s="144"/>
      <c r="G52" s="144"/>
      <c r="H52" s="144"/>
      <c r="I52" s="144"/>
      <c r="J52" s="77">
        <v>43069</v>
      </c>
      <c r="K52" s="52" t="str">
        <f t="shared" si="15"/>
        <v>SI</v>
      </c>
      <c r="L52" s="113">
        <f t="shared" si="27"/>
        <v>241753435.90000001</v>
      </c>
      <c r="M52" s="73">
        <v>241753435.90000001</v>
      </c>
      <c r="N52" s="145">
        <v>241753435.90000001</v>
      </c>
      <c r="O52" s="113">
        <f t="shared" si="28"/>
        <v>241753435.90000001</v>
      </c>
      <c r="P52" s="72">
        <v>15921000</v>
      </c>
      <c r="Q52" s="73" t="s">
        <v>27</v>
      </c>
      <c r="R52" s="73">
        <v>26189956</v>
      </c>
      <c r="S52" s="73">
        <v>26189956</v>
      </c>
      <c r="T52" s="113">
        <f t="shared" si="29"/>
        <v>26189956</v>
      </c>
      <c r="U52" s="38">
        <f t="shared" si="30"/>
        <v>215563479.90000001</v>
      </c>
      <c r="V52" s="148">
        <v>10</v>
      </c>
      <c r="W52" s="116">
        <f t="shared" si="20"/>
        <v>37</v>
      </c>
      <c r="X52" s="116">
        <f t="shared" si="31"/>
        <v>83</v>
      </c>
      <c r="Y52" s="38">
        <f t="shared" si="32"/>
        <v>2014611.9658333333</v>
      </c>
      <c r="Z52" s="38">
        <f t="shared" si="33"/>
        <v>74540642.735833332</v>
      </c>
      <c r="AA52" s="38">
        <f t="shared" si="34"/>
        <v>241753436</v>
      </c>
      <c r="AB52" s="38">
        <f t="shared" si="35"/>
        <v>74540643</v>
      </c>
      <c r="AC52" s="38">
        <f t="shared" si="36"/>
        <v>167212793</v>
      </c>
    </row>
    <row r="53" spans="1:29" s="73" customFormat="1">
      <c r="A53" s="72">
        <v>15200000</v>
      </c>
      <c r="B53" s="73" t="s">
        <v>20</v>
      </c>
      <c r="C53" s="74" t="s">
        <v>995</v>
      </c>
      <c r="D53" s="73">
        <v>1</v>
      </c>
      <c r="E53" s="36" t="s">
        <v>364</v>
      </c>
      <c r="F53" s="144"/>
      <c r="G53" s="144"/>
      <c r="H53" s="144"/>
      <c r="I53" s="144"/>
      <c r="J53" s="77">
        <v>43069</v>
      </c>
      <c r="K53" s="52" t="str">
        <f t="shared" si="15"/>
        <v>SI</v>
      </c>
      <c r="L53" s="113">
        <f t="shared" si="27"/>
        <v>45094524.399999999</v>
      </c>
      <c r="M53" s="73">
        <v>45094524.399999999</v>
      </c>
      <c r="N53" s="145">
        <v>45094524.399999999</v>
      </c>
      <c r="O53" s="113">
        <f t="shared" si="28"/>
        <v>45094524.399999999</v>
      </c>
      <c r="P53" s="72">
        <v>15921000</v>
      </c>
      <c r="Q53" s="73" t="s">
        <v>27</v>
      </c>
      <c r="R53" s="73">
        <v>2442620</v>
      </c>
      <c r="S53" s="73">
        <v>2442620</v>
      </c>
      <c r="T53" s="113">
        <f t="shared" si="29"/>
        <v>2442620</v>
      </c>
      <c r="U53" s="38">
        <f t="shared" si="30"/>
        <v>42651904.399999999</v>
      </c>
      <c r="V53" s="148">
        <v>20</v>
      </c>
      <c r="W53" s="116">
        <f t="shared" si="20"/>
        <v>37</v>
      </c>
      <c r="X53" s="116">
        <f t="shared" si="31"/>
        <v>203</v>
      </c>
      <c r="Y53" s="38">
        <f t="shared" si="32"/>
        <v>187893.85166666665</v>
      </c>
      <c r="Z53" s="38">
        <f t="shared" si="33"/>
        <v>6952072.5116666658</v>
      </c>
      <c r="AA53" s="38">
        <f t="shared" si="34"/>
        <v>45094524</v>
      </c>
      <c r="AB53" s="38">
        <f t="shared" si="35"/>
        <v>6952073</v>
      </c>
      <c r="AC53" s="38">
        <f t="shared" si="36"/>
        <v>38142451</v>
      </c>
    </row>
    <row r="54" spans="1:29" s="73" customFormat="1">
      <c r="A54" s="72">
        <v>15200000</v>
      </c>
      <c r="B54" s="73" t="s">
        <v>20</v>
      </c>
      <c r="C54" s="74" t="s">
        <v>995</v>
      </c>
      <c r="D54" s="73">
        <v>1</v>
      </c>
      <c r="E54" s="36" t="s">
        <v>364</v>
      </c>
      <c r="F54" s="144"/>
      <c r="G54" s="144"/>
      <c r="H54" s="144"/>
      <c r="I54" s="144"/>
      <c r="J54" s="77">
        <v>43069</v>
      </c>
      <c r="K54" s="52" t="str">
        <f t="shared" si="15"/>
        <v>SI</v>
      </c>
      <c r="L54" s="113">
        <f t="shared" si="27"/>
        <v>49652379.189999998</v>
      </c>
      <c r="M54" s="73">
        <v>49652379.189999998</v>
      </c>
      <c r="N54" s="145">
        <v>49652379.189999998</v>
      </c>
      <c r="O54" s="113">
        <f t="shared" si="28"/>
        <v>49652379.189999998</v>
      </c>
      <c r="P54" s="72">
        <v>15921000</v>
      </c>
      <c r="Q54" s="73" t="s">
        <v>27</v>
      </c>
      <c r="R54" s="73">
        <v>2689504</v>
      </c>
      <c r="S54" s="73">
        <v>2689504</v>
      </c>
      <c r="T54" s="113">
        <f t="shared" si="29"/>
        <v>2689504</v>
      </c>
      <c r="U54" s="38">
        <f t="shared" si="30"/>
        <v>46962875.189999998</v>
      </c>
      <c r="V54" s="148">
        <v>20</v>
      </c>
      <c r="W54" s="116">
        <f t="shared" si="20"/>
        <v>37</v>
      </c>
      <c r="X54" s="116">
        <f t="shared" si="31"/>
        <v>203</v>
      </c>
      <c r="Y54" s="38">
        <f t="shared" si="32"/>
        <v>206884.91329166666</v>
      </c>
      <c r="Z54" s="38">
        <f t="shared" si="33"/>
        <v>7654741.7917916663</v>
      </c>
      <c r="AA54" s="38">
        <f t="shared" si="34"/>
        <v>49652379</v>
      </c>
      <c r="AB54" s="38">
        <f t="shared" si="35"/>
        <v>7654742</v>
      </c>
      <c r="AC54" s="38">
        <f t="shared" si="36"/>
        <v>41997637</v>
      </c>
    </row>
    <row r="55" spans="1:29" s="73" customFormat="1">
      <c r="A55" s="72">
        <v>15200000</v>
      </c>
      <c r="B55" s="73" t="s">
        <v>20</v>
      </c>
      <c r="C55" s="74" t="s">
        <v>995</v>
      </c>
      <c r="D55" s="73">
        <v>1</v>
      </c>
      <c r="E55" s="36" t="s">
        <v>364</v>
      </c>
      <c r="F55" s="144"/>
      <c r="G55" s="144"/>
      <c r="H55" s="144"/>
      <c r="I55" s="144"/>
      <c r="J55" s="77">
        <v>43069</v>
      </c>
      <c r="K55" s="52" t="str">
        <f t="shared" si="15"/>
        <v>SI</v>
      </c>
      <c r="L55" s="113">
        <f t="shared" si="27"/>
        <v>75118988.510000005</v>
      </c>
      <c r="M55" s="73">
        <v>75118988.510000005</v>
      </c>
      <c r="N55" s="145">
        <v>75118988.510000005</v>
      </c>
      <c r="O55" s="113">
        <f t="shared" si="28"/>
        <v>75118988.510000005</v>
      </c>
      <c r="P55" s="72">
        <v>15921000</v>
      </c>
      <c r="Q55" s="73" t="s">
        <v>27</v>
      </c>
      <c r="R55" s="73">
        <v>4068945</v>
      </c>
      <c r="S55" s="73">
        <v>4068945</v>
      </c>
      <c r="T55" s="113">
        <f t="shared" si="29"/>
        <v>4068945</v>
      </c>
      <c r="U55" s="38">
        <f t="shared" si="30"/>
        <v>71050043.510000005</v>
      </c>
      <c r="V55" s="148">
        <v>20</v>
      </c>
      <c r="W55" s="116">
        <f t="shared" si="20"/>
        <v>37</v>
      </c>
      <c r="X55" s="116">
        <f t="shared" si="31"/>
        <v>203</v>
      </c>
      <c r="Y55" s="38">
        <f t="shared" si="32"/>
        <v>312995.78545833338</v>
      </c>
      <c r="Z55" s="38">
        <f t="shared" si="33"/>
        <v>11580844.061958335</v>
      </c>
      <c r="AA55" s="38">
        <f t="shared" si="34"/>
        <v>75118989</v>
      </c>
      <c r="AB55" s="38">
        <f t="shared" si="35"/>
        <v>11580844</v>
      </c>
      <c r="AC55" s="38">
        <f t="shared" si="36"/>
        <v>63538145</v>
      </c>
    </row>
    <row r="56" spans="1:29" s="73" customFormat="1">
      <c r="A56" s="72">
        <v>15200000</v>
      </c>
      <c r="B56" s="73" t="s">
        <v>20</v>
      </c>
      <c r="C56" s="74" t="s">
        <v>995</v>
      </c>
      <c r="D56" s="73">
        <v>1</v>
      </c>
      <c r="E56" s="36" t="s">
        <v>364</v>
      </c>
      <c r="F56" s="144"/>
      <c r="G56" s="144"/>
      <c r="H56" s="144"/>
      <c r="I56" s="144"/>
      <c r="J56" s="77">
        <v>43069</v>
      </c>
      <c r="K56" s="52" t="str">
        <f t="shared" si="15"/>
        <v>SI</v>
      </c>
      <c r="L56" s="113">
        <f t="shared" si="27"/>
        <v>100910272.90000001</v>
      </c>
      <c r="M56" s="73">
        <v>100910272.90000001</v>
      </c>
      <c r="N56" s="145">
        <v>100910272.90000001</v>
      </c>
      <c r="O56" s="113">
        <f t="shared" si="28"/>
        <v>100910272.90000001</v>
      </c>
      <c r="P56" s="72">
        <v>15921000</v>
      </c>
      <c r="Q56" s="73" t="s">
        <v>27</v>
      </c>
      <c r="R56" s="73">
        <v>5465973</v>
      </c>
      <c r="S56" s="73">
        <v>5465973</v>
      </c>
      <c r="T56" s="113">
        <f t="shared" si="29"/>
        <v>5465973</v>
      </c>
      <c r="U56" s="38">
        <f t="shared" si="30"/>
        <v>95444299.900000006</v>
      </c>
      <c r="V56" s="148">
        <v>20</v>
      </c>
      <c r="W56" s="116">
        <f t="shared" si="20"/>
        <v>37</v>
      </c>
      <c r="X56" s="116">
        <f t="shared" si="31"/>
        <v>203</v>
      </c>
      <c r="Y56" s="38">
        <f t="shared" si="32"/>
        <v>420459.47041666671</v>
      </c>
      <c r="Z56" s="38">
        <f t="shared" si="33"/>
        <v>15557000.405416667</v>
      </c>
      <c r="AA56" s="38">
        <f t="shared" si="34"/>
        <v>100910273</v>
      </c>
      <c r="AB56" s="38">
        <f t="shared" si="35"/>
        <v>15557000</v>
      </c>
      <c r="AC56" s="38">
        <f t="shared" si="36"/>
        <v>85353273</v>
      </c>
    </row>
    <row r="57" spans="1:29" s="73" customFormat="1">
      <c r="A57" s="72">
        <v>15200000</v>
      </c>
      <c r="B57" s="73" t="s">
        <v>20</v>
      </c>
      <c r="C57" s="74" t="s">
        <v>995</v>
      </c>
      <c r="D57" s="73">
        <v>1</v>
      </c>
      <c r="E57" s="36" t="s">
        <v>364</v>
      </c>
      <c r="F57" s="144"/>
      <c r="G57" s="144"/>
      <c r="H57" s="144"/>
      <c r="I57" s="144"/>
      <c r="J57" s="77">
        <v>43069</v>
      </c>
      <c r="K57" s="52" t="str">
        <f t="shared" si="15"/>
        <v>SI</v>
      </c>
      <c r="L57" s="113">
        <f t="shared" si="27"/>
        <v>60543270.899999999</v>
      </c>
      <c r="M57" s="73">
        <v>60543270.899999999</v>
      </c>
      <c r="N57" s="145">
        <v>60543270.899999999</v>
      </c>
      <c r="O57" s="113">
        <f t="shared" si="28"/>
        <v>60543270.899999999</v>
      </c>
      <c r="P57" s="72">
        <v>15921000</v>
      </c>
      <c r="Q57" s="73" t="s">
        <v>27</v>
      </c>
      <c r="R57" s="73">
        <v>3279427</v>
      </c>
      <c r="S57" s="73">
        <v>3279427</v>
      </c>
      <c r="T57" s="113">
        <f t="shared" si="29"/>
        <v>3279427</v>
      </c>
      <c r="U57" s="38">
        <f t="shared" si="30"/>
        <v>57263843.899999999</v>
      </c>
      <c r="V57" s="148">
        <v>20</v>
      </c>
      <c r="W57" s="116">
        <f t="shared" si="20"/>
        <v>37</v>
      </c>
      <c r="X57" s="116">
        <f t="shared" si="31"/>
        <v>203</v>
      </c>
      <c r="Y57" s="38">
        <f t="shared" si="32"/>
        <v>252263.62875</v>
      </c>
      <c r="Z57" s="38">
        <f t="shared" si="33"/>
        <v>9333754.2637499999</v>
      </c>
      <c r="AA57" s="38">
        <f t="shared" si="34"/>
        <v>60543271</v>
      </c>
      <c r="AB57" s="38">
        <f t="shared" si="35"/>
        <v>9333754</v>
      </c>
      <c r="AC57" s="38">
        <f t="shared" si="36"/>
        <v>51209517</v>
      </c>
    </row>
    <row r="58" spans="1:29" s="73" customFormat="1">
      <c r="A58" s="72">
        <v>15200000</v>
      </c>
      <c r="B58" s="73" t="s">
        <v>20</v>
      </c>
      <c r="C58" s="74" t="s">
        <v>995</v>
      </c>
      <c r="D58" s="73">
        <v>1</v>
      </c>
      <c r="E58" s="36" t="s">
        <v>364</v>
      </c>
      <c r="F58" s="144"/>
      <c r="G58" s="144"/>
      <c r="H58" s="144"/>
      <c r="I58" s="144"/>
      <c r="J58" s="77">
        <v>43069</v>
      </c>
      <c r="K58" s="52" t="str">
        <f t="shared" si="15"/>
        <v>SI</v>
      </c>
      <c r="L58" s="113">
        <f t="shared" si="27"/>
        <v>58861450.490000002</v>
      </c>
      <c r="M58" s="73">
        <v>58861450.490000002</v>
      </c>
      <c r="N58" s="145">
        <v>58861450.490000002</v>
      </c>
      <c r="O58" s="113">
        <f t="shared" si="28"/>
        <v>58861450.490000002</v>
      </c>
      <c r="P58" s="72">
        <v>15921000</v>
      </c>
      <c r="Q58" s="73" t="s">
        <v>27</v>
      </c>
      <c r="R58" s="73">
        <v>3188329</v>
      </c>
      <c r="S58" s="73">
        <v>3188329</v>
      </c>
      <c r="T58" s="113">
        <f t="shared" si="29"/>
        <v>3188329</v>
      </c>
      <c r="U58" s="38">
        <f t="shared" si="30"/>
        <v>55673121.490000002</v>
      </c>
      <c r="V58" s="148">
        <v>20</v>
      </c>
      <c r="W58" s="116">
        <f t="shared" si="20"/>
        <v>37</v>
      </c>
      <c r="X58" s="116">
        <f t="shared" si="31"/>
        <v>203</v>
      </c>
      <c r="Y58" s="38">
        <f t="shared" si="32"/>
        <v>245256.04370833334</v>
      </c>
      <c r="Z58" s="38">
        <f t="shared" si="33"/>
        <v>9074473.6172083337</v>
      </c>
      <c r="AA58" s="38">
        <f t="shared" si="34"/>
        <v>58861450</v>
      </c>
      <c r="AB58" s="38">
        <f t="shared" si="35"/>
        <v>9074474</v>
      </c>
      <c r="AC58" s="38">
        <f t="shared" si="36"/>
        <v>49786976</v>
      </c>
    </row>
    <row r="59" spans="1:29" s="73" customFormat="1">
      <c r="A59" s="72">
        <v>15200000</v>
      </c>
      <c r="B59" s="73" t="s">
        <v>20</v>
      </c>
      <c r="C59" s="74" t="s">
        <v>995</v>
      </c>
      <c r="D59" s="73">
        <v>1</v>
      </c>
      <c r="E59" s="36" t="s">
        <v>364</v>
      </c>
      <c r="F59" s="144"/>
      <c r="G59" s="144"/>
      <c r="H59" s="144"/>
      <c r="I59" s="144"/>
      <c r="J59" s="77">
        <v>43069</v>
      </c>
      <c r="K59" s="52" t="str">
        <f t="shared" si="15"/>
        <v>SI</v>
      </c>
      <c r="L59" s="113">
        <f t="shared" si="27"/>
        <v>2969600</v>
      </c>
      <c r="M59" s="73">
        <v>2969600</v>
      </c>
      <c r="N59" s="145">
        <v>2969600</v>
      </c>
      <c r="O59" s="113">
        <f t="shared" si="28"/>
        <v>2969600</v>
      </c>
      <c r="P59" s="72">
        <v>15921000</v>
      </c>
      <c r="Q59" s="73" t="s">
        <v>27</v>
      </c>
      <c r="R59" s="73">
        <v>321707</v>
      </c>
      <c r="S59" s="73">
        <v>321707</v>
      </c>
      <c r="T59" s="113">
        <f t="shared" si="29"/>
        <v>321707</v>
      </c>
      <c r="U59" s="38">
        <f t="shared" si="30"/>
        <v>2647893</v>
      </c>
      <c r="V59" s="148">
        <v>10</v>
      </c>
      <c r="W59" s="116">
        <f t="shared" si="20"/>
        <v>37</v>
      </c>
      <c r="X59" s="116">
        <f t="shared" si="31"/>
        <v>83</v>
      </c>
      <c r="Y59" s="38">
        <f t="shared" si="32"/>
        <v>24746.666666666668</v>
      </c>
      <c r="Z59" s="38">
        <f t="shared" si="33"/>
        <v>915626.66666666674</v>
      </c>
      <c r="AA59" s="38">
        <f t="shared" si="34"/>
        <v>2969600</v>
      </c>
      <c r="AB59" s="38">
        <f t="shared" si="35"/>
        <v>915627</v>
      </c>
      <c r="AC59" s="38">
        <f t="shared" si="36"/>
        <v>2053973</v>
      </c>
    </row>
    <row r="60" spans="1:29" s="73" customFormat="1">
      <c r="A60" s="72">
        <v>15200000</v>
      </c>
      <c r="B60" s="73" t="s">
        <v>20</v>
      </c>
      <c r="C60" s="74" t="s">
        <v>995</v>
      </c>
      <c r="D60" s="73">
        <v>1</v>
      </c>
      <c r="E60" s="36" t="s">
        <v>364</v>
      </c>
      <c r="F60" s="144"/>
      <c r="G60" s="144"/>
      <c r="H60" s="144"/>
      <c r="I60" s="144"/>
      <c r="J60" s="77">
        <v>43069</v>
      </c>
      <c r="K60" s="52" t="str">
        <f t="shared" si="15"/>
        <v>SI</v>
      </c>
      <c r="L60" s="113">
        <f t="shared" si="27"/>
        <v>7658900</v>
      </c>
      <c r="M60" s="73">
        <v>7658900</v>
      </c>
      <c r="N60" s="145">
        <v>7658900</v>
      </c>
      <c r="O60" s="113">
        <f t="shared" si="28"/>
        <v>7658900</v>
      </c>
      <c r="P60" s="72">
        <v>15921000</v>
      </c>
      <c r="Q60" s="73" t="s">
        <v>27</v>
      </c>
      <c r="R60" s="73">
        <v>829714</v>
      </c>
      <c r="S60" s="73">
        <v>829714</v>
      </c>
      <c r="T60" s="113">
        <f t="shared" si="29"/>
        <v>829714</v>
      </c>
      <c r="U60" s="38">
        <f t="shared" si="30"/>
        <v>6829186</v>
      </c>
      <c r="V60" s="148">
        <v>10</v>
      </c>
      <c r="W60" s="116">
        <f t="shared" si="20"/>
        <v>37</v>
      </c>
      <c r="X60" s="116">
        <f t="shared" si="31"/>
        <v>83</v>
      </c>
      <c r="Y60" s="38">
        <f t="shared" si="32"/>
        <v>63824.166666666664</v>
      </c>
      <c r="Z60" s="38">
        <f t="shared" si="33"/>
        <v>2361494.1666666665</v>
      </c>
      <c r="AA60" s="38">
        <f t="shared" si="34"/>
        <v>7658900</v>
      </c>
      <c r="AB60" s="38">
        <f t="shared" si="35"/>
        <v>2361494</v>
      </c>
      <c r="AC60" s="38">
        <f t="shared" si="36"/>
        <v>5297406</v>
      </c>
    </row>
    <row r="61" spans="1:29" s="73" customFormat="1">
      <c r="A61" s="72">
        <v>15200000</v>
      </c>
      <c r="B61" s="73" t="s">
        <v>20</v>
      </c>
      <c r="C61" s="74" t="s">
        <v>995</v>
      </c>
      <c r="D61" s="73">
        <v>1</v>
      </c>
      <c r="E61" s="36" t="s">
        <v>364</v>
      </c>
      <c r="F61" s="144"/>
      <c r="G61" s="144"/>
      <c r="H61" s="144"/>
      <c r="I61" s="144"/>
      <c r="J61" s="77">
        <v>43069</v>
      </c>
      <c r="K61" s="52" t="str">
        <f t="shared" si="15"/>
        <v>SI</v>
      </c>
      <c r="L61" s="113">
        <f t="shared" si="27"/>
        <v>6650888</v>
      </c>
      <c r="M61" s="73">
        <v>6650888</v>
      </c>
      <c r="N61" s="145">
        <v>6650888</v>
      </c>
      <c r="O61" s="113">
        <f t="shared" si="28"/>
        <v>6650888</v>
      </c>
      <c r="P61" s="72">
        <v>15921000</v>
      </c>
      <c r="Q61" s="73" t="s">
        <v>27</v>
      </c>
      <c r="R61" s="73">
        <v>720513</v>
      </c>
      <c r="S61" s="73">
        <v>720513</v>
      </c>
      <c r="T61" s="113">
        <f t="shared" si="29"/>
        <v>720513</v>
      </c>
      <c r="U61" s="38">
        <f t="shared" si="30"/>
        <v>5930375</v>
      </c>
      <c r="V61" s="148">
        <v>10</v>
      </c>
      <c r="W61" s="116">
        <f t="shared" si="20"/>
        <v>37</v>
      </c>
      <c r="X61" s="116">
        <f t="shared" si="31"/>
        <v>83</v>
      </c>
      <c r="Y61" s="38">
        <f t="shared" si="32"/>
        <v>55424.066666666666</v>
      </c>
      <c r="Z61" s="38">
        <f t="shared" si="33"/>
        <v>2050690.4666666666</v>
      </c>
      <c r="AA61" s="38">
        <f t="shared" si="34"/>
        <v>6650888</v>
      </c>
      <c r="AB61" s="38">
        <f t="shared" si="35"/>
        <v>2050690</v>
      </c>
      <c r="AC61" s="38">
        <f t="shared" si="36"/>
        <v>4600198</v>
      </c>
    </row>
    <row r="62" spans="1:29" s="73" customFormat="1">
      <c r="A62" s="72">
        <v>15200000</v>
      </c>
      <c r="B62" s="73" t="s">
        <v>20</v>
      </c>
      <c r="C62" s="74" t="s">
        <v>995</v>
      </c>
      <c r="D62" s="73">
        <v>1</v>
      </c>
      <c r="E62" s="36" t="s">
        <v>364</v>
      </c>
      <c r="F62" s="144"/>
      <c r="G62" s="144"/>
      <c r="H62" s="144"/>
      <c r="I62" s="144"/>
      <c r="J62" s="77">
        <v>43069</v>
      </c>
      <c r="K62" s="52" t="str">
        <f t="shared" si="15"/>
        <v>SI</v>
      </c>
      <c r="L62" s="113">
        <f t="shared" si="27"/>
        <v>4429600</v>
      </c>
      <c r="M62" s="73">
        <v>4429600</v>
      </c>
      <c r="N62" s="145">
        <v>4429600</v>
      </c>
      <c r="O62" s="113">
        <f t="shared" si="28"/>
        <v>4429600</v>
      </c>
      <c r="P62" s="72">
        <v>15921000</v>
      </c>
      <c r="Q62" s="73" t="s">
        <v>27</v>
      </c>
      <c r="R62" s="73">
        <v>479873</v>
      </c>
      <c r="S62" s="73">
        <v>479873</v>
      </c>
      <c r="T62" s="113">
        <f t="shared" si="29"/>
        <v>479873</v>
      </c>
      <c r="U62" s="38">
        <f t="shared" si="30"/>
        <v>3949727</v>
      </c>
      <c r="V62" s="148">
        <v>10</v>
      </c>
      <c r="W62" s="116">
        <f t="shared" si="20"/>
        <v>37</v>
      </c>
      <c r="X62" s="116">
        <f t="shared" si="31"/>
        <v>83</v>
      </c>
      <c r="Y62" s="38">
        <f t="shared" si="32"/>
        <v>36913.333333333336</v>
      </c>
      <c r="Z62" s="38">
        <f t="shared" si="33"/>
        <v>1365793.3333333335</v>
      </c>
      <c r="AA62" s="38">
        <f t="shared" si="34"/>
        <v>4429600</v>
      </c>
      <c r="AB62" s="38">
        <f t="shared" si="35"/>
        <v>1365793</v>
      </c>
      <c r="AC62" s="38">
        <f t="shared" si="36"/>
        <v>3063807</v>
      </c>
    </row>
    <row r="63" spans="1:29" s="73" customFormat="1">
      <c r="A63" s="72">
        <v>15200000</v>
      </c>
      <c r="B63" s="73" t="s">
        <v>20</v>
      </c>
      <c r="C63" s="74" t="s">
        <v>995</v>
      </c>
      <c r="D63" s="73">
        <v>1</v>
      </c>
      <c r="E63" s="36" t="s">
        <v>364</v>
      </c>
      <c r="F63" s="144"/>
      <c r="G63" s="144"/>
      <c r="H63" s="144"/>
      <c r="I63" s="144"/>
      <c r="J63" s="77">
        <v>43069</v>
      </c>
      <c r="K63" s="52" t="str">
        <f t="shared" si="15"/>
        <v>SI</v>
      </c>
      <c r="L63" s="113">
        <f t="shared" si="27"/>
        <v>42693654.210000001</v>
      </c>
      <c r="M63" s="73">
        <v>42693654.210000001</v>
      </c>
      <c r="N63" s="145">
        <v>42693654.210000001</v>
      </c>
      <c r="O63" s="113">
        <f t="shared" si="28"/>
        <v>42693654.210000001</v>
      </c>
      <c r="P63" s="72">
        <v>15921000</v>
      </c>
      <c r="Q63" s="73" t="s">
        <v>27</v>
      </c>
      <c r="R63" s="73">
        <v>4625146</v>
      </c>
      <c r="S63" s="73">
        <v>4625146</v>
      </c>
      <c r="T63" s="113">
        <f t="shared" si="29"/>
        <v>4625146</v>
      </c>
      <c r="U63" s="38">
        <f t="shared" si="30"/>
        <v>38068508.210000001</v>
      </c>
      <c r="V63" s="148">
        <v>10</v>
      </c>
      <c r="W63" s="116">
        <f t="shared" si="20"/>
        <v>37</v>
      </c>
      <c r="X63" s="116">
        <f t="shared" si="31"/>
        <v>83</v>
      </c>
      <c r="Y63" s="38">
        <f t="shared" si="32"/>
        <v>355780.45175000001</v>
      </c>
      <c r="Z63" s="38">
        <f t="shared" si="33"/>
        <v>13163876.714749999</v>
      </c>
      <c r="AA63" s="38">
        <f t="shared" si="34"/>
        <v>42693654</v>
      </c>
      <c r="AB63" s="38">
        <f t="shared" si="35"/>
        <v>13163877</v>
      </c>
      <c r="AC63" s="38">
        <f t="shared" si="36"/>
        <v>29529777</v>
      </c>
    </row>
    <row r="64" spans="1:29" s="73" customFormat="1">
      <c r="A64" s="72">
        <v>15200000</v>
      </c>
      <c r="B64" s="73" t="s">
        <v>20</v>
      </c>
      <c r="C64" s="74" t="s">
        <v>995</v>
      </c>
      <c r="D64" s="73">
        <v>1</v>
      </c>
      <c r="E64" s="36" t="s">
        <v>364</v>
      </c>
      <c r="F64" s="144"/>
      <c r="G64" s="144"/>
      <c r="H64" s="144"/>
      <c r="I64" s="144"/>
      <c r="J64" s="77">
        <v>43069</v>
      </c>
      <c r="K64" s="52" t="str">
        <f t="shared" si="15"/>
        <v>SI</v>
      </c>
      <c r="L64" s="113">
        <f t="shared" si="27"/>
        <v>4297800</v>
      </c>
      <c r="M64" s="73">
        <v>4297800</v>
      </c>
      <c r="N64" s="145">
        <v>4297800</v>
      </c>
      <c r="O64" s="113">
        <f t="shared" si="28"/>
        <v>4297800</v>
      </c>
      <c r="P64" s="72">
        <v>15921000</v>
      </c>
      <c r="Q64" s="73" t="s">
        <v>27</v>
      </c>
      <c r="R64" s="73">
        <v>465595</v>
      </c>
      <c r="S64" s="73">
        <v>465595</v>
      </c>
      <c r="T64" s="113">
        <f t="shared" si="29"/>
        <v>465595</v>
      </c>
      <c r="U64" s="38">
        <f t="shared" si="30"/>
        <v>3832205</v>
      </c>
      <c r="V64" s="148">
        <v>10</v>
      </c>
      <c r="W64" s="116">
        <f t="shared" si="20"/>
        <v>37</v>
      </c>
      <c r="X64" s="116">
        <f t="shared" si="31"/>
        <v>83</v>
      </c>
      <c r="Y64" s="38">
        <f t="shared" si="32"/>
        <v>35815</v>
      </c>
      <c r="Z64" s="38">
        <f t="shared" si="33"/>
        <v>1325155</v>
      </c>
      <c r="AA64" s="38">
        <f t="shared" si="34"/>
        <v>4297800</v>
      </c>
      <c r="AB64" s="38">
        <f t="shared" si="35"/>
        <v>1325155</v>
      </c>
      <c r="AC64" s="38">
        <f t="shared" si="36"/>
        <v>2972645</v>
      </c>
    </row>
    <row r="65" spans="1:29" s="73" customFormat="1">
      <c r="A65" s="72">
        <v>15200000</v>
      </c>
      <c r="B65" s="73" t="s">
        <v>20</v>
      </c>
      <c r="C65" s="74" t="s">
        <v>995</v>
      </c>
      <c r="D65" s="73">
        <v>1</v>
      </c>
      <c r="E65" s="36" t="s">
        <v>364</v>
      </c>
      <c r="F65" s="144"/>
      <c r="G65" s="144"/>
      <c r="H65" s="144"/>
      <c r="I65" s="144"/>
      <c r="J65" s="77">
        <v>43069</v>
      </c>
      <c r="K65" s="52" t="str">
        <f t="shared" si="15"/>
        <v>SI</v>
      </c>
      <c r="L65" s="113">
        <f t="shared" si="27"/>
        <v>3500000</v>
      </c>
      <c r="M65" s="73">
        <v>3500000</v>
      </c>
      <c r="N65" s="145">
        <v>3500000</v>
      </c>
      <c r="O65" s="113">
        <f t="shared" si="28"/>
        <v>3500000</v>
      </c>
      <c r="P65" s="72">
        <v>15921000</v>
      </c>
      <c r="Q65" s="73" t="s">
        <v>27</v>
      </c>
      <c r="R65" s="73">
        <v>379167</v>
      </c>
      <c r="S65" s="73">
        <v>379167</v>
      </c>
      <c r="T65" s="113">
        <f t="shared" si="29"/>
        <v>379167</v>
      </c>
      <c r="U65" s="38">
        <f t="shared" si="30"/>
        <v>3120833</v>
      </c>
      <c r="V65" s="148">
        <v>10</v>
      </c>
      <c r="W65" s="116">
        <f t="shared" si="20"/>
        <v>37</v>
      </c>
      <c r="X65" s="116">
        <f t="shared" si="31"/>
        <v>83</v>
      </c>
      <c r="Y65" s="38">
        <f t="shared" si="32"/>
        <v>29166.666666666668</v>
      </c>
      <c r="Z65" s="38">
        <f t="shared" si="33"/>
        <v>1079166.6666666667</v>
      </c>
      <c r="AA65" s="38">
        <f t="shared" si="34"/>
        <v>3500000</v>
      </c>
      <c r="AB65" s="38">
        <f t="shared" si="35"/>
        <v>1079167</v>
      </c>
      <c r="AC65" s="38">
        <f t="shared" si="36"/>
        <v>2420833</v>
      </c>
    </row>
    <row r="66" spans="1:29" s="73" customFormat="1">
      <c r="A66" s="72">
        <v>15200000</v>
      </c>
      <c r="B66" s="73" t="s">
        <v>20</v>
      </c>
      <c r="C66" s="74" t="s">
        <v>995</v>
      </c>
      <c r="D66" s="73">
        <v>1</v>
      </c>
      <c r="E66" s="36" t="s">
        <v>364</v>
      </c>
      <c r="F66" s="144"/>
      <c r="G66" s="144"/>
      <c r="H66" s="144"/>
      <c r="I66" s="144"/>
      <c r="J66" s="77">
        <v>43069</v>
      </c>
      <c r="K66" s="52" t="str">
        <f t="shared" si="15"/>
        <v>SI</v>
      </c>
      <c r="L66" s="113">
        <f t="shared" si="27"/>
        <v>343834875.5</v>
      </c>
      <c r="M66" s="73">
        <v>343834875.5</v>
      </c>
      <c r="N66" s="145">
        <v>343834875.5</v>
      </c>
      <c r="O66" s="113">
        <f t="shared" si="28"/>
        <v>343834875.5</v>
      </c>
      <c r="P66" s="72">
        <v>15921000</v>
      </c>
      <c r="Q66" s="73" t="s">
        <v>27</v>
      </c>
      <c r="R66" s="73">
        <v>18624389</v>
      </c>
      <c r="S66" s="73">
        <v>18624389</v>
      </c>
      <c r="T66" s="113">
        <f t="shared" si="29"/>
        <v>18624389</v>
      </c>
      <c r="U66" s="38">
        <f t="shared" si="30"/>
        <v>325210486.5</v>
      </c>
      <c r="V66" s="148">
        <v>20</v>
      </c>
      <c r="W66" s="116">
        <f t="shared" si="20"/>
        <v>37</v>
      </c>
      <c r="X66" s="116">
        <f t="shared" si="31"/>
        <v>203</v>
      </c>
      <c r="Y66" s="38">
        <f t="shared" si="32"/>
        <v>1432645.3145833334</v>
      </c>
      <c r="Z66" s="38">
        <f t="shared" si="33"/>
        <v>53007876.639583334</v>
      </c>
      <c r="AA66" s="38">
        <f t="shared" si="34"/>
        <v>343834876</v>
      </c>
      <c r="AB66" s="38">
        <f t="shared" si="35"/>
        <v>53007877</v>
      </c>
      <c r="AC66" s="38">
        <f t="shared" si="36"/>
        <v>290826999</v>
      </c>
    </row>
    <row r="67" spans="1:29" s="73" customFormat="1">
      <c r="A67" s="72">
        <v>15200000</v>
      </c>
      <c r="B67" s="73" t="s">
        <v>20</v>
      </c>
      <c r="C67" s="74" t="s">
        <v>995</v>
      </c>
      <c r="D67" s="73">
        <v>1</v>
      </c>
      <c r="E67" s="36" t="s">
        <v>364</v>
      </c>
      <c r="F67" s="144"/>
      <c r="G67" s="144"/>
      <c r="H67" s="144"/>
      <c r="I67" s="144"/>
      <c r="J67" s="77">
        <v>43069</v>
      </c>
      <c r="K67" s="52" t="str">
        <f t="shared" si="15"/>
        <v>SI</v>
      </c>
      <c r="L67" s="113">
        <f t="shared" si="27"/>
        <v>396941736.30000001</v>
      </c>
      <c r="M67" s="73">
        <v>396941736.30000001</v>
      </c>
      <c r="N67" s="145">
        <v>396941736.30000001</v>
      </c>
      <c r="O67" s="113">
        <f t="shared" si="28"/>
        <v>396941736.30000001</v>
      </c>
      <c r="P67" s="72">
        <v>15921000</v>
      </c>
      <c r="Q67" s="73" t="s">
        <v>27</v>
      </c>
      <c r="R67" s="73">
        <v>21501011</v>
      </c>
      <c r="S67" s="73">
        <v>21501011</v>
      </c>
      <c r="T67" s="113">
        <f t="shared" si="29"/>
        <v>21501011</v>
      </c>
      <c r="U67" s="38">
        <f t="shared" si="30"/>
        <v>375440725.30000001</v>
      </c>
      <c r="V67" s="148">
        <v>20</v>
      </c>
      <c r="W67" s="116">
        <f t="shared" si="20"/>
        <v>37</v>
      </c>
      <c r="X67" s="116">
        <f t="shared" si="31"/>
        <v>203</v>
      </c>
      <c r="Y67" s="38">
        <f t="shared" si="32"/>
        <v>1653923.9012500001</v>
      </c>
      <c r="Z67" s="38">
        <f t="shared" si="33"/>
        <v>61195184.346250005</v>
      </c>
      <c r="AA67" s="38">
        <f t="shared" si="34"/>
        <v>396941736</v>
      </c>
      <c r="AB67" s="38">
        <f t="shared" si="35"/>
        <v>61195184</v>
      </c>
      <c r="AC67" s="38">
        <f t="shared" si="36"/>
        <v>335746552</v>
      </c>
    </row>
    <row r="68" spans="1:29" s="73" customFormat="1">
      <c r="A68" s="72">
        <v>15200000</v>
      </c>
      <c r="B68" s="73" t="s">
        <v>20</v>
      </c>
      <c r="C68" s="74" t="s">
        <v>995</v>
      </c>
      <c r="D68" s="73">
        <v>1</v>
      </c>
      <c r="E68" s="36" t="s">
        <v>364</v>
      </c>
      <c r="F68" s="144"/>
      <c r="G68" s="144"/>
      <c r="H68" s="144"/>
      <c r="I68" s="144"/>
      <c r="J68" s="77">
        <v>43069</v>
      </c>
      <c r="K68" s="52" t="str">
        <f t="shared" si="15"/>
        <v>SI</v>
      </c>
      <c r="L68" s="113">
        <f t="shared" si="27"/>
        <v>210145461.90000001</v>
      </c>
      <c r="M68" s="73">
        <v>210145461.90000001</v>
      </c>
      <c r="N68" s="145">
        <v>210145461.90000001</v>
      </c>
      <c r="O68" s="113">
        <f t="shared" si="28"/>
        <v>210145461.90000001</v>
      </c>
      <c r="P68" s="72">
        <v>15921000</v>
      </c>
      <c r="Q68" s="73" t="s">
        <v>27</v>
      </c>
      <c r="R68" s="73">
        <v>11382879</v>
      </c>
      <c r="S68" s="73">
        <v>11382879</v>
      </c>
      <c r="T68" s="113">
        <f t="shared" si="29"/>
        <v>11382879</v>
      </c>
      <c r="U68" s="38">
        <f t="shared" si="30"/>
        <v>198762582.90000001</v>
      </c>
      <c r="V68" s="148">
        <v>20</v>
      </c>
      <c r="W68" s="116">
        <f t="shared" si="20"/>
        <v>37</v>
      </c>
      <c r="X68" s="116">
        <f t="shared" si="31"/>
        <v>203</v>
      </c>
      <c r="Y68" s="38">
        <f t="shared" si="32"/>
        <v>875606.09125000006</v>
      </c>
      <c r="Z68" s="38">
        <f t="shared" si="33"/>
        <v>32397425.376250003</v>
      </c>
      <c r="AA68" s="38">
        <f t="shared" si="34"/>
        <v>210145462</v>
      </c>
      <c r="AB68" s="38">
        <f t="shared" si="35"/>
        <v>32397425</v>
      </c>
      <c r="AC68" s="38">
        <f t="shared" si="36"/>
        <v>177748037</v>
      </c>
    </row>
    <row r="69" spans="1:29" s="73" customFormat="1">
      <c r="A69" s="72">
        <v>15200000</v>
      </c>
      <c r="B69" s="73" t="s">
        <v>20</v>
      </c>
      <c r="C69" s="74" t="s">
        <v>995</v>
      </c>
      <c r="D69" s="73">
        <v>1</v>
      </c>
      <c r="E69" s="36" t="s">
        <v>364</v>
      </c>
      <c r="F69" s="144"/>
      <c r="G69" s="144"/>
      <c r="H69" s="144"/>
      <c r="I69" s="144"/>
      <c r="J69" s="77">
        <v>43069</v>
      </c>
      <c r="K69" s="52" t="str">
        <f t="shared" si="15"/>
        <v>SI</v>
      </c>
      <c r="L69" s="113">
        <f t="shared" si="27"/>
        <v>264264341.90000001</v>
      </c>
      <c r="M69" s="73">
        <v>264264341.90000001</v>
      </c>
      <c r="N69" s="145">
        <v>264264341.90000001</v>
      </c>
      <c r="O69" s="113">
        <f t="shared" si="28"/>
        <v>264264341.90000001</v>
      </c>
      <c r="P69" s="72">
        <v>15921000</v>
      </c>
      <c r="Q69" s="73" t="s">
        <v>27</v>
      </c>
      <c r="R69" s="73">
        <v>14314319</v>
      </c>
      <c r="S69" s="73">
        <v>14314319</v>
      </c>
      <c r="T69" s="113">
        <f t="shared" si="29"/>
        <v>14314319</v>
      </c>
      <c r="U69" s="38">
        <f t="shared" si="30"/>
        <v>249950022.90000001</v>
      </c>
      <c r="V69" s="148">
        <v>20</v>
      </c>
      <c r="W69" s="116">
        <f t="shared" si="20"/>
        <v>37</v>
      </c>
      <c r="X69" s="116">
        <f t="shared" si="31"/>
        <v>203</v>
      </c>
      <c r="Y69" s="38">
        <f t="shared" si="32"/>
        <v>1101101.4245833333</v>
      </c>
      <c r="Z69" s="38">
        <f t="shared" si="33"/>
        <v>40740752.709583335</v>
      </c>
      <c r="AA69" s="38">
        <f t="shared" si="34"/>
        <v>264264342</v>
      </c>
      <c r="AB69" s="38">
        <f t="shared" si="35"/>
        <v>40740753</v>
      </c>
      <c r="AC69" s="38">
        <f t="shared" si="36"/>
        <v>223523589</v>
      </c>
    </row>
    <row r="70" spans="1:29" s="73" customFormat="1">
      <c r="A70" s="72">
        <v>15200000</v>
      </c>
      <c r="B70" s="73" t="s">
        <v>20</v>
      </c>
      <c r="C70" s="74" t="s">
        <v>995</v>
      </c>
      <c r="D70" s="73">
        <v>1</v>
      </c>
      <c r="E70" s="36" t="s">
        <v>364</v>
      </c>
      <c r="F70" s="144"/>
      <c r="G70" s="144"/>
      <c r="H70" s="144"/>
      <c r="I70" s="144"/>
      <c r="J70" s="77">
        <v>43069</v>
      </c>
      <c r="K70" s="52" t="str">
        <f t="shared" si="15"/>
        <v>SI</v>
      </c>
      <c r="L70" s="113">
        <f t="shared" si="27"/>
        <v>161964603.09999999</v>
      </c>
      <c r="M70" s="73">
        <v>161964603.09999999</v>
      </c>
      <c r="N70" s="145">
        <v>161964603.09999999</v>
      </c>
      <c r="O70" s="113">
        <f t="shared" si="28"/>
        <v>161964603.09999999</v>
      </c>
      <c r="P70" s="72">
        <v>15921000</v>
      </c>
      <c r="Q70" s="73" t="s">
        <v>27</v>
      </c>
      <c r="R70" s="73">
        <v>8773083</v>
      </c>
      <c r="S70" s="73">
        <v>8773083</v>
      </c>
      <c r="T70" s="113">
        <f t="shared" si="29"/>
        <v>8773083</v>
      </c>
      <c r="U70" s="38">
        <f t="shared" si="30"/>
        <v>153191520.09999999</v>
      </c>
      <c r="V70" s="148">
        <v>20</v>
      </c>
      <c r="W70" s="116">
        <f t="shared" si="20"/>
        <v>37</v>
      </c>
      <c r="X70" s="116">
        <f t="shared" si="31"/>
        <v>203</v>
      </c>
      <c r="Y70" s="38">
        <f t="shared" si="32"/>
        <v>674852.51291666669</v>
      </c>
      <c r="Z70" s="38">
        <f t="shared" si="33"/>
        <v>24969542.977916669</v>
      </c>
      <c r="AA70" s="38">
        <f t="shared" si="34"/>
        <v>161964603</v>
      </c>
      <c r="AB70" s="38">
        <f t="shared" si="35"/>
        <v>24969543</v>
      </c>
      <c r="AC70" s="38">
        <f t="shared" si="36"/>
        <v>136995060</v>
      </c>
    </row>
    <row r="71" spans="1:29" s="73" customFormat="1">
      <c r="A71" s="72">
        <v>15200000</v>
      </c>
      <c r="B71" s="73" t="s">
        <v>20</v>
      </c>
      <c r="C71" s="74" t="s">
        <v>995</v>
      </c>
      <c r="D71" s="73">
        <v>1</v>
      </c>
      <c r="E71" s="36" t="s">
        <v>364</v>
      </c>
      <c r="F71" s="144"/>
      <c r="G71" s="144"/>
      <c r="H71" s="144"/>
      <c r="I71" s="144"/>
      <c r="J71" s="77">
        <v>43069</v>
      </c>
      <c r="K71" s="52" t="str">
        <f t="shared" si="15"/>
        <v>SI</v>
      </c>
      <c r="L71" s="113">
        <f t="shared" si="27"/>
        <v>119116047.8</v>
      </c>
      <c r="M71" s="73">
        <v>119116047.8</v>
      </c>
      <c r="N71" s="145">
        <v>119116047.8</v>
      </c>
      <c r="O71" s="113">
        <f t="shared" si="28"/>
        <v>119116047.8</v>
      </c>
      <c r="P71" s="72">
        <v>15921000</v>
      </c>
      <c r="Q71" s="73" t="s">
        <v>27</v>
      </c>
      <c r="R71" s="73">
        <v>6452119</v>
      </c>
      <c r="S71" s="73">
        <v>6452119</v>
      </c>
      <c r="T71" s="113">
        <f t="shared" si="29"/>
        <v>6452119</v>
      </c>
      <c r="U71" s="38">
        <f t="shared" si="30"/>
        <v>112663928.8</v>
      </c>
      <c r="V71" s="148">
        <v>20</v>
      </c>
      <c r="W71" s="116">
        <f t="shared" si="20"/>
        <v>37</v>
      </c>
      <c r="X71" s="116">
        <f t="shared" si="31"/>
        <v>203</v>
      </c>
      <c r="Y71" s="38">
        <f t="shared" si="32"/>
        <v>496316.86583333334</v>
      </c>
      <c r="Z71" s="38">
        <f t="shared" si="33"/>
        <v>18363724.035833333</v>
      </c>
      <c r="AA71" s="38">
        <f t="shared" si="34"/>
        <v>119116048</v>
      </c>
      <c r="AB71" s="38">
        <f t="shared" si="35"/>
        <v>18363724</v>
      </c>
      <c r="AC71" s="38">
        <f t="shared" si="36"/>
        <v>100752324</v>
      </c>
    </row>
    <row r="72" spans="1:29" s="73" customFormat="1">
      <c r="A72" s="72">
        <v>15200000</v>
      </c>
      <c r="B72" s="73" t="s">
        <v>20</v>
      </c>
      <c r="C72" s="74" t="s">
        <v>995</v>
      </c>
      <c r="D72" s="73">
        <v>1</v>
      </c>
      <c r="E72" s="36" t="s">
        <v>364</v>
      </c>
      <c r="F72" s="144"/>
      <c r="G72" s="144"/>
      <c r="H72" s="144"/>
      <c r="I72" s="144"/>
      <c r="J72" s="77">
        <v>43069</v>
      </c>
      <c r="K72" s="52" t="str">
        <f t="shared" si="15"/>
        <v>SI</v>
      </c>
      <c r="L72" s="113">
        <f t="shared" si="27"/>
        <v>102746478.8</v>
      </c>
      <c r="M72" s="73">
        <v>102746478.8</v>
      </c>
      <c r="N72" s="145">
        <v>102746478.8</v>
      </c>
      <c r="O72" s="113">
        <f t="shared" si="28"/>
        <v>102746478.8</v>
      </c>
      <c r="P72" s="72">
        <v>15921000</v>
      </c>
      <c r="Q72" s="73" t="s">
        <v>27</v>
      </c>
      <c r="R72" s="73">
        <v>5565434</v>
      </c>
      <c r="S72" s="73">
        <v>5565434</v>
      </c>
      <c r="T72" s="113">
        <f t="shared" si="29"/>
        <v>5565434</v>
      </c>
      <c r="U72" s="38">
        <f t="shared" si="30"/>
        <v>97181044.799999997</v>
      </c>
      <c r="V72" s="148">
        <v>20</v>
      </c>
      <c r="W72" s="116">
        <f t="shared" si="20"/>
        <v>37</v>
      </c>
      <c r="X72" s="116">
        <f t="shared" si="31"/>
        <v>203</v>
      </c>
      <c r="Y72" s="38">
        <f t="shared" si="32"/>
        <v>428110.32833333331</v>
      </c>
      <c r="Z72" s="38">
        <f t="shared" si="33"/>
        <v>15840082.148333332</v>
      </c>
      <c r="AA72" s="38">
        <f t="shared" si="34"/>
        <v>102746479</v>
      </c>
      <c r="AB72" s="38">
        <f t="shared" si="35"/>
        <v>15840082</v>
      </c>
      <c r="AC72" s="38">
        <f t="shared" si="36"/>
        <v>86906397</v>
      </c>
    </row>
    <row r="73" spans="1:29" s="73" customFormat="1">
      <c r="A73" s="72">
        <v>15200000</v>
      </c>
      <c r="B73" s="73" t="s">
        <v>20</v>
      </c>
      <c r="C73" s="74" t="s">
        <v>995</v>
      </c>
      <c r="D73" s="73">
        <v>1</v>
      </c>
      <c r="E73" s="36" t="s">
        <v>364</v>
      </c>
      <c r="F73" s="144"/>
      <c r="G73" s="144"/>
      <c r="H73" s="144"/>
      <c r="I73" s="144"/>
      <c r="J73" s="77">
        <v>43069</v>
      </c>
      <c r="K73" s="52" t="str">
        <f t="shared" ref="K73:K90" si="37">IF(L73&gt;($M$24*50),"SI","NO")</f>
        <v>SI</v>
      </c>
      <c r="L73" s="113">
        <f t="shared" si="27"/>
        <v>101022899.59999999</v>
      </c>
      <c r="M73" s="73">
        <v>101022899.59999999</v>
      </c>
      <c r="N73" s="145">
        <v>101022899.59999999</v>
      </c>
      <c r="O73" s="113">
        <f t="shared" si="28"/>
        <v>101022899.59999999</v>
      </c>
      <c r="P73" s="72">
        <v>15921000</v>
      </c>
      <c r="Q73" s="73" t="s">
        <v>27</v>
      </c>
      <c r="R73" s="73">
        <v>5472074</v>
      </c>
      <c r="S73" s="73">
        <v>5472074</v>
      </c>
      <c r="T73" s="113">
        <f t="shared" si="29"/>
        <v>5472074</v>
      </c>
      <c r="U73" s="38">
        <f t="shared" si="30"/>
        <v>95550825.599999994</v>
      </c>
      <c r="V73" s="148">
        <v>20</v>
      </c>
      <c r="W73" s="116">
        <f t="shared" si="20"/>
        <v>37</v>
      </c>
      <c r="X73" s="116">
        <f t="shared" si="31"/>
        <v>203</v>
      </c>
      <c r="Y73" s="38">
        <f t="shared" si="32"/>
        <v>420928.74833333329</v>
      </c>
      <c r="Z73" s="38">
        <f t="shared" si="33"/>
        <v>15574363.688333333</v>
      </c>
      <c r="AA73" s="38">
        <f t="shared" si="34"/>
        <v>101022900</v>
      </c>
      <c r="AB73" s="38">
        <f t="shared" si="35"/>
        <v>15574364</v>
      </c>
      <c r="AC73" s="38">
        <f t="shared" si="36"/>
        <v>85448536</v>
      </c>
    </row>
    <row r="74" spans="1:29" s="73" customFormat="1">
      <c r="A74" s="72">
        <v>15200000</v>
      </c>
      <c r="B74" s="73" t="s">
        <v>20</v>
      </c>
      <c r="C74" s="74" t="s">
        <v>995</v>
      </c>
      <c r="D74" s="73">
        <v>1</v>
      </c>
      <c r="E74" s="36" t="s">
        <v>364</v>
      </c>
      <c r="F74" s="144"/>
      <c r="G74" s="144"/>
      <c r="H74" s="144"/>
      <c r="I74" s="144"/>
      <c r="J74" s="77">
        <v>43069</v>
      </c>
      <c r="K74" s="52" t="str">
        <f t="shared" si="37"/>
        <v>SI</v>
      </c>
      <c r="L74" s="113">
        <f t="shared" si="27"/>
        <v>91352288.209999993</v>
      </c>
      <c r="M74" s="73">
        <v>91352288.209999993</v>
      </c>
      <c r="N74" s="145">
        <v>91352288.209999993</v>
      </c>
      <c r="O74" s="113">
        <f t="shared" si="28"/>
        <v>91352288.209999993</v>
      </c>
      <c r="P74" s="72">
        <v>15921000</v>
      </c>
      <c r="Q74" s="73" t="s">
        <v>27</v>
      </c>
      <c r="R74" s="73">
        <v>4948249</v>
      </c>
      <c r="S74" s="73">
        <v>4948249</v>
      </c>
      <c r="T74" s="113">
        <f t="shared" si="29"/>
        <v>4948249</v>
      </c>
      <c r="U74" s="38">
        <f t="shared" si="30"/>
        <v>86404039.209999993</v>
      </c>
      <c r="V74" s="148">
        <v>20</v>
      </c>
      <c r="W74" s="116">
        <f t="shared" si="20"/>
        <v>37</v>
      </c>
      <c r="X74" s="116">
        <f t="shared" si="31"/>
        <v>203</v>
      </c>
      <c r="Y74" s="38">
        <f t="shared" si="32"/>
        <v>380634.53420833329</v>
      </c>
      <c r="Z74" s="38">
        <f t="shared" si="33"/>
        <v>14083477.765708331</v>
      </c>
      <c r="AA74" s="38">
        <f t="shared" si="34"/>
        <v>91352288</v>
      </c>
      <c r="AB74" s="38">
        <f t="shared" si="35"/>
        <v>14083478</v>
      </c>
      <c r="AC74" s="38">
        <f t="shared" si="36"/>
        <v>77268810</v>
      </c>
    </row>
    <row r="75" spans="1:29" s="73" customFormat="1">
      <c r="A75" s="72">
        <v>15200000</v>
      </c>
      <c r="B75" s="73" t="s">
        <v>20</v>
      </c>
      <c r="C75" s="74" t="s">
        <v>995</v>
      </c>
      <c r="D75" s="73">
        <v>1</v>
      </c>
      <c r="E75" s="36" t="s">
        <v>364</v>
      </c>
      <c r="F75" s="144"/>
      <c r="G75" s="144"/>
      <c r="H75" s="144"/>
      <c r="I75" s="144"/>
      <c r="J75" s="77">
        <v>43069</v>
      </c>
      <c r="K75" s="52" t="str">
        <f t="shared" si="37"/>
        <v>SI</v>
      </c>
      <c r="L75" s="113">
        <f t="shared" si="27"/>
        <v>106620665.40000001</v>
      </c>
      <c r="M75" s="73">
        <v>106620665.40000001</v>
      </c>
      <c r="N75" s="145">
        <v>106620665.40000001</v>
      </c>
      <c r="O75" s="113">
        <f t="shared" si="28"/>
        <v>106620665.40000001</v>
      </c>
      <c r="P75" s="72">
        <v>15921000</v>
      </c>
      <c r="Q75" s="73" t="s">
        <v>27</v>
      </c>
      <c r="R75" s="73">
        <v>5775286</v>
      </c>
      <c r="S75" s="73">
        <v>5775286</v>
      </c>
      <c r="T75" s="113">
        <f t="shared" si="29"/>
        <v>5775286</v>
      </c>
      <c r="U75" s="38">
        <f t="shared" si="30"/>
        <v>100845379.40000001</v>
      </c>
      <c r="V75" s="148">
        <v>20</v>
      </c>
      <c r="W75" s="116">
        <f t="shared" si="20"/>
        <v>37</v>
      </c>
      <c r="X75" s="116">
        <f t="shared" si="31"/>
        <v>203</v>
      </c>
      <c r="Y75" s="38">
        <f t="shared" si="32"/>
        <v>444252.77250000002</v>
      </c>
      <c r="Z75" s="38">
        <f t="shared" si="33"/>
        <v>16437352.582500001</v>
      </c>
      <c r="AA75" s="38">
        <f t="shared" si="34"/>
        <v>106620665</v>
      </c>
      <c r="AB75" s="38">
        <f t="shared" si="35"/>
        <v>16437353</v>
      </c>
      <c r="AC75" s="38">
        <f t="shared" si="36"/>
        <v>90183312</v>
      </c>
    </row>
    <row r="76" spans="1:29" s="73" customFormat="1">
      <c r="A76" s="72">
        <v>15200000</v>
      </c>
      <c r="B76" s="73" t="s">
        <v>20</v>
      </c>
      <c r="C76" s="74" t="s">
        <v>995</v>
      </c>
      <c r="D76" s="73">
        <v>1</v>
      </c>
      <c r="E76" s="36" t="s">
        <v>364</v>
      </c>
      <c r="F76" s="144"/>
      <c r="G76" s="144"/>
      <c r="H76" s="144"/>
      <c r="I76" s="144"/>
      <c r="J76" s="77">
        <v>43069</v>
      </c>
      <c r="K76" s="52" t="str">
        <f t="shared" si="37"/>
        <v>SI</v>
      </c>
      <c r="L76" s="113">
        <f t="shared" si="27"/>
        <v>167707795.09999999</v>
      </c>
      <c r="M76" s="73">
        <v>167707795.09999999</v>
      </c>
      <c r="N76" s="145">
        <v>167707795.09999999</v>
      </c>
      <c r="O76" s="113">
        <f t="shared" si="28"/>
        <v>167707795.09999999</v>
      </c>
      <c r="P76" s="72">
        <v>15921000</v>
      </c>
      <c r="Q76" s="73" t="s">
        <v>27</v>
      </c>
      <c r="R76" s="73">
        <v>9084172</v>
      </c>
      <c r="S76" s="73">
        <v>9084172</v>
      </c>
      <c r="T76" s="113">
        <f t="shared" si="29"/>
        <v>9084172</v>
      </c>
      <c r="U76" s="38">
        <f t="shared" si="30"/>
        <v>158623623.09999999</v>
      </c>
      <c r="V76" s="148">
        <v>20</v>
      </c>
      <c r="W76" s="116">
        <f t="shared" si="20"/>
        <v>37</v>
      </c>
      <c r="X76" s="116">
        <f t="shared" si="31"/>
        <v>203</v>
      </c>
      <c r="Y76" s="38">
        <f t="shared" si="32"/>
        <v>698782.47958333336</v>
      </c>
      <c r="Z76" s="38">
        <f t="shared" si="33"/>
        <v>25854951.744583335</v>
      </c>
      <c r="AA76" s="38">
        <f t="shared" si="34"/>
        <v>167707795</v>
      </c>
      <c r="AB76" s="38">
        <f t="shared" si="35"/>
        <v>25854952</v>
      </c>
      <c r="AC76" s="38">
        <f t="shared" si="36"/>
        <v>141852843</v>
      </c>
    </row>
    <row r="77" spans="1:29" s="73" customFormat="1">
      <c r="A77" s="72">
        <v>15200000</v>
      </c>
      <c r="B77" s="73" t="s">
        <v>20</v>
      </c>
      <c r="C77" s="74" t="s">
        <v>995</v>
      </c>
      <c r="D77" s="73">
        <v>1</v>
      </c>
      <c r="E77" s="36" t="s">
        <v>364</v>
      </c>
      <c r="F77" s="144"/>
      <c r="G77" s="144"/>
      <c r="H77" s="144"/>
      <c r="I77" s="144"/>
      <c r="J77" s="77">
        <v>43069</v>
      </c>
      <c r="K77" s="52" t="str">
        <f t="shared" si="37"/>
        <v>SI</v>
      </c>
      <c r="L77" s="113">
        <f t="shared" si="27"/>
        <v>299986828.5</v>
      </c>
      <c r="M77" s="73">
        <v>299986828.5</v>
      </c>
      <c r="N77" s="145">
        <v>299986828.5</v>
      </c>
      <c r="O77" s="113">
        <f t="shared" si="28"/>
        <v>299986828.5</v>
      </c>
      <c r="P77" s="72">
        <v>15921000</v>
      </c>
      <c r="Q77" s="73" t="s">
        <v>27</v>
      </c>
      <c r="R77" s="73">
        <v>16249287</v>
      </c>
      <c r="S77" s="73">
        <v>16249287</v>
      </c>
      <c r="T77" s="113">
        <f t="shared" si="29"/>
        <v>16249287</v>
      </c>
      <c r="U77" s="38">
        <f t="shared" si="30"/>
        <v>283737541.5</v>
      </c>
      <c r="V77" s="148">
        <v>20</v>
      </c>
      <c r="W77" s="116">
        <f t="shared" si="20"/>
        <v>37</v>
      </c>
      <c r="X77" s="116">
        <f t="shared" si="31"/>
        <v>203</v>
      </c>
      <c r="Y77" s="38">
        <f t="shared" si="32"/>
        <v>1249945.1187499999</v>
      </c>
      <c r="Z77" s="38">
        <f t="shared" si="33"/>
        <v>46247969.393749997</v>
      </c>
      <c r="AA77" s="38">
        <f t="shared" si="34"/>
        <v>299986829</v>
      </c>
      <c r="AB77" s="38">
        <f t="shared" si="35"/>
        <v>46247969</v>
      </c>
      <c r="AC77" s="38">
        <f t="shared" si="36"/>
        <v>253738860</v>
      </c>
    </row>
    <row r="78" spans="1:29" s="73" customFormat="1">
      <c r="A78" s="72">
        <v>15200000</v>
      </c>
      <c r="B78" s="73" t="s">
        <v>20</v>
      </c>
      <c r="C78" s="74" t="s">
        <v>995</v>
      </c>
      <c r="D78" s="73">
        <v>1</v>
      </c>
      <c r="E78" s="36" t="s">
        <v>364</v>
      </c>
      <c r="F78" s="144"/>
      <c r="G78" s="144"/>
      <c r="H78" s="144"/>
      <c r="I78" s="144"/>
      <c r="J78" s="77">
        <v>43069</v>
      </c>
      <c r="K78" s="52" t="str">
        <f t="shared" si="37"/>
        <v>SI</v>
      </c>
      <c r="L78" s="113">
        <f t="shared" si="27"/>
        <v>138536989.80000001</v>
      </c>
      <c r="M78" s="73">
        <v>138536989.80000001</v>
      </c>
      <c r="N78" s="145">
        <v>138536989.80000001</v>
      </c>
      <c r="O78" s="113">
        <f t="shared" si="28"/>
        <v>138536989.80000001</v>
      </c>
      <c r="P78" s="72">
        <v>15921000</v>
      </c>
      <c r="Q78" s="73" t="s">
        <v>27</v>
      </c>
      <c r="R78" s="73">
        <v>7504087</v>
      </c>
      <c r="S78" s="73">
        <v>7504087</v>
      </c>
      <c r="T78" s="113">
        <f t="shared" si="29"/>
        <v>7504087</v>
      </c>
      <c r="U78" s="38">
        <f t="shared" si="30"/>
        <v>131032902.80000001</v>
      </c>
      <c r="V78" s="148">
        <v>20</v>
      </c>
      <c r="W78" s="116">
        <f t="shared" si="20"/>
        <v>37</v>
      </c>
      <c r="X78" s="116">
        <f t="shared" si="31"/>
        <v>203</v>
      </c>
      <c r="Y78" s="38">
        <f t="shared" si="32"/>
        <v>577237.45750000002</v>
      </c>
      <c r="Z78" s="38">
        <f t="shared" si="33"/>
        <v>21357785.927500002</v>
      </c>
      <c r="AA78" s="38">
        <f t="shared" si="34"/>
        <v>138536990</v>
      </c>
      <c r="AB78" s="38">
        <f t="shared" si="35"/>
        <v>21357786</v>
      </c>
      <c r="AC78" s="38">
        <f t="shared" si="36"/>
        <v>117179204</v>
      </c>
    </row>
    <row r="79" spans="1:29" s="73" customFormat="1">
      <c r="A79" s="72">
        <v>15200000</v>
      </c>
      <c r="B79" s="73" t="s">
        <v>20</v>
      </c>
      <c r="C79" s="74" t="s">
        <v>995</v>
      </c>
      <c r="D79" s="73">
        <v>1</v>
      </c>
      <c r="E79" s="36" t="s">
        <v>364</v>
      </c>
      <c r="F79" s="144"/>
      <c r="G79" s="144"/>
      <c r="H79" s="144"/>
      <c r="I79" s="144"/>
      <c r="J79" s="77">
        <v>43069</v>
      </c>
      <c r="K79" s="52" t="str">
        <f t="shared" si="37"/>
        <v>SI</v>
      </c>
      <c r="L79" s="113">
        <f t="shared" si="27"/>
        <v>2247406</v>
      </c>
      <c r="M79" s="73">
        <v>2247406</v>
      </c>
      <c r="N79" s="145">
        <v>2247406</v>
      </c>
      <c r="O79" s="113">
        <f t="shared" si="28"/>
        <v>2247406</v>
      </c>
      <c r="P79" s="72">
        <v>15921000</v>
      </c>
      <c r="Q79" s="73" t="s">
        <v>27</v>
      </c>
      <c r="R79" s="73">
        <v>121734</v>
      </c>
      <c r="S79" s="73">
        <v>121734</v>
      </c>
      <c r="T79" s="113">
        <f t="shared" si="29"/>
        <v>121734</v>
      </c>
      <c r="U79" s="38">
        <f t="shared" si="30"/>
        <v>2125672</v>
      </c>
      <c r="V79" s="148">
        <v>20</v>
      </c>
      <c r="W79" s="116">
        <f t="shared" si="20"/>
        <v>37</v>
      </c>
      <c r="X79" s="116">
        <f t="shared" si="31"/>
        <v>203</v>
      </c>
      <c r="Y79" s="38">
        <f t="shared" si="32"/>
        <v>9364.1916666666675</v>
      </c>
      <c r="Z79" s="38">
        <f t="shared" si="33"/>
        <v>346475.09166666667</v>
      </c>
      <c r="AA79" s="38">
        <f t="shared" si="34"/>
        <v>2247406</v>
      </c>
      <c r="AB79" s="38">
        <f t="shared" si="35"/>
        <v>346475</v>
      </c>
      <c r="AC79" s="38">
        <f t="shared" si="36"/>
        <v>1900931</v>
      </c>
    </row>
    <row r="80" spans="1:29" s="73" customFormat="1">
      <c r="A80" s="72">
        <v>15200000</v>
      </c>
      <c r="B80" s="73" t="s">
        <v>20</v>
      </c>
      <c r="C80" s="74" t="s">
        <v>995</v>
      </c>
      <c r="D80" s="73">
        <v>1</v>
      </c>
      <c r="E80" s="36" t="s">
        <v>364</v>
      </c>
      <c r="F80" s="144"/>
      <c r="G80" s="144"/>
      <c r="H80" s="144"/>
      <c r="I80" s="144"/>
      <c r="J80" s="77">
        <v>43069</v>
      </c>
      <c r="K80" s="52" t="str">
        <f t="shared" si="37"/>
        <v>SI</v>
      </c>
      <c r="L80" s="113">
        <f t="shared" si="27"/>
        <v>138536989.80000001</v>
      </c>
      <c r="M80" s="73">
        <v>138536989.80000001</v>
      </c>
      <c r="N80" s="145">
        <v>138536989.80000001</v>
      </c>
      <c r="O80" s="113">
        <f t="shared" si="28"/>
        <v>138536989.80000001</v>
      </c>
      <c r="P80" s="72">
        <v>15921000</v>
      </c>
      <c r="Q80" s="73" t="s">
        <v>27</v>
      </c>
      <c r="R80" s="73">
        <v>7504087</v>
      </c>
      <c r="S80" s="73">
        <v>7504087</v>
      </c>
      <c r="T80" s="113">
        <f t="shared" si="29"/>
        <v>7504087</v>
      </c>
      <c r="U80" s="38">
        <f t="shared" si="30"/>
        <v>131032902.80000001</v>
      </c>
      <c r="V80" s="148">
        <v>20</v>
      </c>
      <c r="W80" s="116">
        <f t="shared" si="20"/>
        <v>37</v>
      </c>
      <c r="X80" s="116">
        <f t="shared" si="31"/>
        <v>203</v>
      </c>
      <c r="Y80" s="38">
        <f t="shared" si="32"/>
        <v>577237.45750000002</v>
      </c>
      <c r="Z80" s="38">
        <f t="shared" si="33"/>
        <v>21357785.927500002</v>
      </c>
      <c r="AA80" s="38">
        <f t="shared" si="34"/>
        <v>138536990</v>
      </c>
      <c r="AB80" s="38">
        <f t="shared" si="35"/>
        <v>21357786</v>
      </c>
      <c r="AC80" s="38">
        <f t="shared" si="36"/>
        <v>117179204</v>
      </c>
    </row>
    <row r="81" spans="1:30" s="73" customFormat="1">
      <c r="A81" s="72">
        <v>15200000</v>
      </c>
      <c r="B81" s="73" t="s">
        <v>20</v>
      </c>
      <c r="C81" s="74" t="s">
        <v>995</v>
      </c>
      <c r="D81" s="73">
        <v>1</v>
      </c>
      <c r="E81" s="36" t="s">
        <v>364</v>
      </c>
      <c r="F81" s="144"/>
      <c r="G81" s="144"/>
      <c r="H81" s="144"/>
      <c r="I81" s="144"/>
      <c r="J81" s="77">
        <v>43069</v>
      </c>
      <c r="K81" s="52" t="str">
        <f t="shared" si="37"/>
        <v>SI</v>
      </c>
      <c r="L81" s="113">
        <f t="shared" si="27"/>
        <v>138536989.80000001</v>
      </c>
      <c r="M81" s="73">
        <v>138536989.80000001</v>
      </c>
      <c r="N81" s="145">
        <v>138536989.80000001</v>
      </c>
      <c r="O81" s="113">
        <f t="shared" si="28"/>
        <v>138536989.80000001</v>
      </c>
      <c r="P81" s="72">
        <v>15921000</v>
      </c>
      <c r="Q81" s="73" t="s">
        <v>27</v>
      </c>
      <c r="R81" s="73">
        <v>7504087</v>
      </c>
      <c r="S81" s="73">
        <v>7504087</v>
      </c>
      <c r="T81" s="113">
        <f t="shared" si="29"/>
        <v>7504087</v>
      </c>
      <c r="U81" s="38">
        <f t="shared" si="30"/>
        <v>131032902.80000001</v>
      </c>
      <c r="V81" s="148">
        <v>20</v>
      </c>
      <c r="W81" s="116">
        <f t="shared" si="20"/>
        <v>37</v>
      </c>
      <c r="X81" s="116">
        <f t="shared" si="31"/>
        <v>203</v>
      </c>
      <c r="Y81" s="38">
        <f t="shared" si="32"/>
        <v>577237.45750000002</v>
      </c>
      <c r="Z81" s="38">
        <f t="shared" si="33"/>
        <v>21357785.927500002</v>
      </c>
      <c r="AA81" s="38">
        <f t="shared" si="34"/>
        <v>138536990</v>
      </c>
      <c r="AB81" s="38">
        <f t="shared" si="35"/>
        <v>21357786</v>
      </c>
      <c r="AC81" s="38">
        <f t="shared" si="36"/>
        <v>117179204</v>
      </c>
    </row>
    <row r="82" spans="1:30" s="73" customFormat="1">
      <c r="A82" s="72">
        <v>15200000</v>
      </c>
      <c r="B82" s="73" t="s">
        <v>20</v>
      </c>
      <c r="C82" s="74" t="s">
        <v>995</v>
      </c>
      <c r="D82" s="73">
        <v>1</v>
      </c>
      <c r="E82" s="36" t="s">
        <v>364</v>
      </c>
      <c r="F82" s="144"/>
      <c r="G82" s="144"/>
      <c r="H82" s="144"/>
      <c r="I82" s="144"/>
      <c r="J82" s="77">
        <v>43069</v>
      </c>
      <c r="K82" s="52" t="str">
        <f t="shared" si="37"/>
        <v>SI</v>
      </c>
      <c r="L82" s="113">
        <f t="shared" si="27"/>
        <v>138536989.80000001</v>
      </c>
      <c r="M82" s="73">
        <v>138536989.80000001</v>
      </c>
      <c r="N82" s="145">
        <v>138536989.80000001</v>
      </c>
      <c r="O82" s="113">
        <f t="shared" si="28"/>
        <v>138536989.80000001</v>
      </c>
      <c r="P82" s="72">
        <v>15921000</v>
      </c>
      <c r="Q82" s="73" t="s">
        <v>27</v>
      </c>
      <c r="R82" s="73">
        <v>7504087</v>
      </c>
      <c r="S82" s="73">
        <v>7504087</v>
      </c>
      <c r="T82" s="113">
        <f t="shared" si="29"/>
        <v>7504087</v>
      </c>
      <c r="U82" s="38">
        <f t="shared" si="30"/>
        <v>131032902.80000001</v>
      </c>
      <c r="V82" s="148">
        <v>20</v>
      </c>
      <c r="W82" s="116">
        <f t="shared" si="20"/>
        <v>37</v>
      </c>
      <c r="X82" s="116">
        <f t="shared" si="31"/>
        <v>203</v>
      </c>
      <c r="Y82" s="38">
        <f t="shared" si="32"/>
        <v>577237.45750000002</v>
      </c>
      <c r="Z82" s="38">
        <f t="shared" si="33"/>
        <v>21357785.927500002</v>
      </c>
      <c r="AA82" s="38">
        <f t="shared" si="34"/>
        <v>138536990</v>
      </c>
      <c r="AB82" s="38">
        <f t="shared" si="35"/>
        <v>21357786</v>
      </c>
      <c r="AC82" s="38">
        <f t="shared" si="36"/>
        <v>117179204</v>
      </c>
    </row>
    <row r="83" spans="1:30" s="73" customFormat="1">
      <c r="A83" s="72">
        <v>15200000</v>
      </c>
      <c r="B83" s="73" t="s">
        <v>20</v>
      </c>
      <c r="C83" s="74" t="s">
        <v>995</v>
      </c>
      <c r="D83" s="73">
        <v>1</v>
      </c>
      <c r="E83" s="36" t="s">
        <v>364</v>
      </c>
      <c r="F83" s="144"/>
      <c r="G83" s="144"/>
      <c r="H83" s="144"/>
      <c r="I83" s="144"/>
      <c r="J83" s="77">
        <v>43069</v>
      </c>
      <c r="K83" s="52" t="str">
        <f t="shared" si="37"/>
        <v>SI</v>
      </c>
      <c r="L83" s="113">
        <f t="shared" si="27"/>
        <v>138536989.80000001</v>
      </c>
      <c r="M83" s="73">
        <v>138536989.80000001</v>
      </c>
      <c r="N83" s="145">
        <v>138536989.80000001</v>
      </c>
      <c r="O83" s="113">
        <f t="shared" si="28"/>
        <v>138536989.80000001</v>
      </c>
      <c r="P83" s="72">
        <v>15921000</v>
      </c>
      <c r="Q83" s="73" t="s">
        <v>27</v>
      </c>
      <c r="R83" s="73">
        <v>7504087</v>
      </c>
      <c r="S83" s="73">
        <v>7504087</v>
      </c>
      <c r="T83" s="113">
        <f t="shared" si="29"/>
        <v>7504087</v>
      </c>
      <c r="U83" s="38">
        <f t="shared" si="30"/>
        <v>131032902.80000001</v>
      </c>
      <c r="V83" s="148">
        <v>20</v>
      </c>
      <c r="W83" s="116">
        <f t="shared" si="20"/>
        <v>37</v>
      </c>
      <c r="X83" s="116">
        <f t="shared" si="31"/>
        <v>203</v>
      </c>
      <c r="Y83" s="38">
        <f t="shared" si="32"/>
        <v>577237.45750000002</v>
      </c>
      <c r="Z83" s="38">
        <f t="shared" si="33"/>
        <v>21357785.927500002</v>
      </c>
      <c r="AA83" s="38">
        <f t="shared" si="34"/>
        <v>138536990</v>
      </c>
      <c r="AB83" s="38">
        <f t="shared" si="35"/>
        <v>21357786</v>
      </c>
      <c r="AC83" s="38">
        <f t="shared" si="36"/>
        <v>117179204</v>
      </c>
    </row>
    <row r="84" spans="1:30" s="73" customFormat="1">
      <c r="A84" s="72">
        <v>15200000</v>
      </c>
      <c r="B84" s="73" t="s">
        <v>20</v>
      </c>
      <c r="C84" s="74" t="s">
        <v>995</v>
      </c>
      <c r="D84" s="73">
        <v>1</v>
      </c>
      <c r="E84" s="36" t="s">
        <v>364</v>
      </c>
      <c r="F84" s="144"/>
      <c r="G84" s="144"/>
      <c r="H84" s="144"/>
      <c r="I84" s="144"/>
      <c r="J84" s="77">
        <v>43069</v>
      </c>
      <c r="K84" s="52" t="str">
        <f t="shared" si="37"/>
        <v>SI</v>
      </c>
      <c r="L84" s="113">
        <f t="shared" si="27"/>
        <v>138536989.80000001</v>
      </c>
      <c r="M84" s="73">
        <v>138536989.80000001</v>
      </c>
      <c r="N84" s="145">
        <v>138536989.80000001</v>
      </c>
      <c r="O84" s="113">
        <f t="shared" si="28"/>
        <v>138536989.80000001</v>
      </c>
      <c r="P84" s="72">
        <v>15921000</v>
      </c>
      <c r="Q84" s="73" t="s">
        <v>27</v>
      </c>
      <c r="R84" s="73">
        <v>7504087</v>
      </c>
      <c r="S84" s="73">
        <v>7504087</v>
      </c>
      <c r="T84" s="113">
        <f t="shared" si="29"/>
        <v>7504087</v>
      </c>
      <c r="U84" s="38">
        <f t="shared" si="30"/>
        <v>131032902.80000001</v>
      </c>
      <c r="V84" s="148">
        <v>20</v>
      </c>
      <c r="W84" s="116">
        <f t="shared" si="20"/>
        <v>37</v>
      </c>
      <c r="X84" s="116">
        <f t="shared" si="31"/>
        <v>203</v>
      </c>
      <c r="Y84" s="38">
        <f t="shared" si="32"/>
        <v>577237.45750000002</v>
      </c>
      <c r="Z84" s="38">
        <f t="shared" si="33"/>
        <v>21357785.927500002</v>
      </c>
      <c r="AA84" s="38">
        <f t="shared" si="34"/>
        <v>138536990</v>
      </c>
      <c r="AB84" s="38">
        <f t="shared" si="35"/>
        <v>21357786</v>
      </c>
      <c r="AC84" s="38">
        <f t="shared" si="36"/>
        <v>117179204</v>
      </c>
    </row>
    <row r="85" spans="1:30" s="73" customFormat="1">
      <c r="A85" s="72">
        <v>15200000</v>
      </c>
      <c r="B85" s="73" t="s">
        <v>20</v>
      </c>
      <c r="C85" s="74" t="s">
        <v>995</v>
      </c>
      <c r="D85" s="73">
        <v>1</v>
      </c>
      <c r="E85" s="36" t="s">
        <v>364</v>
      </c>
      <c r="F85" s="144"/>
      <c r="G85" s="144"/>
      <c r="H85" s="144"/>
      <c r="I85" s="144"/>
      <c r="J85" s="77">
        <v>43069</v>
      </c>
      <c r="K85" s="52" t="str">
        <f t="shared" si="37"/>
        <v>SI</v>
      </c>
      <c r="L85" s="113">
        <f t="shared" si="27"/>
        <v>138536989.80000001</v>
      </c>
      <c r="M85" s="73">
        <v>138536989.80000001</v>
      </c>
      <c r="N85" s="145">
        <v>138536989.80000001</v>
      </c>
      <c r="O85" s="113">
        <f t="shared" si="28"/>
        <v>138536989.80000001</v>
      </c>
      <c r="P85" s="72">
        <v>15921000</v>
      </c>
      <c r="Q85" s="73" t="s">
        <v>27</v>
      </c>
      <c r="R85" s="73">
        <v>7504087</v>
      </c>
      <c r="S85" s="73">
        <v>7504087</v>
      </c>
      <c r="T85" s="113">
        <f t="shared" si="29"/>
        <v>7504087</v>
      </c>
      <c r="U85" s="38">
        <f t="shared" si="30"/>
        <v>131032902.80000001</v>
      </c>
      <c r="V85" s="148">
        <v>20</v>
      </c>
      <c r="W85" s="116">
        <f t="shared" si="20"/>
        <v>37</v>
      </c>
      <c r="X85" s="116">
        <f t="shared" si="31"/>
        <v>203</v>
      </c>
      <c r="Y85" s="38">
        <f t="shared" si="32"/>
        <v>577237.45750000002</v>
      </c>
      <c r="Z85" s="38">
        <f t="shared" si="33"/>
        <v>21357785.927500002</v>
      </c>
      <c r="AA85" s="38">
        <f t="shared" si="34"/>
        <v>138536990</v>
      </c>
      <c r="AB85" s="38">
        <f t="shared" si="35"/>
        <v>21357786</v>
      </c>
      <c r="AC85" s="38">
        <f t="shared" si="36"/>
        <v>117179204</v>
      </c>
    </row>
    <row r="86" spans="1:30" s="73" customFormat="1">
      <c r="A86" s="72">
        <v>15200000</v>
      </c>
      <c r="B86" s="73" t="s">
        <v>20</v>
      </c>
      <c r="C86" s="74" t="s">
        <v>995</v>
      </c>
      <c r="D86" s="73">
        <v>1</v>
      </c>
      <c r="E86" s="36" t="s">
        <v>364</v>
      </c>
      <c r="F86" s="144"/>
      <c r="G86" s="144"/>
      <c r="H86" s="144"/>
      <c r="I86" s="144"/>
      <c r="J86" s="77">
        <v>43069</v>
      </c>
      <c r="K86" s="52" t="str">
        <f t="shared" si="37"/>
        <v>SI</v>
      </c>
      <c r="L86" s="113">
        <f t="shared" si="27"/>
        <v>138536989.69999999</v>
      </c>
      <c r="M86" s="73">
        <v>138536989.69999999</v>
      </c>
      <c r="N86" s="145">
        <v>138536989.69999999</v>
      </c>
      <c r="O86" s="113">
        <f t="shared" si="28"/>
        <v>138536989.69999999</v>
      </c>
      <c r="P86" s="72">
        <v>15921000</v>
      </c>
      <c r="Q86" s="73" t="s">
        <v>27</v>
      </c>
      <c r="R86" s="73">
        <v>7504087</v>
      </c>
      <c r="S86" s="73">
        <v>7504087</v>
      </c>
      <c r="T86" s="113">
        <f t="shared" si="29"/>
        <v>7504087</v>
      </c>
      <c r="U86" s="38">
        <f t="shared" si="30"/>
        <v>131032902.69999999</v>
      </c>
      <c r="V86" s="148">
        <v>20</v>
      </c>
      <c r="W86" s="116">
        <f t="shared" si="20"/>
        <v>37</v>
      </c>
      <c r="X86" s="116">
        <f t="shared" si="31"/>
        <v>203</v>
      </c>
      <c r="Y86" s="38">
        <f t="shared" si="32"/>
        <v>577237.45708333328</v>
      </c>
      <c r="Z86" s="38">
        <f t="shared" si="33"/>
        <v>21357785.912083331</v>
      </c>
      <c r="AA86" s="38">
        <f t="shared" si="34"/>
        <v>138536990</v>
      </c>
      <c r="AB86" s="38">
        <f t="shared" si="35"/>
        <v>21357786</v>
      </c>
      <c r="AC86" s="38">
        <f t="shared" si="36"/>
        <v>117179204</v>
      </c>
    </row>
    <row r="87" spans="1:30" s="73" customFormat="1">
      <c r="A87" s="72">
        <v>15200000</v>
      </c>
      <c r="B87" s="73" t="s">
        <v>20</v>
      </c>
      <c r="C87" s="74" t="s">
        <v>995</v>
      </c>
      <c r="D87" s="73">
        <v>1</v>
      </c>
      <c r="E87" s="36" t="s">
        <v>364</v>
      </c>
      <c r="F87" s="144"/>
      <c r="G87" s="144"/>
      <c r="H87" s="144"/>
      <c r="I87" s="144"/>
      <c r="J87" s="77">
        <v>43069</v>
      </c>
      <c r="K87" s="52" t="str">
        <f t="shared" si="37"/>
        <v>SI</v>
      </c>
      <c r="L87" s="113">
        <f t="shared" si="27"/>
        <v>231387317</v>
      </c>
      <c r="M87" s="73">
        <v>231387317</v>
      </c>
      <c r="N87" s="145">
        <v>231387317</v>
      </c>
      <c r="O87" s="113">
        <f t="shared" si="28"/>
        <v>231387317</v>
      </c>
      <c r="P87" s="72">
        <v>15921000</v>
      </c>
      <c r="Q87" s="73" t="s">
        <v>27</v>
      </c>
      <c r="R87" s="73">
        <v>12533480</v>
      </c>
      <c r="S87" s="73">
        <v>12533480</v>
      </c>
      <c r="T87" s="113">
        <f t="shared" si="29"/>
        <v>12533480</v>
      </c>
      <c r="U87" s="38">
        <f t="shared" si="30"/>
        <v>218853837</v>
      </c>
      <c r="V87" s="148">
        <v>20</v>
      </c>
      <c r="W87" s="116">
        <f t="shared" si="20"/>
        <v>37</v>
      </c>
      <c r="X87" s="116">
        <f t="shared" si="31"/>
        <v>203</v>
      </c>
      <c r="Y87" s="38">
        <f t="shared" si="32"/>
        <v>964113.8208333333</v>
      </c>
      <c r="Z87" s="38">
        <f t="shared" si="33"/>
        <v>35672211.37083333</v>
      </c>
      <c r="AA87" s="38">
        <f t="shared" si="34"/>
        <v>231387317</v>
      </c>
      <c r="AB87" s="38">
        <f t="shared" si="35"/>
        <v>35672211</v>
      </c>
      <c r="AC87" s="38">
        <f t="shared" si="36"/>
        <v>195715106</v>
      </c>
    </row>
    <row r="88" spans="1:30" s="73" customFormat="1">
      <c r="A88" s="72">
        <v>15200000</v>
      </c>
      <c r="B88" s="73" t="s">
        <v>20</v>
      </c>
      <c r="C88" s="74" t="s">
        <v>995</v>
      </c>
      <c r="D88" s="73">
        <v>1</v>
      </c>
      <c r="E88" s="36" t="s">
        <v>364</v>
      </c>
      <c r="F88" s="144"/>
      <c r="G88" s="144"/>
      <c r="H88" s="144"/>
      <c r="I88" s="144"/>
      <c r="J88" s="77">
        <v>43069</v>
      </c>
      <c r="K88" s="52" t="str">
        <f t="shared" si="37"/>
        <v>SI</v>
      </c>
      <c r="L88" s="113">
        <f t="shared" si="27"/>
        <v>336237596.60000002</v>
      </c>
      <c r="M88" s="73">
        <v>336237596.60000002</v>
      </c>
      <c r="N88" s="145">
        <v>336237596.60000002</v>
      </c>
      <c r="O88" s="113">
        <f t="shared" si="28"/>
        <v>336237596.60000002</v>
      </c>
      <c r="P88" s="72">
        <v>15921000</v>
      </c>
      <c r="Q88" s="73" t="s">
        <v>27</v>
      </c>
      <c r="R88" s="73">
        <v>18212870</v>
      </c>
      <c r="S88" s="73">
        <v>18212870</v>
      </c>
      <c r="T88" s="113">
        <f t="shared" si="29"/>
        <v>18212870</v>
      </c>
      <c r="U88" s="38">
        <f t="shared" si="30"/>
        <v>318024726.60000002</v>
      </c>
      <c r="V88" s="148">
        <v>20</v>
      </c>
      <c r="W88" s="116">
        <f t="shared" si="20"/>
        <v>37</v>
      </c>
      <c r="X88" s="116">
        <f t="shared" si="31"/>
        <v>203</v>
      </c>
      <c r="Y88" s="38">
        <f t="shared" si="32"/>
        <v>1400989.9858333333</v>
      </c>
      <c r="Z88" s="38">
        <f t="shared" si="33"/>
        <v>51836629.475833334</v>
      </c>
      <c r="AA88" s="38">
        <f t="shared" si="34"/>
        <v>336237597</v>
      </c>
      <c r="AB88" s="38">
        <f t="shared" si="35"/>
        <v>51836629</v>
      </c>
      <c r="AC88" s="38">
        <f t="shared" si="36"/>
        <v>284400968</v>
      </c>
    </row>
    <row r="89" spans="1:30" s="73" customFormat="1">
      <c r="A89" s="72">
        <v>15200000</v>
      </c>
      <c r="B89" s="73" t="s">
        <v>20</v>
      </c>
      <c r="C89" s="74" t="s">
        <v>995</v>
      </c>
      <c r="D89" s="73">
        <v>1</v>
      </c>
      <c r="E89" s="36" t="s">
        <v>364</v>
      </c>
      <c r="F89" s="144"/>
      <c r="G89" s="144"/>
      <c r="H89" s="144"/>
      <c r="I89" s="144"/>
      <c r="J89" s="77">
        <v>43069</v>
      </c>
      <c r="K89" s="52" t="str">
        <f t="shared" si="37"/>
        <v>SI</v>
      </c>
      <c r="L89" s="113">
        <f t="shared" si="27"/>
        <v>127389797.59999999</v>
      </c>
      <c r="M89" s="73">
        <v>127389797.59999999</v>
      </c>
      <c r="N89" s="145">
        <v>127389797.59999999</v>
      </c>
      <c r="O89" s="113">
        <f t="shared" si="28"/>
        <v>127389797.59999999</v>
      </c>
      <c r="P89" s="72">
        <v>15921000</v>
      </c>
      <c r="Q89" s="73" t="s">
        <v>27</v>
      </c>
      <c r="R89" s="73">
        <v>6900281</v>
      </c>
      <c r="S89" s="73">
        <v>6900281</v>
      </c>
      <c r="T89" s="113">
        <f t="shared" si="29"/>
        <v>6900281</v>
      </c>
      <c r="U89" s="38">
        <f t="shared" si="30"/>
        <v>120489516.59999999</v>
      </c>
      <c r="V89" s="148">
        <v>20</v>
      </c>
      <c r="W89" s="116">
        <f t="shared" si="20"/>
        <v>37</v>
      </c>
      <c r="X89" s="116">
        <f t="shared" si="31"/>
        <v>203</v>
      </c>
      <c r="Y89" s="38">
        <f t="shared" si="32"/>
        <v>530790.82333333336</v>
      </c>
      <c r="Z89" s="38">
        <f t="shared" si="33"/>
        <v>19639260.463333335</v>
      </c>
      <c r="AA89" s="38">
        <f t="shared" si="34"/>
        <v>127389798</v>
      </c>
      <c r="AB89" s="38">
        <f t="shared" si="35"/>
        <v>19639260</v>
      </c>
      <c r="AC89" s="38">
        <f t="shared" si="36"/>
        <v>107750538</v>
      </c>
    </row>
    <row r="90" spans="1:30" s="73" customFormat="1">
      <c r="A90" s="72">
        <v>15200000</v>
      </c>
      <c r="B90" s="73" t="s">
        <v>20</v>
      </c>
      <c r="C90" s="74" t="s">
        <v>995</v>
      </c>
      <c r="D90" s="73">
        <v>1</v>
      </c>
      <c r="E90" s="36" t="s">
        <v>364</v>
      </c>
      <c r="F90" s="144"/>
      <c r="G90" s="144"/>
      <c r="H90" s="144"/>
      <c r="I90" s="144"/>
      <c r="J90" s="77">
        <v>43069</v>
      </c>
      <c r="K90" s="52" t="str">
        <f t="shared" si="37"/>
        <v>SI</v>
      </c>
      <c r="L90" s="113">
        <f t="shared" si="27"/>
        <v>4500800</v>
      </c>
      <c r="M90" s="73">
        <v>4500800</v>
      </c>
      <c r="N90" s="145">
        <v>4500800</v>
      </c>
      <c r="O90" s="113">
        <f t="shared" si="28"/>
        <v>4500800</v>
      </c>
      <c r="P90" s="72">
        <v>15921000</v>
      </c>
      <c r="Q90" s="73" t="s">
        <v>27</v>
      </c>
      <c r="R90" s="73">
        <v>487587</v>
      </c>
      <c r="S90" s="73">
        <v>487587</v>
      </c>
      <c r="T90" s="113">
        <f t="shared" si="29"/>
        <v>487587</v>
      </c>
      <c r="U90" s="38">
        <f t="shared" si="30"/>
        <v>4013213</v>
      </c>
      <c r="V90" s="148">
        <v>10</v>
      </c>
      <c r="W90" s="116">
        <f t="shared" si="20"/>
        <v>37</v>
      </c>
      <c r="X90" s="116">
        <f t="shared" si="31"/>
        <v>83</v>
      </c>
      <c r="Y90" s="38">
        <f t="shared" si="32"/>
        <v>37506.666666666664</v>
      </c>
      <c r="Z90" s="38">
        <f t="shared" si="33"/>
        <v>1387746.6666666665</v>
      </c>
      <c r="AA90" s="38">
        <f t="shared" si="34"/>
        <v>4500800</v>
      </c>
      <c r="AB90" s="38">
        <f t="shared" si="35"/>
        <v>1387747</v>
      </c>
      <c r="AC90" s="38">
        <f t="shared" si="36"/>
        <v>3113053</v>
      </c>
    </row>
    <row r="91" spans="1:30" s="73" customFormat="1">
      <c r="A91" s="72">
        <v>15200000</v>
      </c>
      <c r="B91" s="73" t="s">
        <v>20</v>
      </c>
      <c r="C91" s="74" t="s">
        <v>995</v>
      </c>
      <c r="D91" s="73">
        <v>1</v>
      </c>
      <c r="E91" s="36" t="s">
        <v>364</v>
      </c>
      <c r="F91" s="144"/>
      <c r="G91" s="144"/>
      <c r="H91" s="144"/>
      <c r="I91" s="144"/>
      <c r="J91" s="77">
        <v>43069</v>
      </c>
      <c r="K91" s="52" t="str">
        <f>IF(L91&gt;($M$23*50),"SI","NO")</f>
        <v>NO</v>
      </c>
      <c r="L91" s="113">
        <f t="shared" si="27"/>
        <v>0</v>
      </c>
      <c r="M91" s="73">
        <f>655498863.2*0</f>
        <v>0</v>
      </c>
      <c r="N91" s="145">
        <f>655498863.2*0</f>
        <v>0</v>
      </c>
      <c r="O91" s="113">
        <f t="shared" si="28"/>
        <v>0</v>
      </c>
      <c r="P91" s="72">
        <v>15921000</v>
      </c>
      <c r="Q91" s="73" t="s">
        <v>27</v>
      </c>
      <c r="R91" s="73">
        <f>16387472*0</f>
        <v>0</v>
      </c>
      <c r="S91" s="73">
        <f>16387472*0</f>
        <v>0</v>
      </c>
      <c r="T91" s="113">
        <f t="shared" si="29"/>
        <v>0</v>
      </c>
      <c r="U91" s="38">
        <f t="shared" si="30"/>
        <v>0</v>
      </c>
      <c r="V91" s="148">
        <v>20</v>
      </c>
      <c r="W91" s="116">
        <f t="shared" si="20"/>
        <v>37</v>
      </c>
      <c r="X91" s="116">
        <f t="shared" si="31"/>
        <v>203</v>
      </c>
      <c r="Y91" s="38">
        <f t="shared" si="32"/>
        <v>0</v>
      </c>
      <c r="Z91" s="38">
        <f t="shared" si="33"/>
        <v>0</v>
      </c>
      <c r="AA91" s="38">
        <f t="shared" si="34"/>
        <v>0</v>
      </c>
      <c r="AB91" s="38">
        <f t="shared" si="35"/>
        <v>0</v>
      </c>
      <c r="AC91" s="38">
        <f t="shared" si="36"/>
        <v>0</v>
      </c>
      <c r="AD91" s="73" t="s">
        <v>1045</v>
      </c>
    </row>
    <row r="92" spans="1:30" s="73" customFormat="1">
      <c r="A92" s="72">
        <v>15200000</v>
      </c>
      <c r="B92" s="73" t="s">
        <v>20</v>
      </c>
      <c r="C92" s="74" t="s">
        <v>995</v>
      </c>
      <c r="D92" s="73">
        <v>1</v>
      </c>
      <c r="E92" s="36" t="s">
        <v>364</v>
      </c>
      <c r="F92" s="144"/>
      <c r="G92" s="144"/>
      <c r="H92" s="144"/>
      <c r="I92" s="144"/>
      <c r="J92" s="77">
        <v>43069</v>
      </c>
      <c r="K92" s="52" t="str">
        <f>IF(L92&gt;($M$24*50),"SI","NO")</f>
        <v>SI</v>
      </c>
      <c r="L92" s="113">
        <f t="shared" si="27"/>
        <v>293361905.10000002</v>
      </c>
      <c r="M92" s="73">
        <v>293361905.10000002</v>
      </c>
      <c r="N92" s="145">
        <v>293361905.10000002</v>
      </c>
      <c r="O92" s="113">
        <f t="shared" si="28"/>
        <v>293361905.10000002</v>
      </c>
      <c r="P92" s="72">
        <v>15921000</v>
      </c>
      <c r="Q92" s="73" t="s">
        <v>27</v>
      </c>
      <c r="R92" s="73">
        <v>15890437</v>
      </c>
      <c r="S92" s="73">
        <v>15890437</v>
      </c>
      <c r="T92" s="113">
        <f t="shared" si="29"/>
        <v>15890437</v>
      </c>
      <c r="U92" s="38">
        <f t="shared" si="30"/>
        <v>277471468.10000002</v>
      </c>
      <c r="V92" s="148">
        <v>20</v>
      </c>
      <c r="W92" s="116">
        <f t="shared" si="20"/>
        <v>37</v>
      </c>
      <c r="X92" s="116">
        <f t="shared" si="31"/>
        <v>203</v>
      </c>
      <c r="Y92" s="38">
        <f t="shared" si="32"/>
        <v>1222341.27125</v>
      </c>
      <c r="Z92" s="38">
        <f t="shared" si="33"/>
        <v>45226627.036250003</v>
      </c>
      <c r="AA92" s="38">
        <f t="shared" si="34"/>
        <v>293361905</v>
      </c>
      <c r="AB92" s="38">
        <f t="shared" si="35"/>
        <v>45226627</v>
      </c>
      <c r="AC92" s="38">
        <f t="shared" si="36"/>
        <v>248135278</v>
      </c>
    </row>
    <row r="93" spans="1:30" s="73" customFormat="1" ht="15.95" customHeight="1">
      <c r="A93" s="72">
        <v>15200000</v>
      </c>
      <c r="B93" s="73" t="s">
        <v>20</v>
      </c>
      <c r="C93" s="74" t="s">
        <v>995</v>
      </c>
      <c r="D93" s="73">
        <v>1</v>
      </c>
      <c r="E93" s="36" t="s">
        <v>364</v>
      </c>
      <c r="F93" s="144"/>
      <c r="G93" s="144"/>
      <c r="H93" s="144"/>
      <c r="I93" s="144"/>
      <c r="J93" s="77">
        <v>43069</v>
      </c>
      <c r="K93" s="52" t="str">
        <f>IF(L93&gt;($M$24*50),"SI","NO")</f>
        <v>SI</v>
      </c>
      <c r="L93" s="113">
        <f t="shared" si="27"/>
        <v>86592898.780000001</v>
      </c>
      <c r="M93" s="73">
        <v>86592898.780000001</v>
      </c>
      <c r="N93" s="145">
        <v>86592898.780000001</v>
      </c>
      <c r="O93" s="113">
        <f t="shared" si="28"/>
        <v>86592898.780000001</v>
      </c>
      <c r="P93" s="72">
        <v>15921000</v>
      </c>
      <c r="Q93" s="73" t="s">
        <v>27</v>
      </c>
      <c r="R93" s="73">
        <v>4690449</v>
      </c>
      <c r="S93" s="73">
        <v>4690449</v>
      </c>
      <c r="T93" s="113">
        <f t="shared" si="29"/>
        <v>4690449</v>
      </c>
      <c r="U93" s="38">
        <f t="shared" si="30"/>
        <v>81902449.780000001</v>
      </c>
      <c r="V93" s="148">
        <v>20</v>
      </c>
      <c r="W93" s="116">
        <f t="shared" si="20"/>
        <v>37</v>
      </c>
      <c r="X93" s="116">
        <f t="shared" si="31"/>
        <v>203</v>
      </c>
      <c r="Y93" s="38">
        <f t="shared" si="32"/>
        <v>360803.74491666665</v>
      </c>
      <c r="Z93" s="38">
        <f t="shared" si="33"/>
        <v>13349738.561916666</v>
      </c>
      <c r="AA93" s="38">
        <f t="shared" si="34"/>
        <v>86592899</v>
      </c>
      <c r="AB93" s="38">
        <f t="shared" si="35"/>
        <v>13349739</v>
      </c>
      <c r="AC93" s="38">
        <f t="shared" si="36"/>
        <v>73243160</v>
      </c>
    </row>
    <row r="94" spans="1:30" s="73" customFormat="1">
      <c r="A94" s="72">
        <v>15200000</v>
      </c>
      <c r="B94" s="73" t="s">
        <v>20</v>
      </c>
      <c r="C94" s="74" t="s">
        <v>995</v>
      </c>
      <c r="D94" s="73">
        <v>1</v>
      </c>
      <c r="E94" s="36" t="s">
        <v>364</v>
      </c>
      <c r="F94" s="144"/>
      <c r="G94" s="144"/>
      <c r="H94" s="144"/>
      <c r="I94" s="144"/>
      <c r="J94" s="166">
        <v>43159</v>
      </c>
      <c r="K94" s="52" t="str">
        <f>IF(L94&gt;($M$25*50),"SI","NO")</f>
        <v>SI</v>
      </c>
      <c r="L94" s="113">
        <f t="shared" si="27"/>
        <v>5703631</v>
      </c>
      <c r="M94" s="73">
        <v>5703631</v>
      </c>
      <c r="N94" s="145">
        <v>5703631</v>
      </c>
      <c r="O94" s="113">
        <f t="shared" si="28"/>
        <v>5703631</v>
      </c>
      <c r="P94" s="72">
        <v>15921000</v>
      </c>
      <c r="Q94" s="73" t="s">
        <v>27</v>
      </c>
      <c r="R94" s="73">
        <v>237651</v>
      </c>
      <c r="S94" s="73">
        <v>237651</v>
      </c>
      <c r="T94" s="113">
        <f t="shared" si="29"/>
        <v>237651</v>
      </c>
      <c r="U94" s="38">
        <f t="shared" si="30"/>
        <v>5465980</v>
      </c>
      <c r="V94" s="148">
        <v>20</v>
      </c>
      <c r="W94" s="116">
        <f t="shared" si="20"/>
        <v>34</v>
      </c>
      <c r="X94" s="116">
        <f t="shared" si="31"/>
        <v>206</v>
      </c>
      <c r="Y94" s="38">
        <f t="shared" si="32"/>
        <v>23765.129166666666</v>
      </c>
      <c r="Z94" s="38">
        <f t="shared" si="33"/>
        <v>808014.3916666666</v>
      </c>
      <c r="AA94" s="38">
        <f t="shared" si="34"/>
        <v>5703631</v>
      </c>
      <c r="AB94" s="38">
        <f t="shared" si="35"/>
        <v>808014</v>
      </c>
      <c r="AC94" s="38">
        <f t="shared" si="36"/>
        <v>4895617</v>
      </c>
    </row>
    <row r="95" spans="1:30" s="73" customFormat="1">
      <c r="A95" s="72">
        <v>15200000</v>
      </c>
      <c r="B95" s="73" t="s">
        <v>20</v>
      </c>
      <c r="C95" s="74" t="s">
        <v>995</v>
      </c>
      <c r="D95" s="73">
        <v>1</v>
      </c>
      <c r="E95" s="36" t="s">
        <v>364</v>
      </c>
      <c r="F95" s="144"/>
      <c r="G95" s="144"/>
      <c r="H95" s="144"/>
      <c r="I95" s="144"/>
      <c r="J95" s="166">
        <v>43190</v>
      </c>
      <c r="K95" s="52" t="str">
        <f>IF(L95&gt;($M$25*50),"SI","NO")</f>
        <v>SI</v>
      </c>
      <c r="L95" s="113">
        <f t="shared" si="27"/>
        <v>13254594</v>
      </c>
      <c r="M95" s="73">
        <v>13254594</v>
      </c>
      <c r="N95" s="145">
        <v>13254594</v>
      </c>
      <c r="O95" s="113">
        <f t="shared" si="28"/>
        <v>13254594</v>
      </c>
      <c r="P95" s="72">
        <v>15921000</v>
      </c>
      <c r="Q95" s="73" t="s">
        <v>27</v>
      </c>
      <c r="R95" s="73">
        <v>497047</v>
      </c>
      <c r="S95" s="73">
        <v>497047</v>
      </c>
      <c r="T95" s="113">
        <f t="shared" si="29"/>
        <v>497047</v>
      </c>
      <c r="U95" s="38">
        <f t="shared" si="30"/>
        <v>12757547</v>
      </c>
      <c r="V95" s="148">
        <v>20</v>
      </c>
      <c r="W95" s="116">
        <f t="shared" si="20"/>
        <v>33</v>
      </c>
      <c r="X95" s="116">
        <f t="shared" si="31"/>
        <v>207</v>
      </c>
      <c r="Y95" s="38">
        <f t="shared" si="32"/>
        <v>55227.474999999999</v>
      </c>
      <c r="Z95" s="38">
        <f t="shared" si="33"/>
        <v>1822506.675</v>
      </c>
      <c r="AA95" s="38">
        <f t="shared" si="34"/>
        <v>13254594</v>
      </c>
      <c r="AB95" s="38">
        <f t="shared" si="35"/>
        <v>1822507</v>
      </c>
      <c r="AC95" s="38">
        <f t="shared" si="36"/>
        <v>11432087</v>
      </c>
    </row>
    <row r="96" spans="1:30" s="73" customFormat="1">
      <c r="A96" s="72">
        <v>15200000</v>
      </c>
      <c r="B96" s="73" t="s">
        <v>20</v>
      </c>
      <c r="C96" s="167" t="s">
        <v>995</v>
      </c>
      <c r="D96" s="73">
        <v>1</v>
      </c>
      <c r="E96" s="36" t="s">
        <v>364</v>
      </c>
      <c r="F96" s="144"/>
      <c r="G96" s="144"/>
      <c r="H96" s="144"/>
      <c r="I96" s="144"/>
      <c r="J96" s="168">
        <v>43344</v>
      </c>
      <c r="K96" s="52" t="str">
        <f>IF(L96&gt;($M$25*50),"SI","NO")</f>
        <v>SI</v>
      </c>
      <c r="L96" s="113">
        <f t="shared" si="27"/>
        <v>14780964</v>
      </c>
      <c r="M96" s="73">
        <v>14780964</v>
      </c>
      <c r="N96" s="145">
        <v>14780964</v>
      </c>
      <c r="O96" s="113">
        <f t="shared" si="28"/>
        <v>14780964</v>
      </c>
      <c r="P96" s="72">
        <v>15921000</v>
      </c>
      <c r="Q96" s="73" t="s">
        <v>27</v>
      </c>
      <c r="R96" s="73">
        <v>246349</v>
      </c>
      <c r="S96" s="73">
        <v>246349</v>
      </c>
      <c r="T96" s="113">
        <f t="shared" si="29"/>
        <v>246349</v>
      </c>
      <c r="U96" s="38">
        <f t="shared" si="30"/>
        <v>14534615</v>
      </c>
      <c r="V96" s="148">
        <v>20</v>
      </c>
      <c r="W96" s="116">
        <f t="shared" ref="W96" si="38">IF(ROUND(($W$27-J96)/30,0)&gt;(V96*12),(V96*12),(ROUND(($W$27-J96)/30,0)))</f>
        <v>28</v>
      </c>
      <c r="X96" s="116">
        <f t="shared" si="31"/>
        <v>212</v>
      </c>
      <c r="Y96" s="38">
        <f t="shared" si="32"/>
        <v>61587.35</v>
      </c>
      <c r="Z96" s="38">
        <f t="shared" si="33"/>
        <v>1724445.8</v>
      </c>
      <c r="AA96" s="38">
        <f t="shared" si="34"/>
        <v>14780964</v>
      </c>
      <c r="AB96" s="38">
        <f t="shared" si="35"/>
        <v>1724446</v>
      </c>
      <c r="AC96" s="38">
        <f t="shared" si="36"/>
        <v>13056518</v>
      </c>
    </row>
    <row r="97" spans="1:37" s="67" customFormat="1">
      <c r="A97" s="72">
        <v>15200000</v>
      </c>
      <c r="B97" s="73" t="s">
        <v>20</v>
      </c>
      <c r="C97" s="68" t="s">
        <v>995</v>
      </c>
      <c r="D97" s="67">
        <v>1</v>
      </c>
      <c r="E97" s="36" t="s">
        <v>364</v>
      </c>
      <c r="F97" s="177"/>
      <c r="G97" s="177"/>
      <c r="H97" s="177"/>
      <c r="I97" s="177"/>
      <c r="J97" s="198">
        <v>43497</v>
      </c>
      <c r="K97" s="65" t="str">
        <f t="shared" ref="K97:K128" si="39">IF(L97&gt;($M$26*50),"SI","NO")</f>
        <v>SI</v>
      </c>
      <c r="L97" s="139">
        <f t="shared" si="27"/>
        <v>10500000</v>
      </c>
      <c r="M97" s="67">
        <v>10500000</v>
      </c>
      <c r="N97" s="67">
        <v>10500000</v>
      </c>
      <c r="O97" s="139">
        <f>IF(K97="SI",N97,0)</f>
        <v>10500000</v>
      </c>
      <c r="P97" s="72">
        <v>15921000</v>
      </c>
      <c r="Q97" s="73" t="s">
        <v>27</v>
      </c>
      <c r="R97" s="67">
        <v>0</v>
      </c>
      <c r="S97" s="67">
        <v>0</v>
      </c>
      <c r="T97" s="139">
        <f>IF(O97&gt;0,S97,0)</f>
        <v>0</v>
      </c>
      <c r="U97" s="60">
        <f>IF(O97&gt;0,N97-S97,0)</f>
        <v>10500000</v>
      </c>
      <c r="V97" s="181">
        <v>15</v>
      </c>
      <c r="W97" s="116">
        <f t="shared" ref="W97:W160" si="40">IF(ROUND(($W$27-J97)/30,0)&gt;(V97*12),(V97*12),(ROUND(($W$27-J97)/30,0)))</f>
        <v>23</v>
      </c>
      <c r="X97" s="116">
        <f t="shared" si="31"/>
        <v>157</v>
      </c>
      <c r="Y97" s="38">
        <f t="shared" si="32"/>
        <v>58333.333333333336</v>
      </c>
      <c r="Z97" s="38">
        <f t="shared" si="33"/>
        <v>1341666.6666666667</v>
      </c>
      <c r="AA97" s="38">
        <f t="shared" si="34"/>
        <v>10500000</v>
      </c>
      <c r="AB97" s="38">
        <f t="shared" si="35"/>
        <v>1341667</v>
      </c>
      <c r="AC97" s="38">
        <f t="shared" si="36"/>
        <v>9158333</v>
      </c>
      <c r="AE97" s="73"/>
      <c r="AF97" s="73"/>
      <c r="AG97" s="73"/>
      <c r="AH97" s="73"/>
      <c r="AI97" s="73"/>
      <c r="AJ97" s="73"/>
      <c r="AK97" s="180"/>
    </row>
    <row r="98" spans="1:37" s="67" customFormat="1">
      <c r="A98" s="72">
        <v>15200000</v>
      </c>
      <c r="B98" s="73" t="s">
        <v>20</v>
      </c>
      <c r="C98" s="68" t="s">
        <v>995</v>
      </c>
      <c r="D98" s="67">
        <v>1</v>
      </c>
      <c r="E98" s="36" t="s">
        <v>364</v>
      </c>
      <c r="F98" s="177"/>
      <c r="G98" s="177"/>
      <c r="H98" s="177"/>
      <c r="I98" s="177"/>
      <c r="J98" s="198">
        <v>43497</v>
      </c>
      <c r="K98" s="65" t="str">
        <f t="shared" si="39"/>
        <v>SI</v>
      </c>
      <c r="L98" s="139">
        <f t="shared" si="27"/>
        <v>5500000</v>
      </c>
      <c r="M98" s="67">
        <v>5500000</v>
      </c>
      <c r="N98" s="67">
        <v>5500000</v>
      </c>
      <c r="O98" s="139">
        <f t="shared" ref="O98:O161" si="41">IF(K98="SI",N98,0)</f>
        <v>5500000</v>
      </c>
      <c r="P98" s="72">
        <v>15921000</v>
      </c>
      <c r="Q98" s="73" t="s">
        <v>27</v>
      </c>
      <c r="R98" s="67">
        <v>0</v>
      </c>
      <c r="S98" s="67">
        <v>0</v>
      </c>
      <c r="T98" s="139">
        <f t="shared" ref="T98:T161" si="42">IF(O98&gt;0,S98,0)</f>
        <v>0</v>
      </c>
      <c r="U98" s="60">
        <f t="shared" ref="U98:U161" si="43">IF(O98&gt;0,N98-S98,0)</f>
        <v>5500000</v>
      </c>
      <c r="V98" s="181">
        <v>15</v>
      </c>
      <c r="W98" s="116">
        <f t="shared" si="40"/>
        <v>23</v>
      </c>
      <c r="X98" s="116">
        <f t="shared" si="31"/>
        <v>157</v>
      </c>
      <c r="Y98" s="38">
        <f t="shared" si="32"/>
        <v>30555.555555555555</v>
      </c>
      <c r="Z98" s="38">
        <f t="shared" si="33"/>
        <v>702777.77777777775</v>
      </c>
      <c r="AA98" s="38">
        <f t="shared" si="34"/>
        <v>5500000</v>
      </c>
      <c r="AB98" s="38">
        <f t="shared" si="35"/>
        <v>702778</v>
      </c>
      <c r="AC98" s="38">
        <f t="shared" si="36"/>
        <v>4797222</v>
      </c>
      <c r="AE98" s="73"/>
      <c r="AF98" s="73"/>
      <c r="AG98" s="73"/>
      <c r="AH98" s="73"/>
      <c r="AI98" s="73"/>
      <c r="AJ98" s="73"/>
      <c r="AK98" s="180"/>
    </row>
    <row r="99" spans="1:37" s="67" customFormat="1">
      <c r="A99" s="72">
        <v>15200000</v>
      </c>
      <c r="B99" s="73" t="s">
        <v>20</v>
      </c>
      <c r="C99" s="68" t="s">
        <v>995</v>
      </c>
      <c r="D99" s="67">
        <v>1</v>
      </c>
      <c r="E99" s="36" t="s">
        <v>364</v>
      </c>
      <c r="F99" s="177"/>
      <c r="G99" s="177"/>
      <c r="H99" s="177"/>
      <c r="I99" s="177"/>
      <c r="J99" s="198">
        <v>43555</v>
      </c>
      <c r="K99" s="65" t="str">
        <f t="shared" si="39"/>
        <v>SI</v>
      </c>
      <c r="L99" s="139">
        <f t="shared" si="27"/>
        <v>11316244</v>
      </c>
      <c r="M99" s="67">
        <v>11316244</v>
      </c>
      <c r="N99" s="67">
        <v>11316244</v>
      </c>
      <c r="O99" s="139">
        <f t="shared" si="41"/>
        <v>11316244</v>
      </c>
      <c r="P99" s="72">
        <v>15921000</v>
      </c>
      <c r="Q99" s="73" t="s">
        <v>27</v>
      </c>
      <c r="R99" s="67">
        <v>0</v>
      </c>
      <c r="S99" s="67">
        <v>0</v>
      </c>
      <c r="T99" s="139">
        <f t="shared" si="42"/>
        <v>0</v>
      </c>
      <c r="U99" s="60">
        <f t="shared" si="43"/>
        <v>11316244</v>
      </c>
      <c r="V99" s="181">
        <v>25</v>
      </c>
      <c r="W99" s="116">
        <f t="shared" si="40"/>
        <v>21</v>
      </c>
      <c r="X99" s="116">
        <f t="shared" si="31"/>
        <v>279</v>
      </c>
      <c r="Y99" s="38">
        <f t="shared" si="32"/>
        <v>37720.813333333332</v>
      </c>
      <c r="Z99" s="38">
        <f t="shared" si="33"/>
        <v>792137.08</v>
      </c>
      <c r="AA99" s="38">
        <f t="shared" si="34"/>
        <v>11316244</v>
      </c>
      <c r="AB99" s="38">
        <f t="shared" si="35"/>
        <v>792137</v>
      </c>
      <c r="AC99" s="38">
        <f t="shared" si="36"/>
        <v>10524107</v>
      </c>
      <c r="AE99" s="73"/>
      <c r="AF99" s="73"/>
      <c r="AG99" s="73"/>
      <c r="AH99" s="73"/>
      <c r="AI99" s="73"/>
      <c r="AJ99" s="73"/>
      <c r="AK99" s="180"/>
    </row>
    <row r="100" spans="1:37" s="67" customFormat="1">
      <c r="A100" s="72">
        <v>15200000</v>
      </c>
      <c r="B100" s="73" t="s">
        <v>20</v>
      </c>
      <c r="C100" s="68" t="s">
        <v>995</v>
      </c>
      <c r="D100" s="67">
        <v>1</v>
      </c>
      <c r="E100" s="36" t="s">
        <v>364</v>
      </c>
      <c r="F100" s="177"/>
      <c r="G100" s="177"/>
      <c r="H100" s="177"/>
      <c r="I100" s="177"/>
      <c r="J100" s="198">
        <v>43555</v>
      </c>
      <c r="K100" s="65" t="str">
        <f t="shared" si="39"/>
        <v>SI</v>
      </c>
      <c r="L100" s="139">
        <f t="shared" si="27"/>
        <v>5812531.2000000002</v>
      </c>
      <c r="M100" s="67">
        <v>5812531.2000000002</v>
      </c>
      <c r="N100" s="67">
        <v>5812531.2000000002</v>
      </c>
      <c r="O100" s="139">
        <f t="shared" si="41"/>
        <v>5812531.2000000002</v>
      </c>
      <c r="P100" s="72">
        <v>15921000</v>
      </c>
      <c r="Q100" s="73" t="s">
        <v>27</v>
      </c>
      <c r="R100" s="67">
        <v>0</v>
      </c>
      <c r="S100" s="67">
        <v>0</v>
      </c>
      <c r="T100" s="139">
        <f t="shared" si="42"/>
        <v>0</v>
      </c>
      <c r="U100" s="60">
        <f t="shared" si="43"/>
        <v>5812531.2000000002</v>
      </c>
      <c r="V100" s="181">
        <v>25</v>
      </c>
      <c r="W100" s="116">
        <f t="shared" si="40"/>
        <v>21</v>
      </c>
      <c r="X100" s="116">
        <f t="shared" si="31"/>
        <v>279</v>
      </c>
      <c r="Y100" s="38">
        <f t="shared" si="32"/>
        <v>19375.103999999999</v>
      </c>
      <c r="Z100" s="38">
        <f t="shared" si="33"/>
        <v>406877.18400000001</v>
      </c>
      <c r="AA100" s="38">
        <f t="shared" si="34"/>
        <v>5812531</v>
      </c>
      <c r="AB100" s="38">
        <f t="shared" si="35"/>
        <v>406877</v>
      </c>
      <c r="AC100" s="38">
        <f t="shared" si="36"/>
        <v>5405654</v>
      </c>
      <c r="AE100" s="73"/>
      <c r="AF100" s="73"/>
      <c r="AG100" s="73"/>
      <c r="AH100" s="73"/>
      <c r="AI100" s="73"/>
      <c r="AJ100" s="73"/>
      <c r="AK100" s="180"/>
    </row>
    <row r="101" spans="1:37" s="67" customFormat="1">
      <c r="A101" s="72">
        <v>15200000</v>
      </c>
      <c r="B101" s="73" t="s">
        <v>20</v>
      </c>
      <c r="C101" s="68" t="s">
        <v>995</v>
      </c>
      <c r="D101" s="67">
        <v>1</v>
      </c>
      <c r="E101" s="36" t="s">
        <v>364</v>
      </c>
      <c r="F101" s="177"/>
      <c r="G101" s="177"/>
      <c r="H101" s="177"/>
      <c r="I101" s="177"/>
      <c r="J101" s="198">
        <v>43555</v>
      </c>
      <c r="K101" s="65" t="str">
        <f t="shared" si="39"/>
        <v>SI</v>
      </c>
      <c r="L101" s="139">
        <f t="shared" si="27"/>
        <v>9901713.5</v>
      </c>
      <c r="M101" s="67">
        <v>9901713.5</v>
      </c>
      <c r="N101" s="67">
        <v>9901713.5</v>
      </c>
      <c r="O101" s="139">
        <f t="shared" si="41"/>
        <v>9901713.5</v>
      </c>
      <c r="P101" s="72">
        <v>15921000</v>
      </c>
      <c r="Q101" s="73" t="s">
        <v>27</v>
      </c>
      <c r="R101" s="67">
        <v>0</v>
      </c>
      <c r="S101" s="67">
        <v>0</v>
      </c>
      <c r="T101" s="139">
        <f t="shared" si="42"/>
        <v>0</v>
      </c>
      <c r="U101" s="60">
        <f t="shared" si="43"/>
        <v>9901713.5</v>
      </c>
      <c r="V101" s="181">
        <v>25</v>
      </c>
      <c r="W101" s="116">
        <f t="shared" si="40"/>
        <v>21</v>
      </c>
      <c r="X101" s="116">
        <f t="shared" si="31"/>
        <v>279</v>
      </c>
      <c r="Y101" s="38">
        <f t="shared" si="32"/>
        <v>33005.71166666667</v>
      </c>
      <c r="Z101" s="38">
        <f t="shared" si="33"/>
        <v>693119.94500000007</v>
      </c>
      <c r="AA101" s="38">
        <f t="shared" si="34"/>
        <v>9901714</v>
      </c>
      <c r="AB101" s="38">
        <f t="shared" si="35"/>
        <v>693120</v>
      </c>
      <c r="AC101" s="38">
        <f t="shared" si="36"/>
        <v>9208594</v>
      </c>
      <c r="AE101" s="73"/>
      <c r="AF101" s="73"/>
      <c r="AG101" s="73"/>
      <c r="AH101" s="73"/>
      <c r="AI101" s="73"/>
      <c r="AJ101" s="73"/>
      <c r="AK101" s="180"/>
    </row>
    <row r="102" spans="1:37" s="67" customFormat="1">
      <c r="A102" s="72">
        <v>15200000</v>
      </c>
      <c r="B102" s="73" t="s">
        <v>20</v>
      </c>
      <c r="C102" s="68" t="s">
        <v>995</v>
      </c>
      <c r="D102" s="67">
        <v>1</v>
      </c>
      <c r="E102" s="36" t="s">
        <v>364</v>
      </c>
      <c r="F102" s="177"/>
      <c r="G102" s="177"/>
      <c r="H102" s="177"/>
      <c r="I102" s="177"/>
      <c r="J102" s="198">
        <v>43555</v>
      </c>
      <c r="K102" s="65" t="str">
        <f t="shared" si="39"/>
        <v>SI</v>
      </c>
      <c r="L102" s="139">
        <f t="shared" si="27"/>
        <v>5085964.8</v>
      </c>
      <c r="M102" s="67">
        <v>5085964.8</v>
      </c>
      <c r="N102" s="67">
        <v>5085964.8</v>
      </c>
      <c r="O102" s="139">
        <f t="shared" si="41"/>
        <v>5085964.8</v>
      </c>
      <c r="P102" s="72">
        <v>15921000</v>
      </c>
      <c r="Q102" s="73" t="s">
        <v>27</v>
      </c>
      <c r="R102" s="67">
        <v>0</v>
      </c>
      <c r="S102" s="67">
        <v>0</v>
      </c>
      <c r="T102" s="139">
        <f t="shared" si="42"/>
        <v>0</v>
      </c>
      <c r="U102" s="60">
        <f t="shared" si="43"/>
        <v>5085964.8</v>
      </c>
      <c r="V102" s="181">
        <v>25</v>
      </c>
      <c r="W102" s="116">
        <f t="shared" si="40"/>
        <v>21</v>
      </c>
      <c r="X102" s="116">
        <f t="shared" si="31"/>
        <v>279</v>
      </c>
      <c r="Y102" s="38">
        <f t="shared" si="32"/>
        <v>16953.216</v>
      </c>
      <c r="Z102" s="38">
        <f t="shared" si="33"/>
        <v>356017.53600000002</v>
      </c>
      <c r="AA102" s="38">
        <f t="shared" si="34"/>
        <v>5085965</v>
      </c>
      <c r="AB102" s="38">
        <f t="shared" si="35"/>
        <v>356018</v>
      </c>
      <c r="AC102" s="38">
        <f t="shared" si="36"/>
        <v>4729947</v>
      </c>
      <c r="AE102" s="73"/>
      <c r="AF102" s="73"/>
      <c r="AG102" s="73"/>
      <c r="AH102" s="73"/>
      <c r="AI102" s="73"/>
      <c r="AJ102" s="73"/>
      <c r="AK102" s="180"/>
    </row>
    <row r="103" spans="1:37" s="67" customFormat="1">
      <c r="A103" s="72">
        <v>15200000</v>
      </c>
      <c r="B103" s="73" t="s">
        <v>20</v>
      </c>
      <c r="C103" s="68" t="s">
        <v>995</v>
      </c>
      <c r="D103" s="67">
        <v>1</v>
      </c>
      <c r="E103" s="36" t="s">
        <v>364</v>
      </c>
      <c r="F103" s="177"/>
      <c r="G103" s="177"/>
      <c r="H103" s="177"/>
      <c r="I103" s="177"/>
      <c r="J103" s="198">
        <v>43555</v>
      </c>
      <c r="K103" s="65" t="str">
        <f t="shared" si="39"/>
        <v>SI</v>
      </c>
      <c r="L103" s="139">
        <f t="shared" si="27"/>
        <v>9901713.5</v>
      </c>
      <c r="M103" s="67">
        <v>9901713.5</v>
      </c>
      <c r="N103" s="67">
        <v>9901713.5</v>
      </c>
      <c r="O103" s="139">
        <f t="shared" si="41"/>
        <v>9901713.5</v>
      </c>
      <c r="P103" s="72">
        <v>15921000</v>
      </c>
      <c r="Q103" s="73" t="s">
        <v>27</v>
      </c>
      <c r="R103" s="67">
        <v>0</v>
      </c>
      <c r="S103" s="67">
        <v>0</v>
      </c>
      <c r="T103" s="139">
        <f t="shared" si="42"/>
        <v>0</v>
      </c>
      <c r="U103" s="60">
        <f t="shared" si="43"/>
        <v>9901713.5</v>
      </c>
      <c r="V103" s="181">
        <v>25</v>
      </c>
      <c r="W103" s="116">
        <f t="shared" si="40"/>
        <v>21</v>
      </c>
      <c r="X103" s="116">
        <f t="shared" si="31"/>
        <v>279</v>
      </c>
      <c r="Y103" s="38">
        <f t="shared" si="32"/>
        <v>33005.71166666667</v>
      </c>
      <c r="Z103" s="38">
        <f t="shared" si="33"/>
        <v>693119.94500000007</v>
      </c>
      <c r="AA103" s="38">
        <f t="shared" si="34"/>
        <v>9901714</v>
      </c>
      <c r="AB103" s="38">
        <f t="shared" si="35"/>
        <v>693120</v>
      </c>
      <c r="AC103" s="38">
        <f t="shared" si="36"/>
        <v>9208594</v>
      </c>
      <c r="AE103" s="73"/>
      <c r="AF103" s="73"/>
      <c r="AG103" s="73"/>
      <c r="AH103" s="73"/>
      <c r="AI103" s="73"/>
      <c r="AJ103" s="73"/>
      <c r="AK103" s="180"/>
    </row>
    <row r="104" spans="1:37" s="67" customFormat="1">
      <c r="A104" s="72">
        <v>15200000</v>
      </c>
      <c r="B104" s="73" t="s">
        <v>20</v>
      </c>
      <c r="C104" s="68" t="s">
        <v>995</v>
      </c>
      <c r="D104" s="67">
        <v>1</v>
      </c>
      <c r="E104" s="36" t="s">
        <v>364</v>
      </c>
      <c r="F104" s="177"/>
      <c r="G104" s="177"/>
      <c r="H104" s="177"/>
      <c r="I104" s="177"/>
      <c r="J104" s="198">
        <v>43555</v>
      </c>
      <c r="K104" s="65" t="str">
        <f t="shared" si="39"/>
        <v>SI</v>
      </c>
      <c r="L104" s="139">
        <f t="shared" si="27"/>
        <v>5085964.8</v>
      </c>
      <c r="M104" s="67">
        <v>5085964.8</v>
      </c>
      <c r="N104" s="67">
        <v>5085964.8</v>
      </c>
      <c r="O104" s="139">
        <f t="shared" si="41"/>
        <v>5085964.8</v>
      </c>
      <c r="P104" s="72">
        <v>15921000</v>
      </c>
      <c r="Q104" s="73" t="s">
        <v>27</v>
      </c>
      <c r="R104" s="67">
        <v>0</v>
      </c>
      <c r="S104" s="67">
        <v>0</v>
      </c>
      <c r="T104" s="139">
        <f t="shared" si="42"/>
        <v>0</v>
      </c>
      <c r="U104" s="60">
        <f t="shared" si="43"/>
        <v>5085964.8</v>
      </c>
      <c r="V104" s="181">
        <v>25</v>
      </c>
      <c r="W104" s="116">
        <f t="shared" si="40"/>
        <v>21</v>
      </c>
      <c r="X104" s="116">
        <f t="shared" si="31"/>
        <v>279</v>
      </c>
      <c r="Y104" s="38">
        <f t="shared" si="32"/>
        <v>16953.216</v>
      </c>
      <c r="Z104" s="38">
        <f t="shared" si="33"/>
        <v>356017.53600000002</v>
      </c>
      <c r="AA104" s="38">
        <f t="shared" si="34"/>
        <v>5085965</v>
      </c>
      <c r="AB104" s="38">
        <f t="shared" si="35"/>
        <v>356018</v>
      </c>
      <c r="AC104" s="38">
        <f t="shared" si="36"/>
        <v>4729947</v>
      </c>
      <c r="AE104" s="73"/>
      <c r="AF104" s="73"/>
      <c r="AG104" s="73"/>
      <c r="AH104" s="73"/>
      <c r="AI104" s="73"/>
      <c r="AJ104" s="73"/>
      <c r="AK104" s="180"/>
    </row>
    <row r="105" spans="1:37" s="67" customFormat="1">
      <c r="A105" s="72">
        <v>15200000</v>
      </c>
      <c r="B105" s="73" t="s">
        <v>20</v>
      </c>
      <c r="C105" s="68" t="s">
        <v>995</v>
      </c>
      <c r="D105" s="67">
        <v>1</v>
      </c>
      <c r="E105" s="36" t="s">
        <v>364</v>
      </c>
      <c r="F105" s="177"/>
      <c r="G105" s="177"/>
      <c r="H105" s="177"/>
      <c r="I105" s="177"/>
      <c r="J105" s="198">
        <v>43555</v>
      </c>
      <c r="K105" s="65" t="str">
        <f t="shared" si="39"/>
        <v>SI</v>
      </c>
      <c r="L105" s="139">
        <f t="shared" si="27"/>
        <v>9901713.5</v>
      </c>
      <c r="M105" s="67">
        <v>9901713.5</v>
      </c>
      <c r="N105" s="67">
        <v>9901713.5</v>
      </c>
      <c r="O105" s="139">
        <f t="shared" si="41"/>
        <v>9901713.5</v>
      </c>
      <c r="P105" s="72">
        <v>15921000</v>
      </c>
      <c r="Q105" s="73" t="s">
        <v>27</v>
      </c>
      <c r="R105" s="67">
        <v>0</v>
      </c>
      <c r="S105" s="67">
        <v>0</v>
      </c>
      <c r="T105" s="139">
        <f t="shared" si="42"/>
        <v>0</v>
      </c>
      <c r="U105" s="60">
        <f t="shared" si="43"/>
        <v>9901713.5</v>
      </c>
      <c r="V105" s="181">
        <v>25</v>
      </c>
      <c r="W105" s="116">
        <f t="shared" si="40"/>
        <v>21</v>
      </c>
      <c r="X105" s="116">
        <f t="shared" si="31"/>
        <v>279</v>
      </c>
      <c r="Y105" s="38">
        <f t="shared" si="32"/>
        <v>33005.71166666667</v>
      </c>
      <c r="Z105" s="38">
        <f t="shared" si="33"/>
        <v>693119.94500000007</v>
      </c>
      <c r="AA105" s="38">
        <f t="shared" si="34"/>
        <v>9901714</v>
      </c>
      <c r="AB105" s="38">
        <f t="shared" si="35"/>
        <v>693120</v>
      </c>
      <c r="AC105" s="38">
        <f t="shared" si="36"/>
        <v>9208594</v>
      </c>
      <c r="AE105" s="73"/>
      <c r="AF105" s="73"/>
      <c r="AG105" s="73"/>
      <c r="AH105" s="73"/>
      <c r="AI105" s="73"/>
      <c r="AJ105" s="73"/>
      <c r="AK105" s="180"/>
    </row>
    <row r="106" spans="1:37" s="67" customFormat="1">
      <c r="A106" s="72">
        <v>15200000</v>
      </c>
      <c r="B106" s="73" t="s">
        <v>20</v>
      </c>
      <c r="C106" s="68" t="s">
        <v>995</v>
      </c>
      <c r="D106" s="67">
        <v>1</v>
      </c>
      <c r="E106" s="36" t="s">
        <v>364</v>
      </c>
      <c r="F106" s="177"/>
      <c r="G106" s="177"/>
      <c r="H106" s="177"/>
      <c r="I106" s="177"/>
      <c r="J106" s="198">
        <v>43555</v>
      </c>
      <c r="K106" s="65" t="str">
        <f t="shared" si="39"/>
        <v>SI</v>
      </c>
      <c r="L106" s="139">
        <f t="shared" si="27"/>
        <v>5085964.8</v>
      </c>
      <c r="M106" s="67">
        <v>5085964.8</v>
      </c>
      <c r="N106" s="67">
        <v>5085964.8</v>
      </c>
      <c r="O106" s="139">
        <f t="shared" si="41"/>
        <v>5085964.8</v>
      </c>
      <c r="P106" s="72">
        <v>15921000</v>
      </c>
      <c r="Q106" s="73" t="s">
        <v>27</v>
      </c>
      <c r="R106" s="67">
        <v>0</v>
      </c>
      <c r="S106" s="67">
        <v>0</v>
      </c>
      <c r="T106" s="139">
        <f t="shared" si="42"/>
        <v>0</v>
      </c>
      <c r="U106" s="60">
        <f t="shared" si="43"/>
        <v>5085964.8</v>
      </c>
      <c r="V106" s="181">
        <v>25</v>
      </c>
      <c r="W106" s="116">
        <f t="shared" si="40"/>
        <v>21</v>
      </c>
      <c r="X106" s="116">
        <f t="shared" si="31"/>
        <v>279</v>
      </c>
      <c r="Y106" s="38">
        <f t="shared" si="32"/>
        <v>16953.216</v>
      </c>
      <c r="Z106" s="38">
        <f t="shared" si="33"/>
        <v>356017.53600000002</v>
      </c>
      <c r="AA106" s="38">
        <f t="shared" si="34"/>
        <v>5085965</v>
      </c>
      <c r="AB106" s="38">
        <f t="shared" si="35"/>
        <v>356018</v>
      </c>
      <c r="AC106" s="38">
        <f t="shared" si="36"/>
        <v>4729947</v>
      </c>
      <c r="AE106" s="73"/>
      <c r="AF106" s="73"/>
      <c r="AG106" s="73"/>
      <c r="AH106" s="73"/>
      <c r="AI106" s="73"/>
      <c r="AJ106" s="73"/>
      <c r="AK106" s="180"/>
    </row>
    <row r="107" spans="1:37" s="67" customFormat="1">
      <c r="A107" s="72">
        <v>15200000</v>
      </c>
      <c r="B107" s="73" t="s">
        <v>20</v>
      </c>
      <c r="C107" s="68" t="s">
        <v>995</v>
      </c>
      <c r="D107" s="67">
        <v>1</v>
      </c>
      <c r="E107" s="36" t="s">
        <v>364</v>
      </c>
      <c r="F107" s="177"/>
      <c r="G107" s="177"/>
      <c r="H107" s="177"/>
      <c r="I107" s="177"/>
      <c r="J107" s="198">
        <v>43555</v>
      </c>
      <c r="K107" s="65" t="str">
        <f t="shared" si="39"/>
        <v>SI</v>
      </c>
      <c r="L107" s="139">
        <f t="shared" si="27"/>
        <v>9901713.5</v>
      </c>
      <c r="M107" s="67">
        <v>9901713.5</v>
      </c>
      <c r="N107" s="67">
        <v>9901713.5</v>
      </c>
      <c r="O107" s="139">
        <f t="shared" si="41"/>
        <v>9901713.5</v>
      </c>
      <c r="P107" s="72">
        <v>15921000</v>
      </c>
      <c r="Q107" s="73" t="s">
        <v>27</v>
      </c>
      <c r="R107" s="67">
        <v>0</v>
      </c>
      <c r="S107" s="67">
        <v>0</v>
      </c>
      <c r="T107" s="139">
        <f t="shared" si="42"/>
        <v>0</v>
      </c>
      <c r="U107" s="60">
        <f t="shared" si="43"/>
        <v>9901713.5</v>
      </c>
      <c r="V107" s="181">
        <v>25</v>
      </c>
      <c r="W107" s="116">
        <f t="shared" si="40"/>
        <v>21</v>
      </c>
      <c r="X107" s="116">
        <f t="shared" si="31"/>
        <v>279</v>
      </c>
      <c r="Y107" s="38">
        <f t="shared" si="32"/>
        <v>33005.71166666667</v>
      </c>
      <c r="Z107" s="38">
        <f t="shared" si="33"/>
        <v>693119.94500000007</v>
      </c>
      <c r="AA107" s="38">
        <f t="shared" si="34"/>
        <v>9901714</v>
      </c>
      <c r="AB107" s="38">
        <f t="shared" si="35"/>
        <v>693120</v>
      </c>
      <c r="AC107" s="38">
        <f t="shared" si="36"/>
        <v>9208594</v>
      </c>
      <c r="AE107" s="73"/>
      <c r="AF107" s="73"/>
      <c r="AG107" s="73"/>
      <c r="AH107" s="73"/>
      <c r="AI107" s="73"/>
      <c r="AJ107" s="73"/>
      <c r="AK107" s="180"/>
    </row>
    <row r="108" spans="1:37" s="67" customFormat="1">
      <c r="A108" s="72">
        <v>15200000</v>
      </c>
      <c r="B108" s="73" t="s">
        <v>20</v>
      </c>
      <c r="C108" s="68" t="s">
        <v>995</v>
      </c>
      <c r="D108" s="67">
        <v>1</v>
      </c>
      <c r="E108" s="36" t="s">
        <v>364</v>
      </c>
      <c r="F108" s="177"/>
      <c r="G108" s="177"/>
      <c r="H108" s="177"/>
      <c r="I108" s="177"/>
      <c r="J108" s="198">
        <v>43555</v>
      </c>
      <c r="K108" s="65" t="str">
        <f t="shared" si="39"/>
        <v>SI</v>
      </c>
      <c r="L108" s="139">
        <f t="shared" si="27"/>
        <v>5085964.8</v>
      </c>
      <c r="M108" s="67">
        <v>5085964.8</v>
      </c>
      <c r="N108" s="67">
        <v>5085964.8</v>
      </c>
      <c r="O108" s="139">
        <f t="shared" si="41"/>
        <v>5085964.8</v>
      </c>
      <c r="P108" s="72">
        <v>15921000</v>
      </c>
      <c r="Q108" s="73" t="s">
        <v>27</v>
      </c>
      <c r="R108" s="67">
        <v>0</v>
      </c>
      <c r="S108" s="67">
        <v>0</v>
      </c>
      <c r="T108" s="139">
        <f t="shared" si="42"/>
        <v>0</v>
      </c>
      <c r="U108" s="60">
        <f t="shared" si="43"/>
        <v>5085964.8</v>
      </c>
      <c r="V108" s="181">
        <v>25</v>
      </c>
      <c r="W108" s="116">
        <f t="shared" si="40"/>
        <v>21</v>
      </c>
      <c r="X108" s="116">
        <f t="shared" si="31"/>
        <v>279</v>
      </c>
      <c r="Y108" s="38">
        <f t="shared" si="32"/>
        <v>16953.216</v>
      </c>
      <c r="Z108" s="38">
        <f t="shared" si="33"/>
        <v>356017.53600000002</v>
      </c>
      <c r="AA108" s="38">
        <f t="shared" si="34"/>
        <v>5085965</v>
      </c>
      <c r="AB108" s="38">
        <f t="shared" si="35"/>
        <v>356018</v>
      </c>
      <c r="AC108" s="38">
        <f t="shared" si="36"/>
        <v>4729947</v>
      </c>
      <c r="AE108" s="73"/>
      <c r="AF108" s="73"/>
      <c r="AG108" s="73"/>
      <c r="AH108" s="73"/>
      <c r="AI108" s="73"/>
      <c r="AJ108" s="73"/>
      <c r="AK108" s="180"/>
    </row>
    <row r="109" spans="1:37" s="67" customFormat="1">
      <c r="A109" s="72">
        <v>15200000</v>
      </c>
      <c r="B109" s="73" t="s">
        <v>20</v>
      </c>
      <c r="C109" s="68" t="s">
        <v>995</v>
      </c>
      <c r="D109" s="67">
        <v>1</v>
      </c>
      <c r="E109" s="36" t="s">
        <v>364</v>
      </c>
      <c r="F109" s="177"/>
      <c r="G109" s="177"/>
      <c r="H109" s="177"/>
      <c r="I109" s="177"/>
      <c r="J109" s="198">
        <v>43555</v>
      </c>
      <c r="K109" s="65" t="str">
        <f t="shared" si="39"/>
        <v>SI</v>
      </c>
      <c r="L109" s="139">
        <f t="shared" si="27"/>
        <v>9901713.5</v>
      </c>
      <c r="M109" s="67">
        <v>9901713.5</v>
      </c>
      <c r="N109" s="67">
        <v>9901713.5</v>
      </c>
      <c r="O109" s="139">
        <f t="shared" si="41"/>
        <v>9901713.5</v>
      </c>
      <c r="P109" s="72">
        <v>15921000</v>
      </c>
      <c r="Q109" s="73" t="s">
        <v>27</v>
      </c>
      <c r="R109" s="67">
        <v>0</v>
      </c>
      <c r="S109" s="67">
        <v>0</v>
      </c>
      <c r="T109" s="139">
        <f t="shared" si="42"/>
        <v>0</v>
      </c>
      <c r="U109" s="60">
        <f t="shared" si="43"/>
        <v>9901713.5</v>
      </c>
      <c r="V109" s="181">
        <v>25</v>
      </c>
      <c r="W109" s="116">
        <f t="shared" si="40"/>
        <v>21</v>
      </c>
      <c r="X109" s="116">
        <f t="shared" ref="X109:X172" si="44">(V109*12)-W109</f>
        <v>279</v>
      </c>
      <c r="Y109" s="38">
        <f t="shared" ref="Y109:Y172" si="45">N109/(V109*12)</f>
        <v>33005.71166666667</v>
      </c>
      <c r="Z109" s="38">
        <f t="shared" ref="Z109:Z172" si="46">IF(U109&gt;0,W109*Y109,0)</f>
        <v>693119.94500000007</v>
      </c>
      <c r="AA109" s="38">
        <f t="shared" ref="AA109:AA172" si="47">ROUND(IF(U109&gt;0,N109,0),0)</f>
        <v>9901714</v>
      </c>
      <c r="AB109" s="38">
        <f t="shared" ref="AB109:AB172" si="48">ROUND(IF(U109&gt;0,Z109,0),0)</f>
        <v>693120</v>
      </c>
      <c r="AC109" s="38">
        <f t="shared" ref="AC109:AC172" si="49">AA109-AB109</f>
        <v>9208594</v>
      </c>
      <c r="AE109" s="73"/>
      <c r="AF109" s="73"/>
      <c r="AG109" s="73"/>
      <c r="AH109" s="73"/>
      <c r="AI109" s="73"/>
      <c r="AJ109" s="73"/>
      <c r="AK109" s="180"/>
    </row>
    <row r="110" spans="1:37" s="67" customFormat="1">
      <c r="A110" s="72">
        <v>15200000</v>
      </c>
      <c r="B110" s="73" t="s">
        <v>20</v>
      </c>
      <c r="C110" s="68" t="s">
        <v>995</v>
      </c>
      <c r="D110" s="67">
        <v>1</v>
      </c>
      <c r="E110" s="36" t="s">
        <v>364</v>
      </c>
      <c r="F110" s="177"/>
      <c r="G110" s="177"/>
      <c r="H110" s="177"/>
      <c r="I110" s="177"/>
      <c r="J110" s="198">
        <v>43555</v>
      </c>
      <c r="K110" s="65" t="str">
        <f t="shared" si="39"/>
        <v>SI</v>
      </c>
      <c r="L110" s="139">
        <f t="shared" si="27"/>
        <v>5085964.8</v>
      </c>
      <c r="M110" s="67">
        <v>5085964.8</v>
      </c>
      <c r="N110" s="67">
        <v>5085964.8</v>
      </c>
      <c r="O110" s="139">
        <f t="shared" si="41"/>
        <v>5085964.8</v>
      </c>
      <c r="P110" s="72">
        <v>15921000</v>
      </c>
      <c r="Q110" s="73" t="s">
        <v>27</v>
      </c>
      <c r="R110" s="67">
        <v>0</v>
      </c>
      <c r="S110" s="67">
        <v>0</v>
      </c>
      <c r="T110" s="139">
        <f t="shared" si="42"/>
        <v>0</v>
      </c>
      <c r="U110" s="60">
        <f t="shared" si="43"/>
        <v>5085964.8</v>
      </c>
      <c r="V110" s="181">
        <v>25</v>
      </c>
      <c r="W110" s="116">
        <f t="shared" si="40"/>
        <v>21</v>
      </c>
      <c r="X110" s="116">
        <f t="shared" si="44"/>
        <v>279</v>
      </c>
      <c r="Y110" s="38">
        <f t="shared" si="45"/>
        <v>16953.216</v>
      </c>
      <c r="Z110" s="38">
        <f t="shared" si="46"/>
        <v>356017.53600000002</v>
      </c>
      <c r="AA110" s="38">
        <f t="shared" si="47"/>
        <v>5085965</v>
      </c>
      <c r="AB110" s="38">
        <f t="shared" si="48"/>
        <v>356018</v>
      </c>
      <c r="AC110" s="38">
        <f t="shared" si="49"/>
        <v>4729947</v>
      </c>
      <c r="AE110" s="73"/>
      <c r="AF110" s="73"/>
      <c r="AG110" s="73"/>
      <c r="AH110" s="73"/>
      <c r="AI110" s="73"/>
      <c r="AJ110" s="73"/>
      <c r="AK110" s="180"/>
    </row>
    <row r="111" spans="1:37" s="67" customFormat="1">
      <c r="A111" s="72">
        <v>15200000</v>
      </c>
      <c r="B111" s="73" t="s">
        <v>20</v>
      </c>
      <c r="C111" s="68" t="s">
        <v>995</v>
      </c>
      <c r="D111" s="67">
        <v>1</v>
      </c>
      <c r="E111" s="36" t="s">
        <v>364</v>
      </c>
      <c r="F111" s="177"/>
      <c r="G111" s="177"/>
      <c r="H111" s="177"/>
      <c r="I111" s="177"/>
      <c r="J111" s="198">
        <v>43555</v>
      </c>
      <c r="K111" s="65" t="str">
        <f t="shared" si="39"/>
        <v>SI</v>
      </c>
      <c r="L111" s="139">
        <f t="shared" si="27"/>
        <v>9901713.5</v>
      </c>
      <c r="M111" s="67">
        <v>9901713.5</v>
      </c>
      <c r="N111" s="67">
        <v>9901713.5</v>
      </c>
      <c r="O111" s="139">
        <f t="shared" si="41"/>
        <v>9901713.5</v>
      </c>
      <c r="P111" s="72">
        <v>15921000</v>
      </c>
      <c r="Q111" s="73" t="s">
        <v>27</v>
      </c>
      <c r="R111" s="67">
        <v>0</v>
      </c>
      <c r="S111" s="67">
        <v>0</v>
      </c>
      <c r="T111" s="139">
        <f t="shared" si="42"/>
        <v>0</v>
      </c>
      <c r="U111" s="60">
        <f t="shared" si="43"/>
        <v>9901713.5</v>
      </c>
      <c r="V111" s="181">
        <v>25</v>
      </c>
      <c r="W111" s="116">
        <f t="shared" si="40"/>
        <v>21</v>
      </c>
      <c r="X111" s="116">
        <f t="shared" si="44"/>
        <v>279</v>
      </c>
      <c r="Y111" s="38">
        <f t="shared" si="45"/>
        <v>33005.71166666667</v>
      </c>
      <c r="Z111" s="38">
        <f t="shared" si="46"/>
        <v>693119.94500000007</v>
      </c>
      <c r="AA111" s="38">
        <f t="shared" si="47"/>
        <v>9901714</v>
      </c>
      <c r="AB111" s="38">
        <f t="shared" si="48"/>
        <v>693120</v>
      </c>
      <c r="AC111" s="38">
        <f t="shared" si="49"/>
        <v>9208594</v>
      </c>
      <c r="AE111" s="73"/>
      <c r="AF111" s="73"/>
      <c r="AG111" s="73"/>
      <c r="AH111" s="73"/>
      <c r="AI111" s="73"/>
      <c r="AJ111" s="73"/>
      <c r="AK111" s="180"/>
    </row>
    <row r="112" spans="1:37" s="67" customFormat="1">
      <c r="A112" s="72">
        <v>15200000</v>
      </c>
      <c r="B112" s="73" t="s">
        <v>20</v>
      </c>
      <c r="C112" s="68" t="s">
        <v>995</v>
      </c>
      <c r="D112" s="67">
        <v>1</v>
      </c>
      <c r="E112" s="36" t="s">
        <v>364</v>
      </c>
      <c r="F112" s="177"/>
      <c r="G112" s="177"/>
      <c r="H112" s="177"/>
      <c r="I112" s="177"/>
      <c r="J112" s="198">
        <v>43555</v>
      </c>
      <c r="K112" s="65" t="str">
        <f t="shared" si="39"/>
        <v>SI</v>
      </c>
      <c r="L112" s="139">
        <f t="shared" si="27"/>
        <v>5085964.8</v>
      </c>
      <c r="M112" s="67">
        <v>5085964.8</v>
      </c>
      <c r="N112" s="67">
        <v>5085964.8</v>
      </c>
      <c r="O112" s="139">
        <f t="shared" si="41"/>
        <v>5085964.8</v>
      </c>
      <c r="P112" s="72">
        <v>15921000</v>
      </c>
      <c r="Q112" s="73" t="s">
        <v>27</v>
      </c>
      <c r="R112" s="67">
        <v>0</v>
      </c>
      <c r="S112" s="67">
        <v>0</v>
      </c>
      <c r="T112" s="139">
        <f t="shared" si="42"/>
        <v>0</v>
      </c>
      <c r="U112" s="60">
        <f t="shared" si="43"/>
        <v>5085964.8</v>
      </c>
      <c r="V112" s="181">
        <v>25</v>
      </c>
      <c r="W112" s="116">
        <f t="shared" si="40"/>
        <v>21</v>
      </c>
      <c r="X112" s="116">
        <f t="shared" si="44"/>
        <v>279</v>
      </c>
      <c r="Y112" s="38">
        <f t="shared" si="45"/>
        <v>16953.216</v>
      </c>
      <c r="Z112" s="38">
        <f t="shared" si="46"/>
        <v>356017.53600000002</v>
      </c>
      <c r="AA112" s="38">
        <f t="shared" si="47"/>
        <v>5085965</v>
      </c>
      <c r="AB112" s="38">
        <f t="shared" si="48"/>
        <v>356018</v>
      </c>
      <c r="AC112" s="38">
        <f t="shared" si="49"/>
        <v>4729947</v>
      </c>
      <c r="AE112" s="73"/>
      <c r="AF112" s="73"/>
      <c r="AG112" s="73"/>
      <c r="AH112" s="73"/>
      <c r="AI112" s="73"/>
      <c r="AJ112" s="73"/>
      <c r="AK112" s="180"/>
    </row>
    <row r="113" spans="1:37" s="67" customFormat="1">
      <c r="A113" s="72">
        <v>15200000</v>
      </c>
      <c r="B113" s="73" t="s">
        <v>20</v>
      </c>
      <c r="C113" s="68" t="s">
        <v>995</v>
      </c>
      <c r="D113" s="67">
        <v>1</v>
      </c>
      <c r="E113" s="36" t="s">
        <v>364</v>
      </c>
      <c r="F113" s="177"/>
      <c r="G113" s="177"/>
      <c r="H113" s="177"/>
      <c r="I113" s="177"/>
      <c r="J113" s="198">
        <v>43555</v>
      </c>
      <c r="K113" s="65" t="str">
        <f t="shared" si="39"/>
        <v>SI</v>
      </c>
      <c r="L113" s="139">
        <f t="shared" si="27"/>
        <v>13163542</v>
      </c>
      <c r="M113" s="67">
        <v>13163542</v>
      </c>
      <c r="N113" s="67">
        <v>13163542</v>
      </c>
      <c r="O113" s="139">
        <f t="shared" si="41"/>
        <v>13163542</v>
      </c>
      <c r="P113" s="72">
        <v>15921000</v>
      </c>
      <c r="Q113" s="73" t="s">
        <v>27</v>
      </c>
      <c r="R113" s="67">
        <v>0</v>
      </c>
      <c r="S113" s="67">
        <v>0</v>
      </c>
      <c r="T113" s="139">
        <f t="shared" si="42"/>
        <v>0</v>
      </c>
      <c r="U113" s="60">
        <f t="shared" si="43"/>
        <v>13163542</v>
      </c>
      <c r="V113" s="181">
        <v>15</v>
      </c>
      <c r="W113" s="116">
        <f t="shared" si="40"/>
        <v>21</v>
      </c>
      <c r="X113" s="116">
        <f t="shared" si="44"/>
        <v>159</v>
      </c>
      <c r="Y113" s="38">
        <f t="shared" si="45"/>
        <v>73130.788888888885</v>
      </c>
      <c r="Z113" s="38">
        <f t="shared" si="46"/>
        <v>1535746.5666666667</v>
      </c>
      <c r="AA113" s="38">
        <f t="shared" si="47"/>
        <v>13163542</v>
      </c>
      <c r="AB113" s="38">
        <f t="shared" si="48"/>
        <v>1535747</v>
      </c>
      <c r="AC113" s="38">
        <f t="shared" si="49"/>
        <v>11627795</v>
      </c>
      <c r="AE113" s="73"/>
      <c r="AF113" s="73"/>
      <c r="AG113" s="73"/>
      <c r="AH113" s="73"/>
      <c r="AI113" s="73"/>
      <c r="AJ113" s="73"/>
      <c r="AK113" s="180"/>
    </row>
    <row r="114" spans="1:37" s="67" customFormat="1">
      <c r="A114" s="72">
        <v>15200000</v>
      </c>
      <c r="B114" s="73" t="s">
        <v>20</v>
      </c>
      <c r="C114" s="68" t="s">
        <v>995</v>
      </c>
      <c r="D114" s="67">
        <v>1</v>
      </c>
      <c r="E114" s="36" t="s">
        <v>364</v>
      </c>
      <c r="F114" s="177"/>
      <c r="G114" s="177"/>
      <c r="H114" s="177"/>
      <c r="I114" s="177"/>
      <c r="J114" s="198">
        <v>43617</v>
      </c>
      <c r="K114" s="65" t="str">
        <f t="shared" si="39"/>
        <v>SI</v>
      </c>
      <c r="L114" s="139">
        <f t="shared" si="27"/>
        <v>34894166.020000003</v>
      </c>
      <c r="M114" s="67">
        <v>34894166.020000003</v>
      </c>
      <c r="N114" s="67">
        <v>34894166.020000003</v>
      </c>
      <c r="O114" s="139">
        <f t="shared" si="41"/>
        <v>34894166.020000003</v>
      </c>
      <c r="P114" s="72">
        <v>15921000</v>
      </c>
      <c r="Q114" s="73" t="s">
        <v>27</v>
      </c>
      <c r="R114" s="67">
        <v>0</v>
      </c>
      <c r="S114" s="67">
        <v>0</v>
      </c>
      <c r="T114" s="139">
        <f t="shared" si="42"/>
        <v>0</v>
      </c>
      <c r="U114" s="60">
        <f t="shared" si="43"/>
        <v>34894166.020000003</v>
      </c>
      <c r="V114" s="199">
        <v>20</v>
      </c>
      <c r="W114" s="116">
        <f t="shared" si="40"/>
        <v>19</v>
      </c>
      <c r="X114" s="116">
        <f t="shared" si="44"/>
        <v>221</v>
      </c>
      <c r="Y114" s="38">
        <f t="shared" si="45"/>
        <v>145392.35841666668</v>
      </c>
      <c r="Z114" s="38">
        <f t="shared" si="46"/>
        <v>2762454.8099166672</v>
      </c>
      <c r="AA114" s="38">
        <f t="shared" si="47"/>
        <v>34894166</v>
      </c>
      <c r="AB114" s="38">
        <f t="shared" si="48"/>
        <v>2762455</v>
      </c>
      <c r="AC114" s="38">
        <f t="shared" si="49"/>
        <v>32131711</v>
      </c>
      <c r="AE114" s="73"/>
      <c r="AF114" s="73"/>
      <c r="AG114" s="73"/>
      <c r="AH114" s="73"/>
      <c r="AI114" s="73"/>
      <c r="AJ114" s="73"/>
      <c r="AK114" s="180"/>
    </row>
    <row r="115" spans="1:37" s="66" customFormat="1">
      <c r="A115" s="72">
        <v>15200000</v>
      </c>
      <c r="B115" s="73" t="s">
        <v>20</v>
      </c>
      <c r="C115" s="68" t="s">
        <v>995</v>
      </c>
      <c r="D115" s="67">
        <v>1</v>
      </c>
      <c r="E115" s="36" t="s">
        <v>364</v>
      </c>
      <c r="F115" s="177"/>
      <c r="G115" s="177"/>
      <c r="H115" s="177"/>
      <c r="I115" s="177"/>
      <c r="J115" s="198">
        <v>43617</v>
      </c>
      <c r="K115" s="65" t="str">
        <f t="shared" si="39"/>
        <v>SI</v>
      </c>
      <c r="L115" s="139">
        <f t="shared" si="27"/>
        <v>32714261.399999999</v>
      </c>
      <c r="M115" s="67">
        <v>32714261.399999999</v>
      </c>
      <c r="N115" s="67">
        <v>32714261.399999999</v>
      </c>
      <c r="O115" s="139">
        <f t="shared" si="41"/>
        <v>32714261.399999999</v>
      </c>
      <c r="P115" s="72">
        <v>15921000</v>
      </c>
      <c r="Q115" s="73" t="s">
        <v>27</v>
      </c>
      <c r="R115" s="67">
        <v>0</v>
      </c>
      <c r="S115" s="67">
        <v>0</v>
      </c>
      <c r="T115" s="139">
        <f t="shared" si="42"/>
        <v>0</v>
      </c>
      <c r="U115" s="60">
        <f t="shared" si="43"/>
        <v>32714261.399999999</v>
      </c>
      <c r="V115" s="199">
        <v>20</v>
      </c>
      <c r="W115" s="116">
        <f t="shared" si="40"/>
        <v>19</v>
      </c>
      <c r="X115" s="116">
        <f t="shared" si="44"/>
        <v>221</v>
      </c>
      <c r="Y115" s="38">
        <f t="shared" si="45"/>
        <v>136309.42249999999</v>
      </c>
      <c r="Z115" s="38">
        <f t="shared" si="46"/>
        <v>2589879.0274999999</v>
      </c>
      <c r="AA115" s="38">
        <f t="shared" si="47"/>
        <v>32714261</v>
      </c>
      <c r="AB115" s="38">
        <f t="shared" si="48"/>
        <v>2589879</v>
      </c>
      <c r="AC115" s="38">
        <f t="shared" si="49"/>
        <v>30124382</v>
      </c>
      <c r="AD115" s="67"/>
      <c r="AE115" s="73"/>
      <c r="AF115" s="73"/>
      <c r="AG115" s="73"/>
      <c r="AH115" s="73"/>
      <c r="AI115" s="73"/>
      <c r="AJ115" s="73"/>
      <c r="AK115" s="180"/>
    </row>
    <row r="116" spans="1:37" s="66" customFormat="1">
      <c r="A116" s="72">
        <v>15200000</v>
      </c>
      <c r="B116" s="73" t="s">
        <v>20</v>
      </c>
      <c r="C116" s="68" t="s">
        <v>995</v>
      </c>
      <c r="D116" s="67">
        <v>1</v>
      </c>
      <c r="E116" s="36" t="s">
        <v>364</v>
      </c>
      <c r="F116" s="177"/>
      <c r="G116" s="177"/>
      <c r="H116" s="177"/>
      <c r="I116" s="177"/>
      <c r="J116" s="198">
        <v>43617</v>
      </c>
      <c r="K116" s="65" t="str">
        <f t="shared" si="39"/>
        <v>SI</v>
      </c>
      <c r="L116" s="139">
        <f t="shared" si="27"/>
        <v>34894166.020000003</v>
      </c>
      <c r="M116" s="67">
        <v>34894166.020000003</v>
      </c>
      <c r="N116" s="67">
        <v>34894166.020000003</v>
      </c>
      <c r="O116" s="139">
        <f t="shared" si="41"/>
        <v>34894166.020000003</v>
      </c>
      <c r="P116" s="72">
        <v>15921000</v>
      </c>
      <c r="Q116" s="73" t="s">
        <v>27</v>
      </c>
      <c r="R116" s="67">
        <v>0</v>
      </c>
      <c r="S116" s="67">
        <v>0</v>
      </c>
      <c r="T116" s="139">
        <f t="shared" si="42"/>
        <v>0</v>
      </c>
      <c r="U116" s="60">
        <f t="shared" si="43"/>
        <v>34894166.020000003</v>
      </c>
      <c r="V116" s="199">
        <v>20</v>
      </c>
      <c r="W116" s="116">
        <f t="shared" si="40"/>
        <v>19</v>
      </c>
      <c r="X116" s="116">
        <f t="shared" si="44"/>
        <v>221</v>
      </c>
      <c r="Y116" s="38">
        <f t="shared" si="45"/>
        <v>145392.35841666668</v>
      </c>
      <c r="Z116" s="38">
        <f t="shared" si="46"/>
        <v>2762454.8099166672</v>
      </c>
      <c r="AA116" s="38">
        <f t="shared" si="47"/>
        <v>34894166</v>
      </c>
      <c r="AB116" s="38">
        <f t="shared" si="48"/>
        <v>2762455</v>
      </c>
      <c r="AC116" s="38">
        <f t="shared" si="49"/>
        <v>32131711</v>
      </c>
      <c r="AD116" s="67"/>
      <c r="AE116" s="73"/>
      <c r="AF116" s="73"/>
      <c r="AG116" s="73"/>
      <c r="AH116" s="73"/>
      <c r="AI116" s="73"/>
      <c r="AJ116" s="73"/>
      <c r="AK116" s="180"/>
    </row>
    <row r="117" spans="1:37" s="66" customFormat="1">
      <c r="A117" s="72">
        <v>15200000</v>
      </c>
      <c r="B117" s="73" t="s">
        <v>20</v>
      </c>
      <c r="C117" s="68" t="s">
        <v>995</v>
      </c>
      <c r="D117" s="67">
        <v>1</v>
      </c>
      <c r="E117" s="36" t="s">
        <v>364</v>
      </c>
      <c r="F117" s="177"/>
      <c r="G117" s="177"/>
      <c r="H117" s="177"/>
      <c r="I117" s="177"/>
      <c r="J117" s="198">
        <v>43617</v>
      </c>
      <c r="K117" s="65" t="str">
        <f t="shared" si="39"/>
        <v>SI</v>
      </c>
      <c r="L117" s="139">
        <f t="shared" si="27"/>
        <v>32714261.399999999</v>
      </c>
      <c r="M117" s="67">
        <v>32714261.399999999</v>
      </c>
      <c r="N117" s="67">
        <v>32714261.399999999</v>
      </c>
      <c r="O117" s="139">
        <f t="shared" si="41"/>
        <v>32714261.399999999</v>
      </c>
      <c r="P117" s="72">
        <v>15921000</v>
      </c>
      <c r="Q117" s="73" t="s">
        <v>27</v>
      </c>
      <c r="R117" s="67">
        <v>0</v>
      </c>
      <c r="S117" s="67">
        <v>0</v>
      </c>
      <c r="T117" s="139">
        <f t="shared" si="42"/>
        <v>0</v>
      </c>
      <c r="U117" s="60">
        <f t="shared" si="43"/>
        <v>32714261.399999999</v>
      </c>
      <c r="V117" s="199">
        <v>20</v>
      </c>
      <c r="W117" s="116">
        <f t="shared" si="40"/>
        <v>19</v>
      </c>
      <c r="X117" s="116">
        <f t="shared" si="44"/>
        <v>221</v>
      </c>
      <c r="Y117" s="38">
        <f t="shared" si="45"/>
        <v>136309.42249999999</v>
      </c>
      <c r="Z117" s="38">
        <f t="shared" si="46"/>
        <v>2589879.0274999999</v>
      </c>
      <c r="AA117" s="38">
        <f t="shared" si="47"/>
        <v>32714261</v>
      </c>
      <c r="AB117" s="38">
        <f t="shared" si="48"/>
        <v>2589879</v>
      </c>
      <c r="AC117" s="38">
        <f t="shared" si="49"/>
        <v>30124382</v>
      </c>
      <c r="AD117" s="67"/>
      <c r="AE117" s="73"/>
      <c r="AF117" s="73"/>
      <c r="AG117" s="73"/>
      <c r="AH117" s="73"/>
      <c r="AI117" s="73"/>
      <c r="AJ117" s="73"/>
      <c r="AK117" s="180"/>
    </row>
    <row r="118" spans="1:37" s="66" customFormat="1">
      <c r="A118" s="72">
        <v>15200000</v>
      </c>
      <c r="B118" s="73" t="s">
        <v>20</v>
      </c>
      <c r="C118" s="68" t="s">
        <v>995</v>
      </c>
      <c r="D118" s="67">
        <v>1</v>
      </c>
      <c r="E118" s="36" t="s">
        <v>364</v>
      </c>
      <c r="F118" s="177"/>
      <c r="G118" s="177"/>
      <c r="H118" s="177"/>
      <c r="I118" s="177"/>
      <c r="J118" s="198">
        <v>43617</v>
      </c>
      <c r="K118" s="65" t="str">
        <f t="shared" si="39"/>
        <v>SI</v>
      </c>
      <c r="L118" s="139">
        <f t="shared" si="27"/>
        <v>34894166.020000003</v>
      </c>
      <c r="M118" s="67">
        <v>34894166.020000003</v>
      </c>
      <c r="N118" s="67">
        <v>34894166.020000003</v>
      </c>
      <c r="O118" s="139">
        <f t="shared" si="41"/>
        <v>34894166.020000003</v>
      </c>
      <c r="P118" s="72">
        <v>15921000</v>
      </c>
      <c r="Q118" s="73" t="s">
        <v>27</v>
      </c>
      <c r="R118" s="67">
        <v>0</v>
      </c>
      <c r="S118" s="67">
        <v>0</v>
      </c>
      <c r="T118" s="139">
        <f t="shared" si="42"/>
        <v>0</v>
      </c>
      <c r="U118" s="60">
        <f t="shared" si="43"/>
        <v>34894166.020000003</v>
      </c>
      <c r="V118" s="199">
        <v>20</v>
      </c>
      <c r="W118" s="116">
        <f t="shared" si="40"/>
        <v>19</v>
      </c>
      <c r="X118" s="116">
        <f t="shared" si="44"/>
        <v>221</v>
      </c>
      <c r="Y118" s="38">
        <f t="shared" si="45"/>
        <v>145392.35841666668</v>
      </c>
      <c r="Z118" s="38">
        <f t="shared" si="46"/>
        <v>2762454.8099166672</v>
      </c>
      <c r="AA118" s="38">
        <f t="shared" si="47"/>
        <v>34894166</v>
      </c>
      <c r="AB118" s="38">
        <f t="shared" si="48"/>
        <v>2762455</v>
      </c>
      <c r="AC118" s="38">
        <f t="shared" si="49"/>
        <v>32131711</v>
      </c>
      <c r="AD118" s="67"/>
      <c r="AE118" s="73"/>
      <c r="AF118" s="73"/>
      <c r="AG118" s="73"/>
      <c r="AH118" s="73"/>
      <c r="AI118" s="73"/>
      <c r="AJ118" s="73"/>
      <c r="AK118" s="180"/>
    </row>
    <row r="119" spans="1:37" s="66" customFormat="1">
      <c r="A119" s="72">
        <v>15200000</v>
      </c>
      <c r="B119" s="73" t="s">
        <v>20</v>
      </c>
      <c r="C119" s="68" t="s">
        <v>995</v>
      </c>
      <c r="D119" s="67">
        <v>1</v>
      </c>
      <c r="E119" s="36" t="s">
        <v>364</v>
      </c>
      <c r="F119" s="177"/>
      <c r="G119" s="177"/>
      <c r="H119" s="177"/>
      <c r="I119" s="177"/>
      <c r="J119" s="198">
        <v>43617</v>
      </c>
      <c r="K119" s="65" t="str">
        <f t="shared" si="39"/>
        <v>SI</v>
      </c>
      <c r="L119" s="139">
        <f t="shared" si="27"/>
        <v>32714261.399999999</v>
      </c>
      <c r="M119" s="67">
        <v>32714261.399999999</v>
      </c>
      <c r="N119" s="67">
        <v>32714261.399999999</v>
      </c>
      <c r="O119" s="139">
        <f t="shared" si="41"/>
        <v>32714261.399999999</v>
      </c>
      <c r="P119" s="72">
        <v>15921000</v>
      </c>
      <c r="Q119" s="73" t="s">
        <v>27</v>
      </c>
      <c r="R119" s="67">
        <v>0</v>
      </c>
      <c r="S119" s="67">
        <v>0</v>
      </c>
      <c r="T119" s="139">
        <f t="shared" si="42"/>
        <v>0</v>
      </c>
      <c r="U119" s="60">
        <f t="shared" si="43"/>
        <v>32714261.399999999</v>
      </c>
      <c r="V119" s="199">
        <v>20</v>
      </c>
      <c r="W119" s="116">
        <f t="shared" si="40"/>
        <v>19</v>
      </c>
      <c r="X119" s="116">
        <f t="shared" si="44"/>
        <v>221</v>
      </c>
      <c r="Y119" s="38">
        <f t="shared" si="45"/>
        <v>136309.42249999999</v>
      </c>
      <c r="Z119" s="38">
        <f t="shared" si="46"/>
        <v>2589879.0274999999</v>
      </c>
      <c r="AA119" s="38">
        <f t="shared" si="47"/>
        <v>32714261</v>
      </c>
      <c r="AB119" s="38">
        <f t="shared" si="48"/>
        <v>2589879</v>
      </c>
      <c r="AC119" s="38">
        <f t="shared" si="49"/>
        <v>30124382</v>
      </c>
      <c r="AD119" s="67"/>
      <c r="AE119" s="73"/>
      <c r="AF119" s="73"/>
      <c r="AG119" s="73"/>
      <c r="AH119" s="73"/>
      <c r="AI119" s="73"/>
      <c r="AJ119" s="73"/>
      <c r="AK119" s="180"/>
    </row>
    <row r="120" spans="1:37" s="66" customFormat="1">
      <c r="A120" s="72">
        <v>15200000</v>
      </c>
      <c r="B120" s="73" t="s">
        <v>20</v>
      </c>
      <c r="C120" s="68" t="s">
        <v>995</v>
      </c>
      <c r="D120" s="67">
        <v>1</v>
      </c>
      <c r="E120" s="36" t="s">
        <v>364</v>
      </c>
      <c r="F120" s="177"/>
      <c r="G120" s="177"/>
      <c r="H120" s="177"/>
      <c r="I120" s="177"/>
      <c r="J120" s="198">
        <v>43617</v>
      </c>
      <c r="K120" s="65" t="str">
        <f t="shared" si="39"/>
        <v>SI</v>
      </c>
      <c r="L120" s="139">
        <f t="shared" si="27"/>
        <v>34894166.030000001</v>
      </c>
      <c r="M120" s="67">
        <v>34894166.030000001</v>
      </c>
      <c r="N120" s="67">
        <v>34894166.030000001</v>
      </c>
      <c r="O120" s="139">
        <f t="shared" si="41"/>
        <v>34894166.030000001</v>
      </c>
      <c r="P120" s="72">
        <v>15921000</v>
      </c>
      <c r="Q120" s="73" t="s">
        <v>27</v>
      </c>
      <c r="R120" s="67">
        <v>0</v>
      </c>
      <c r="S120" s="67">
        <v>0</v>
      </c>
      <c r="T120" s="139">
        <f t="shared" si="42"/>
        <v>0</v>
      </c>
      <c r="U120" s="60">
        <f t="shared" si="43"/>
        <v>34894166.030000001</v>
      </c>
      <c r="V120" s="199">
        <v>20</v>
      </c>
      <c r="W120" s="116">
        <f t="shared" si="40"/>
        <v>19</v>
      </c>
      <c r="X120" s="116">
        <f t="shared" si="44"/>
        <v>221</v>
      </c>
      <c r="Y120" s="38">
        <f t="shared" si="45"/>
        <v>145392.35845833333</v>
      </c>
      <c r="Z120" s="38">
        <f t="shared" si="46"/>
        <v>2762454.8107083333</v>
      </c>
      <c r="AA120" s="38">
        <f t="shared" si="47"/>
        <v>34894166</v>
      </c>
      <c r="AB120" s="38">
        <f t="shared" si="48"/>
        <v>2762455</v>
      </c>
      <c r="AC120" s="38">
        <f t="shared" si="49"/>
        <v>32131711</v>
      </c>
      <c r="AD120" s="67"/>
      <c r="AE120" s="73"/>
      <c r="AF120" s="73"/>
      <c r="AG120" s="73"/>
      <c r="AH120" s="73"/>
      <c r="AI120" s="73"/>
      <c r="AJ120" s="73"/>
      <c r="AK120" s="180"/>
    </row>
    <row r="121" spans="1:37" s="66" customFormat="1">
      <c r="A121" s="72">
        <v>15200000</v>
      </c>
      <c r="B121" s="73" t="s">
        <v>20</v>
      </c>
      <c r="C121" s="68" t="s">
        <v>995</v>
      </c>
      <c r="D121" s="67">
        <v>1</v>
      </c>
      <c r="E121" s="36" t="s">
        <v>364</v>
      </c>
      <c r="F121" s="177"/>
      <c r="G121" s="177"/>
      <c r="H121" s="177"/>
      <c r="I121" s="177"/>
      <c r="J121" s="198">
        <v>43617</v>
      </c>
      <c r="K121" s="65" t="str">
        <f t="shared" si="39"/>
        <v>SI</v>
      </c>
      <c r="L121" s="139">
        <f t="shared" si="27"/>
        <v>32714261.399999999</v>
      </c>
      <c r="M121" s="67">
        <v>32714261.399999999</v>
      </c>
      <c r="N121" s="67">
        <v>32714261.399999999</v>
      </c>
      <c r="O121" s="139">
        <f t="shared" si="41"/>
        <v>32714261.399999999</v>
      </c>
      <c r="P121" s="72">
        <v>15921000</v>
      </c>
      <c r="Q121" s="73" t="s">
        <v>27</v>
      </c>
      <c r="R121" s="67">
        <v>0</v>
      </c>
      <c r="S121" s="67">
        <v>0</v>
      </c>
      <c r="T121" s="139">
        <f t="shared" si="42"/>
        <v>0</v>
      </c>
      <c r="U121" s="60">
        <f t="shared" si="43"/>
        <v>32714261.399999999</v>
      </c>
      <c r="V121" s="199">
        <v>20</v>
      </c>
      <c r="W121" s="116">
        <f t="shared" si="40"/>
        <v>19</v>
      </c>
      <c r="X121" s="116">
        <f t="shared" si="44"/>
        <v>221</v>
      </c>
      <c r="Y121" s="38">
        <f t="shared" si="45"/>
        <v>136309.42249999999</v>
      </c>
      <c r="Z121" s="38">
        <f t="shared" si="46"/>
        <v>2589879.0274999999</v>
      </c>
      <c r="AA121" s="38">
        <f t="shared" si="47"/>
        <v>32714261</v>
      </c>
      <c r="AB121" s="38">
        <f t="shared" si="48"/>
        <v>2589879</v>
      </c>
      <c r="AC121" s="38">
        <f t="shared" si="49"/>
        <v>30124382</v>
      </c>
      <c r="AD121" s="67"/>
      <c r="AE121" s="73"/>
      <c r="AF121" s="73"/>
      <c r="AG121" s="73"/>
      <c r="AH121" s="73"/>
      <c r="AI121" s="73"/>
      <c r="AJ121" s="73"/>
      <c r="AK121" s="180"/>
    </row>
    <row r="122" spans="1:37" s="66" customFormat="1">
      <c r="A122" s="72">
        <v>15200000</v>
      </c>
      <c r="B122" s="73" t="s">
        <v>20</v>
      </c>
      <c r="C122" s="68" t="s">
        <v>995</v>
      </c>
      <c r="D122" s="67">
        <v>1</v>
      </c>
      <c r="E122" s="36" t="s">
        <v>364</v>
      </c>
      <c r="F122" s="177"/>
      <c r="G122" s="177"/>
      <c r="H122" s="177"/>
      <c r="I122" s="177"/>
      <c r="J122" s="198">
        <v>43617</v>
      </c>
      <c r="K122" s="65" t="str">
        <f t="shared" si="39"/>
        <v>SI</v>
      </c>
      <c r="L122" s="139">
        <f t="shared" si="27"/>
        <v>154843659.91999999</v>
      </c>
      <c r="M122" s="67">
        <v>154843659.91999999</v>
      </c>
      <c r="N122" s="67">
        <v>154843659.91999999</v>
      </c>
      <c r="O122" s="139">
        <f t="shared" si="41"/>
        <v>154843659.91999999</v>
      </c>
      <c r="P122" s="72">
        <v>15921000</v>
      </c>
      <c r="Q122" s="73" t="s">
        <v>27</v>
      </c>
      <c r="R122" s="67">
        <v>0</v>
      </c>
      <c r="S122" s="67">
        <v>0</v>
      </c>
      <c r="T122" s="139">
        <f t="shared" si="42"/>
        <v>0</v>
      </c>
      <c r="U122" s="60">
        <f t="shared" si="43"/>
        <v>154843659.91999999</v>
      </c>
      <c r="V122" s="181">
        <v>15</v>
      </c>
      <c r="W122" s="116">
        <f t="shared" si="40"/>
        <v>19</v>
      </c>
      <c r="X122" s="116">
        <f t="shared" si="44"/>
        <v>161</v>
      </c>
      <c r="Y122" s="38">
        <f t="shared" si="45"/>
        <v>860242.55511111103</v>
      </c>
      <c r="Z122" s="38">
        <f t="shared" si="46"/>
        <v>16344608.547111109</v>
      </c>
      <c r="AA122" s="38">
        <f t="shared" si="47"/>
        <v>154843660</v>
      </c>
      <c r="AB122" s="38">
        <f t="shared" si="48"/>
        <v>16344609</v>
      </c>
      <c r="AC122" s="38">
        <f t="shared" si="49"/>
        <v>138499051</v>
      </c>
      <c r="AD122" s="67"/>
      <c r="AE122" s="73"/>
      <c r="AF122" s="73"/>
      <c r="AG122" s="73"/>
      <c r="AH122" s="73"/>
      <c r="AI122" s="73"/>
      <c r="AJ122" s="73"/>
      <c r="AK122" s="180"/>
    </row>
    <row r="123" spans="1:37" s="66" customFormat="1">
      <c r="A123" s="72">
        <v>15200000</v>
      </c>
      <c r="B123" s="73" t="s">
        <v>20</v>
      </c>
      <c r="C123" s="68" t="s">
        <v>995</v>
      </c>
      <c r="D123" s="67">
        <v>1</v>
      </c>
      <c r="E123" s="36" t="s">
        <v>364</v>
      </c>
      <c r="F123" s="177"/>
      <c r="G123" s="177"/>
      <c r="H123" s="177"/>
      <c r="I123" s="177"/>
      <c r="J123" s="198">
        <v>43617</v>
      </c>
      <c r="K123" s="65" t="str">
        <f t="shared" si="39"/>
        <v>SI</v>
      </c>
      <c r="L123" s="139">
        <f t="shared" si="27"/>
        <v>11419277</v>
      </c>
      <c r="M123" s="67">
        <v>11419277</v>
      </c>
      <c r="N123" s="67">
        <v>11419277</v>
      </c>
      <c r="O123" s="139">
        <f t="shared" si="41"/>
        <v>11419277</v>
      </c>
      <c r="P123" s="72">
        <v>15921000</v>
      </c>
      <c r="Q123" s="73" t="s">
        <v>27</v>
      </c>
      <c r="R123" s="67">
        <v>0</v>
      </c>
      <c r="S123" s="67">
        <v>0</v>
      </c>
      <c r="T123" s="139">
        <f t="shared" si="42"/>
        <v>0</v>
      </c>
      <c r="U123" s="60">
        <f t="shared" si="43"/>
        <v>11419277</v>
      </c>
      <c r="V123" s="181">
        <v>15</v>
      </c>
      <c r="W123" s="116">
        <f t="shared" si="40"/>
        <v>19</v>
      </c>
      <c r="X123" s="116">
        <f t="shared" si="44"/>
        <v>161</v>
      </c>
      <c r="Y123" s="38">
        <f t="shared" si="45"/>
        <v>63440.427777777775</v>
      </c>
      <c r="Z123" s="38">
        <f t="shared" si="46"/>
        <v>1205368.1277777776</v>
      </c>
      <c r="AA123" s="38">
        <f t="shared" si="47"/>
        <v>11419277</v>
      </c>
      <c r="AB123" s="38">
        <f t="shared" si="48"/>
        <v>1205368</v>
      </c>
      <c r="AC123" s="38">
        <f t="shared" si="49"/>
        <v>10213909</v>
      </c>
      <c r="AD123" s="67"/>
      <c r="AE123" s="73"/>
      <c r="AF123" s="73"/>
      <c r="AG123" s="73"/>
      <c r="AH123" s="73"/>
      <c r="AI123" s="73"/>
      <c r="AJ123" s="73"/>
      <c r="AK123" s="180"/>
    </row>
    <row r="124" spans="1:37" s="66" customFormat="1">
      <c r="A124" s="72">
        <v>15200000</v>
      </c>
      <c r="B124" s="73" t="s">
        <v>20</v>
      </c>
      <c r="C124" s="68" t="s">
        <v>995</v>
      </c>
      <c r="D124" s="67">
        <v>1</v>
      </c>
      <c r="E124" s="36" t="s">
        <v>364</v>
      </c>
      <c r="F124" s="177"/>
      <c r="G124" s="177"/>
      <c r="H124" s="177"/>
      <c r="I124" s="177"/>
      <c r="J124" s="198">
        <v>43617</v>
      </c>
      <c r="K124" s="65" t="str">
        <f t="shared" si="39"/>
        <v>SI</v>
      </c>
      <c r="L124" s="139">
        <f t="shared" si="27"/>
        <v>3707520.9</v>
      </c>
      <c r="M124" s="67">
        <v>3707520.9</v>
      </c>
      <c r="N124" s="67">
        <v>3707520.9</v>
      </c>
      <c r="O124" s="139">
        <f t="shared" si="41"/>
        <v>3707520.9</v>
      </c>
      <c r="P124" s="72">
        <v>15921000</v>
      </c>
      <c r="Q124" s="73" t="s">
        <v>27</v>
      </c>
      <c r="R124" s="67">
        <v>0</v>
      </c>
      <c r="S124" s="67">
        <v>0</v>
      </c>
      <c r="T124" s="139">
        <f t="shared" si="42"/>
        <v>0</v>
      </c>
      <c r="U124" s="60">
        <f t="shared" si="43"/>
        <v>3707520.9</v>
      </c>
      <c r="V124" s="181">
        <v>15</v>
      </c>
      <c r="W124" s="116">
        <f t="shared" si="40"/>
        <v>19</v>
      </c>
      <c r="X124" s="116">
        <f t="shared" si="44"/>
        <v>161</v>
      </c>
      <c r="Y124" s="38">
        <f t="shared" si="45"/>
        <v>20597.338333333333</v>
      </c>
      <c r="Z124" s="38">
        <f t="shared" si="46"/>
        <v>391349.42833333334</v>
      </c>
      <c r="AA124" s="38">
        <f t="shared" si="47"/>
        <v>3707521</v>
      </c>
      <c r="AB124" s="38">
        <f t="shared" si="48"/>
        <v>391349</v>
      </c>
      <c r="AC124" s="38">
        <f t="shared" si="49"/>
        <v>3316172</v>
      </c>
      <c r="AD124" s="67"/>
      <c r="AE124" s="73"/>
      <c r="AF124" s="73"/>
      <c r="AG124" s="73"/>
      <c r="AH124" s="73"/>
      <c r="AI124" s="73"/>
      <c r="AJ124" s="73"/>
      <c r="AK124" s="180"/>
    </row>
    <row r="125" spans="1:37" s="66" customFormat="1">
      <c r="A125" s="72">
        <v>15200000</v>
      </c>
      <c r="B125" s="73" t="s">
        <v>20</v>
      </c>
      <c r="C125" s="68" t="s">
        <v>995</v>
      </c>
      <c r="D125" s="67">
        <v>1</v>
      </c>
      <c r="E125" s="36" t="s">
        <v>364</v>
      </c>
      <c r="F125" s="177"/>
      <c r="G125" s="177"/>
      <c r="H125" s="177"/>
      <c r="I125" s="177"/>
      <c r="J125" s="198">
        <v>43617</v>
      </c>
      <c r="K125" s="65" t="str">
        <f t="shared" si="39"/>
        <v>SI</v>
      </c>
      <c r="L125" s="139">
        <f t="shared" si="27"/>
        <v>4095356.5</v>
      </c>
      <c r="M125" s="67">
        <v>4095356.5</v>
      </c>
      <c r="N125" s="67">
        <v>4095356.5</v>
      </c>
      <c r="O125" s="139">
        <f t="shared" si="41"/>
        <v>4095356.5</v>
      </c>
      <c r="P125" s="72">
        <v>15921000</v>
      </c>
      <c r="Q125" s="73" t="s">
        <v>27</v>
      </c>
      <c r="R125" s="67">
        <v>0</v>
      </c>
      <c r="S125" s="67">
        <v>0</v>
      </c>
      <c r="T125" s="139">
        <f t="shared" si="42"/>
        <v>0</v>
      </c>
      <c r="U125" s="60">
        <f t="shared" si="43"/>
        <v>4095356.5</v>
      </c>
      <c r="V125" s="181">
        <v>15</v>
      </c>
      <c r="W125" s="116">
        <f t="shared" si="40"/>
        <v>19</v>
      </c>
      <c r="X125" s="116">
        <f t="shared" si="44"/>
        <v>161</v>
      </c>
      <c r="Y125" s="38">
        <f t="shared" si="45"/>
        <v>22751.980555555554</v>
      </c>
      <c r="Z125" s="38">
        <f t="shared" si="46"/>
        <v>432287.63055555552</v>
      </c>
      <c r="AA125" s="38">
        <f t="shared" si="47"/>
        <v>4095357</v>
      </c>
      <c r="AB125" s="38">
        <f t="shared" si="48"/>
        <v>432288</v>
      </c>
      <c r="AC125" s="38">
        <f t="shared" si="49"/>
        <v>3663069</v>
      </c>
      <c r="AD125" s="67"/>
      <c r="AE125" s="73"/>
      <c r="AF125" s="73"/>
      <c r="AG125" s="73"/>
      <c r="AH125" s="73"/>
      <c r="AI125" s="73"/>
      <c r="AJ125" s="73"/>
      <c r="AK125" s="180"/>
    </row>
    <row r="126" spans="1:37" s="66" customFormat="1">
      <c r="A126" s="72">
        <v>15200000</v>
      </c>
      <c r="B126" s="73" t="s">
        <v>20</v>
      </c>
      <c r="C126" s="68" t="s">
        <v>995</v>
      </c>
      <c r="D126" s="67">
        <v>1</v>
      </c>
      <c r="E126" s="36" t="s">
        <v>364</v>
      </c>
      <c r="F126" s="177"/>
      <c r="G126" s="177"/>
      <c r="H126" s="177"/>
      <c r="I126" s="177"/>
      <c r="J126" s="198">
        <v>43617</v>
      </c>
      <c r="K126" s="65" t="str">
        <f t="shared" si="39"/>
        <v>SI</v>
      </c>
      <c r="L126" s="139">
        <f t="shared" si="27"/>
        <v>3707520.9</v>
      </c>
      <c r="M126" s="67">
        <v>3707520.9</v>
      </c>
      <c r="N126" s="67">
        <v>3707520.9</v>
      </c>
      <c r="O126" s="139">
        <f t="shared" si="41"/>
        <v>3707520.9</v>
      </c>
      <c r="P126" s="72">
        <v>15921000</v>
      </c>
      <c r="Q126" s="73" t="s">
        <v>27</v>
      </c>
      <c r="R126" s="67">
        <v>0</v>
      </c>
      <c r="S126" s="67">
        <v>0</v>
      </c>
      <c r="T126" s="139">
        <f t="shared" si="42"/>
        <v>0</v>
      </c>
      <c r="U126" s="60">
        <f t="shared" si="43"/>
        <v>3707520.9</v>
      </c>
      <c r="V126" s="181">
        <v>25</v>
      </c>
      <c r="W126" s="116">
        <f t="shared" si="40"/>
        <v>19</v>
      </c>
      <c r="X126" s="116">
        <f t="shared" si="44"/>
        <v>281</v>
      </c>
      <c r="Y126" s="38">
        <f t="shared" si="45"/>
        <v>12358.403</v>
      </c>
      <c r="Z126" s="38">
        <f t="shared" si="46"/>
        <v>234809.65700000001</v>
      </c>
      <c r="AA126" s="38">
        <f t="shared" si="47"/>
        <v>3707521</v>
      </c>
      <c r="AB126" s="38">
        <f t="shared" si="48"/>
        <v>234810</v>
      </c>
      <c r="AC126" s="38">
        <f t="shared" si="49"/>
        <v>3472711</v>
      </c>
      <c r="AD126" s="67"/>
      <c r="AE126" s="73"/>
      <c r="AF126" s="73"/>
      <c r="AG126" s="73"/>
      <c r="AH126" s="73"/>
      <c r="AI126" s="73"/>
      <c r="AJ126" s="73"/>
      <c r="AK126" s="180"/>
    </row>
    <row r="127" spans="1:37" s="66" customFormat="1">
      <c r="A127" s="72">
        <v>15200000</v>
      </c>
      <c r="B127" s="73" t="s">
        <v>20</v>
      </c>
      <c r="C127" s="68" t="s">
        <v>995</v>
      </c>
      <c r="D127" s="67">
        <v>1</v>
      </c>
      <c r="E127" s="36" t="s">
        <v>364</v>
      </c>
      <c r="F127" s="177"/>
      <c r="G127" s="177"/>
      <c r="H127" s="177"/>
      <c r="I127" s="177"/>
      <c r="J127" s="198">
        <v>43617</v>
      </c>
      <c r="K127" s="65" t="str">
        <f t="shared" si="39"/>
        <v>SI</v>
      </c>
      <c r="L127" s="139">
        <f t="shared" si="27"/>
        <v>4095356.5</v>
      </c>
      <c r="M127" s="67">
        <v>4095356.5</v>
      </c>
      <c r="N127" s="67">
        <v>4095356.5</v>
      </c>
      <c r="O127" s="139">
        <f t="shared" si="41"/>
        <v>4095356.5</v>
      </c>
      <c r="P127" s="72">
        <v>15921000</v>
      </c>
      <c r="Q127" s="73" t="s">
        <v>27</v>
      </c>
      <c r="R127" s="67">
        <v>0</v>
      </c>
      <c r="S127" s="67">
        <v>0</v>
      </c>
      <c r="T127" s="139">
        <f t="shared" si="42"/>
        <v>0</v>
      </c>
      <c r="U127" s="60">
        <f t="shared" si="43"/>
        <v>4095356.5</v>
      </c>
      <c r="V127" s="181">
        <v>25</v>
      </c>
      <c r="W127" s="116">
        <f t="shared" si="40"/>
        <v>19</v>
      </c>
      <c r="X127" s="116">
        <f t="shared" si="44"/>
        <v>281</v>
      </c>
      <c r="Y127" s="38">
        <f t="shared" si="45"/>
        <v>13651.188333333334</v>
      </c>
      <c r="Z127" s="38">
        <f t="shared" si="46"/>
        <v>259372.57833333334</v>
      </c>
      <c r="AA127" s="38">
        <f t="shared" si="47"/>
        <v>4095357</v>
      </c>
      <c r="AB127" s="38">
        <f t="shared" si="48"/>
        <v>259373</v>
      </c>
      <c r="AC127" s="38">
        <f t="shared" si="49"/>
        <v>3835984</v>
      </c>
      <c r="AD127" s="67"/>
      <c r="AE127" s="73"/>
      <c r="AF127" s="73"/>
      <c r="AG127" s="73"/>
      <c r="AH127" s="73"/>
      <c r="AI127" s="73"/>
      <c r="AJ127" s="73"/>
      <c r="AK127" s="180"/>
    </row>
    <row r="128" spans="1:37" s="66" customFormat="1">
      <c r="A128" s="72">
        <v>15200000</v>
      </c>
      <c r="B128" s="73" t="s">
        <v>20</v>
      </c>
      <c r="C128" s="68" t="s">
        <v>995</v>
      </c>
      <c r="D128" s="67">
        <v>1</v>
      </c>
      <c r="E128" s="36" t="s">
        <v>364</v>
      </c>
      <c r="F128" s="177"/>
      <c r="G128" s="177"/>
      <c r="H128" s="177"/>
      <c r="I128" s="177"/>
      <c r="J128" s="198">
        <v>43617</v>
      </c>
      <c r="K128" s="65" t="str">
        <f t="shared" si="39"/>
        <v>SI</v>
      </c>
      <c r="L128" s="139">
        <f t="shared" si="27"/>
        <v>3707520.9</v>
      </c>
      <c r="M128" s="67">
        <v>3707520.9</v>
      </c>
      <c r="N128" s="67">
        <v>3707520.9</v>
      </c>
      <c r="O128" s="139">
        <f t="shared" si="41"/>
        <v>3707520.9</v>
      </c>
      <c r="P128" s="72">
        <v>15921000</v>
      </c>
      <c r="Q128" s="73" t="s">
        <v>27</v>
      </c>
      <c r="R128" s="67">
        <v>0</v>
      </c>
      <c r="S128" s="67">
        <v>0</v>
      </c>
      <c r="T128" s="139">
        <f t="shared" si="42"/>
        <v>0</v>
      </c>
      <c r="U128" s="60">
        <f t="shared" si="43"/>
        <v>3707520.9</v>
      </c>
      <c r="V128" s="181">
        <v>25</v>
      </c>
      <c r="W128" s="116">
        <f t="shared" si="40"/>
        <v>19</v>
      </c>
      <c r="X128" s="116">
        <f t="shared" si="44"/>
        <v>281</v>
      </c>
      <c r="Y128" s="38">
        <f t="shared" si="45"/>
        <v>12358.403</v>
      </c>
      <c r="Z128" s="38">
        <f t="shared" si="46"/>
        <v>234809.65700000001</v>
      </c>
      <c r="AA128" s="38">
        <f t="shared" si="47"/>
        <v>3707521</v>
      </c>
      <c r="AB128" s="38">
        <f t="shared" si="48"/>
        <v>234810</v>
      </c>
      <c r="AC128" s="38">
        <f t="shared" si="49"/>
        <v>3472711</v>
      </c>
      <c r="AD128" s="67"/>
      <c r="AE128" s="73"/>
      <c r="AF128" s="73"/>
      <c r="AG128" s="73"/>
      <c r="AH128" s="73"/>
      <c r="AI128" s="73"/>
      <c r="AJ128" s="73"/>
      <c r="AK128" s="180"/>
    </row>
    <row r="129" spans="1:37" s="66" customFormat="1">
      <c r="A129" s="72">
        <v>15200000</v>
      </c>
      <c r="B129" s="73" t="s">
        <v>20</v>
      </c>
      <c r="C129" s="68" t="s">
        <v>995</v>
      </c>
      <c r="D129" s="67">
        <v>1</v>
      </c>
      <c r="E129" s="36" t="s">
        <v>364</v>
      </c>
      <c r="F129" s="177"/>
      <c r="G129" s="177"/>
      <c r="H129" s="177"/>
      <c r="I129" s="177"/>
      <c r="J129" s="198">
        <v>43617</v>
      </c>
      <c r="K129" s="65" t="str">
        <f t="shared" ref="K129:K160" si="50">IF(L129&gt;($M$26*50),"SI","NO")</f>
        <v>SI</v>
      </c>
      <c r="L129" s="139">
        <f t="shared" si="27"/>
        <v>4095356.5</v>
      </c>
      <c r="M129" s="67">
        <v>4095356.5</v>
      </c>
      <c r="N129" s="67">
        <v>4095356.5</v>
      </c>
      <c r="O129" s="139">
        <f t="shared" si="41"/>
        <v>4095356.5</v>
      </c>
      <c r="P129" s="72">
        <v>15921000</v>
      </c>
      <c r="Q129" s="73" t="s">
        <v>27</v>
      </c>
      <c r="R129" s="67">
        <v>0</v>
      </c>
      <c r="S129" s="67">
        <v>0</v>
      </c>
      <c r="T129" s="139">
        <f t="shared" si="42"/>
        <v>0</v>
      </c>
      <c r="U129" s="60">
        <f t="shared" si="43"/>
        <v>4095356.5</v>
      </c>
      <c r="V129" s="181">
        <v>25</v>
      </c>
      <c r="W129" s="116">
        <f t="shared" si="40"/>
        <v>19</v>
      </c>
      <c r="X129" s="116">
        <f t="shared" si="44"/>
        <v>281</v>
      </c>
      <c r="Y129" s="38">
        <f t="shared" si="45"/>
        <v>13651.188333333334</v>
      </c>
      <c r="Z129" s="38">
        <f t="shared" si="46"/>
        <v>259372.57833333334</v>
      </c>
      <c r="AA129" s="38">
        <f t="shared" si="47"/>
        <v>4095357</v>
      </c>
      <c r="AB129" s="38">
        <f t="shared" si="48"/>
        <v>259373</v>
      </c>
      <c r="AC129" s="38">
        <f t="shared" si="49"/>
        <v>3835984</v>
      </c>
      <c r="AD129" s="67"/>
      <c r="AE129" s="73"/>
      <c r="AF129" s="73"/>
      <c r="AG129" s="73"/>
      <c r="AH129" s="73"/>
      <c r="AI129" s="73"/>
      <c r="AJ129" s="73"/>
      <c r="AK129" s="180"/>
    </row>
    <row r="130" spans="1:37" s="66" customFormat="1">
      <c r="A130" s="72">
        <v>15200000</v>
      </c>
      <c r="B130" s="73" t="s">
        <v>20</v>
      </c>
      <c r="C130" s="68" t="s">
        <v>995</v>
      </c>
      <c r="D130" s="67">
        <v>1</v>
      </c>
      <c r="E130" s="36" t="s">
        <v>364</v>
      </c>
      <c r="F130" s="177"/>
      <c r="G130" s="177"/>
      <c r="H130" s="177"/>
      <c r="I130" s="177"/>
      <c r="J130" s="198">
        <v>43617</v>
      </c>
      <c r="K130" s="65" t="str">
        <f t="shared" si="50"/>
        <v>SI</v>
      </c>
      <c r="L130" s="139">
        <f t="shared" si="27"/>
        <v>3707520.9</v>
      </c>
      <c r="M130" s="67">
        <v>3707520.9</v>
      </c>
      <c r="N130" s="67">
        <v>3707520.9</v>
      </c>
      <c r="O130" s="139">
        <f t="shared" si="41"/>
        <v>3707520.9</v>
      </c>
      <c r="P130" s="72">
        <v>15921000</v>
      </c>
      <c r="Q130" s="73" t="s">
        <v>27</v>
      </c>
      <c r="R130" s="67">
        <v>0</v>
      </c>
      <c r="S130" s="67">
        <v>0</v>
      </c>
      <c r="T130" s="139">
        <f t="shared" si="42"/>
        <v>0</v>
      </c>
      <c r="U130" s="60">
        <f t="shared" si="43"/>
        <v>3707520.9</v>
      </c>
      <c r="V130" s="181">
        <v>25</v>
      </c>
      <c r="W130" s="116">
        <f t="shared" si="40"/>
        <v>19</v>
      </c>
      <c r="X130" s="116">
        <f t="shared" si="44"/>
        <v>281</v>
      </c>
      <c r="Y130" s="38">
        <f t="shared" si="45"/>
        <v>12358.403</v>
      </c>
      <c r="Z130" s="38">
        <f t="shared" si="46"/>
        <v>234809.65700000001</v>
      </c>
      <c r="AA130" s="38">
        <f t="shared" si="47"/>
        <v>3707521</v>
      </c>
      <c r="AB130" s="38">
        <f t="shared" si="48"/>
        <v>234810</v>
      </c>
      <c r="AC130" s="38">
        <f t="shared" si="49"/>
        <v>3472711</v>
      </c>
      <c r="AD130" s="67"/>
      <c r="AE130" s="73"/>
      <c r="AF130" s="73"/>
      <c r="AG130" s="73"/>
      <c r="AH130" s="73"/>
      <c r="AI130" s="73"/>
      <c r="AJ130" s="73"/>
      <c r="AK130" s="180"/>
    </row>
    <row r="131" spans="1:37" s="66" customFormat="1">
      <c r="A131" s="72">
        <v>15200000</v>
      </c>
      <c r="B131" s="73" t="s">
        <v>20</v>
      </c>
      <c r="C131" s="68" t="s">
        <v>995</v>
      </c>
      <c r="D131" s="67">
        <v>1</v>
      </c>
      <c r="E131" s="36" t="s">
        <v>364</v>
      </c>
      <c r="F131" s="177"/>
      <c r="G131" s="177"/>
      <c r="H131" s="177"/>
      <c r="I131" s="177"/>
      <c r="J131" s="198">
        <v>43617</v>
      </c>
      <c r="K131" s="65" t="str">
        <f t="shared" si="50"/>
        <v>SI</v>
      </c>
      <c r="L131" s="139">
        <f t="shared" si="27"/>
        <v>4095356.5</v>
      </c>
      <c r="M131" s="67">
        <v>4095356.5</v>
      </c>
      <c r="N131" s="67">
        <v>4095356.5</v>
      </c>
      <c r="O131" s="139">
        <f t="shared" si="41"/>
        <v>4095356.5</v>
      </c>
      <c r="P131" s="72">
        <v>15921000</v>
      </c>
      <c r="Q131" s="73" t="s">
        <v>27</v>
      </c>
      <c r="R131" s="67">
        <v>0</v>
      </c>
      <c r="S131" s="67">
        <v>0</v>
      </c>
      <c r="T131" s="139">
        <f t="shared" si="42"/>
        <v>0</v>
      </c>
      <c r="U131" s="60">
        <f t="shared" si="43"/>
        <v>4095356.5</v>
      </c>
      <c r="V131" s="181">
        <v>25</v>
      </c>
      <c r="W131" s="116">
        <f t="shared" si="40"/>
        <v>19</v>
      </c>
      <c r="X131" s="116">
        <f t="shared" si="44"/>
        <v>281</v>
      </c>
      <c r="Y131" s="38">
        <f t="shared" si="45"/>
        <v>13651.188333333334</v>
      </c>
      <c r="Z131" s="38">
        <f t="shared" si="46"/>
        <v>259372.57833333334</v>
      </c>
      <c r="AA131" s="38">
        <f t="shared" si="47"/>
        <v>4095357</v>
      </c>
      <c r="AB131" s="38">
        <f t="shared" si="48"/>
        <v>259373</v>
      </c>
      <c r="AC131" s="38">
        <f t="shared" si="49"/>
        <v>3835984</v>
      </c>
      <c r="AD131" s="67"/>
      <c r="AE131" s="73"/>
      <c r="AF131" s="73"/>
      <c r="AG131" s="73"/>
      <c r="AH131" s="73"/>
      <c r="AI131" s="73"/>
      <c r="AJ131" s="73"/>
      <c r="AK131" s="180"/>
    </row>
    <row r="132" spans="1:37" s="66" customFormat="1">
      <c r="A132" s="72">
        <v>15200000</v>
      </c>
      <c r="B132" s="73" t="s">
        <v>20</v>
      </c>
      <c r="C132" s="68" t="s">
        <v>995</v>
      </c>
      <c r="D132" s="67">
        <v>1</v>
      </c>
      <c r="E132" s="36" t="s">
        <v>364</v>
      </c>
      <c r="F132" s="177"/>
      <c r="G132" s="177"/>
      <c r="H132" s="177"/>
      <c r="I132" s="177"/>
      <c r="J132" s="198">
        <v>43617</v>
      </c>
      <c r="K132" s="65" t="str">
        <f t="shared" si="50"/>
        <v>SI</v>
      </c>
      <c r="L132" s="139">
        <f t="shared" si="27"/>
        <v>3707520.9</v>
      </c>
      <c r="M132" s="67">
        <v>3707520.9</v>
      </c>
      <c r="N132" s="67">
        <v>3707520.9</v>
      </c>
      <c r="O132" s="139">
        <f t="shared" si="41"/>
        <v>3707520.9</v>
      </c>
      <c r="P132" s="72">
        <v>15921000</v>
      </c>
      <c r="Q132" s="73" t="s">
        <v>27</v>
      </c>
      <c r="R132" s="67">
        <v>0</v>
      </c>
      <c r="S132" s="67">
        <v>0</v>
      </c>
      <c r="T132" s="139">
        <f t="shared" si="42"/>
        <v>0</v>
      </c>
      <c r="U132" s="60">
        <f t="shared" si="43"/>
        <v>3707520.9</v>
      </c>
      <c r="V132" s="181">
        <v>25</v>
      </c>
      <c r="W132" s="116">
        <f t="shared" si="40"/>
        <v>19</v>
      </c>
      <c r="X132" s="116">
        <f t="shared" si="44"/>
        <v>281</v>
      </c>
      <c r="Y132" s="38">
        <f t="shared" si="45"/>
        <v>12358.403</v>
      </c>
      <c r="Z132" s="38">
        <f t="shared" si="46"/>
        <v>234809.65700000001</v>
      </c>
      <c r="AA132" s="38">
        <f t="shared" si="47"/>
        <v>3707521</v>
      </c>
      <c r="AB132" s="38">
        <f t="shared" si="48"/>
        <v>234810</v>
      </c>
      <c r="AC132" s="38">
        <f t="shared" si="49"/>
        <v>3472711</v>
      </c>
      <c r="AD132" s="67"/>
      <c r="AE132" s="73"/>
      <c r="AF132" s="73"/>
      <c r="AG132" s="73"/>
      <c r="AH132" s="73"/>
      <c r="AI132" s="73"/>
      <c r="AJ132" s="73"/>
      <c r="AK132" s="180"/>
    </row>
    <row r="133" spans="1:37" s="66" customFormat="1">
      <c r="A133" s="72">
        <v>15200000</v>
      </c>
      <c r="B133" s="73" t="s">
        <v>20</v>
      </c>
      <c r="C133" s="68" t="s">
        <v>995</v>
      </c>
      <c r="D133" s="67">
        <v>1</v>
      </c>
      <c r="E133" s="36" t="s">
        <v>364</v>
      </c>
      <c r="F133" s="177"/>
      <c r="G133" s="177"/>
      <c r="H133" s="177"/>
      <c r="I133" s="177"/>
      <c r="J133" s="198">
        <v>43617</v>
      </c>
      <c r="K133" s="65" t="str">
        <f t="shared" si="50"/>
        <v>SI</v>
      </c>
      <c r="L133" s="139">
        <f t="shared" si="27"/>
        <v>4095356.5</v>
      </c>
      <c r="M133" s="67">
        <v>4095356.5</v>
      </c>
      <c r="N133" s="67">
        <v>4095356.5</v>
      </c>
      <c r="O133" s="139">
        <f t="shared" si="41"/>
        <v>4095356.5</v>
      </c>
      <c r="P133" s="72">
        <v>15921000</v>
      </c>
      <c r="Q133" s="73" t="s">
        <v>27</v>
      </c>
      <c r="R133" s="67">
        <v>0</v>
      </c>
      <c r="S133" s="67">
        <v>0</v>
      </c>
      <c r="T133" s="139">
        <f t="shared" si="42"/>
        <v>0</v>
      </c>
      <c r="U133" s="60">
        <f t="shared" si="43"/>
        <v>4095356.5</v>
      </c>
      <c r="V133" s="181">
        <v>25</v>
      </c>
      <c r="W133" s="116">
        <f t="shared" si="40"/>
        <v>19</v>
      </c>
      <c r="X133" s="116">
        <f t="shared" si="44"/>
        <v>281</v>
      </c>
      <c r="Y133" s="38">
        <f t="shared" si="45"/>
        <v>13651.188333333334</v>
      </c>
      <c r="Z133" s="38">
        <f t="shared" si="46"/>
        <v>259372.57833333334</v>
      </c>
      <c r="AA133" s="38">
        <f t="shared" si="47"/>
        <v>4095357</v>
      </c>
      <c r="AB133" s="38">
        <f t="shared" si="48"/>
        <v>259373</v>
      </c>
      <c r="AC133" s="38">
        <f t="shared" si="49"/>
        <v>3835984</v>
      </c>
      <c r="AD133" s="67"/>
      <c r="AE133" s="73"/>
      <c r="AF133" s="73"/>
      <c r="AG133" s="73"/>
      <c r="AH133" s="73"/>
      <c r="AI133" s="73"/>
      <c r="AJ133" s="73"/>
      <c r="AK133" s="180"/>
    </row>
    <row r="134" spans="1:37" s="66" customFormat="1">
      <c r="A134" s="72">
        <v>15200000</v>
      </c>
      <c r="B134" s="73" t="s">
        <v>20</v>
      </c>
      <c r="C134" s="68" t="s">
        <v>995</v>
      </c>
      <c r="D134" s="67">
        <v>1</v>
      </c>
      <c r="E134" s="36" t="s">
        <v>364</v>
      </c>
      <c r="F134" s="177"/>
      <c r="G134" s="177"/>
      <c r="H134" s="177"/>
      <c r="I134" s="177"/>
      <c r="J134" s="198">
        <v>43617</v>
      </c>
      <c r="K134" s="65" t="str">
        <f t="shared" si="50"/>
        <v>SI</v>
      </c>
      <c r="L134" s="139">
        <f t="shared" si="27"/>
        <v>3707520.9</v>
      </c>
      <c r="M134" s="67">
        <v>3707520.9</v>
      </c>
      <c r="N134" s="67">
        <v>3707520.9</v>
      </c>
      <c r="O134" s="139">
        <f t="shared" si="41"/>
        <v>3707520.9</v>
      </c>
      <c r="P134" s="72">
        <v>15921000</v>
      </c>
      <c r="Q134" s="73" t="s">
        <v>27</v>
      </c>
      <c r="R134" s="67">
        <v>0</v>
      </c>
      <c r="S134" s="67">
        <v>0</v>
      </c>
      <c r="T134" s="139">
        <f t="shared" si="42"/>
        <v>0</v>
      </c>
      <c r="U134" s="60">
        <f t="shared" si="43"/>
        <v>3707520.9</v>
      </c>
      <c r="V134" s="181">
        <v>25</v>
      </c>
      <c r="W134" s="116">
        <f t="shared" si="40"/>
        <v>19</v>
      </c>
      <c r="X134" s="116">
        <f t="shared" si="44"/>
        <v>281</v>
      </c>
      <c r="Y134" s="38">
        <f t="shared" si="45"/>
        <v>12358.403</v>
      </c>
      <c r="Z134" s="38">
        <f t="shared" si="46"/>
        <v>234809.65700000001</v>
      </c>
      <c r="AA134" s="38">
        <f t="shared" si="47"/>
        <v>3707521</v>
      </c>
      <c r="AB134" s="38">
        <f t="shared" si="48"/>
        <v>234810</v>
      </c>
      <c r="AC134" s="38">
        <f t="shared" si="49"/>
        <v>3472711</v>
      </c>
      <c r="AD134" s="67"/>
      <c r="AE134" s="73"/>
      <c r="AF134" s="73"/>
      <c r="AG134" s="73"/>
      <c r="AH134" s="73"/>
      <c r="AI134" s="73"/>
      <c r="AJ134" s="73"/>
      <c r="AK134" s="180"/>
    </row>
    <row r="135" spans="1:37" s="66" customFormat="1">
      <c r="A135" s="72">
        <v>15200000</v>
      </c>
      <c r="B135" s="73" t="s">
        <v>20</v>
      </c>
      <c r="C135" s="68" t="s">
        <v>995</v>
      </c>
      <c r="D135" s="67">
        <v>1</v>
      </c>
      <c r="E135" s="36" t="s">
        <v>364</v>
      </c>
      <c r="F135" s="177"/>
      <c r="G135" s="177"/>
      <c r="H135" s="177"/>
      <c r="I135" s="177"/>
      <c r="J135" s="198">
        <v>43617</v>
      </c>
      <c r="K135" s="65" t="str">
        <f t="shared" si="50"/>
        <v>SI</v>
      </c>
      <c r="L135" s="139">
        <f t="shared" si="27"/>
        <v>4095356.5</v>
      </c>
      <c r="M135" s="67">
        <v>4095356.5</v>
      </c>
      <c r="N135" s="67">
        <v>4095356.5</v>
      </c>
      <c r="O135" s="139">
        <f t="shared" si="41"/>
        <v>4095356.5</v>
      </c>
      <c r="P135" s="72">
        <v>15921000</v>
      </c>
      <c r="Q135" s="73" t="s">
        <v>27</v>
      </c>
      <c r="R135" s="67">
        <v>0</v>
      </c>
      <c r="S135" s="67">
        <v>0</v>
      </c>
      <c r="T135" s="139">
        <f t="shared" si="42"/>
        <v>0</v>
      </c>
      <c r="U135" s="60">
        <f t="shared" si="43"/>
        <v>4095356.5</v>
      </c>
      <c r="V135" s="181">
        <v>25</v>
      </c>
      <c r="W135" s="116">
        <f t="shared" si="40"/>
        <v>19</v>
      </c>
      <c r="X135" s="116">
        <f t="shared" si="44"/>
        <v>281</v>
      </c>
      <c r="Y135" s="38">
        <f t="shared" si="45"/>
        <v>13651.188333333334</v>
      </c>
      <c r="Z135" s="38">
        <f t="shared" si="46"/>
        <v>259372.57833333334</v>
      </c>
      <c r="AA135" s="38">
        <f t="shared" si="47"/>
        <v>4095357</v>
      </c>
      <c r="AB135" s="38">
        <f t="shared" si="48"/>
        <v>259373</v>
      </c>
      <c r="AC135" s="38">
        <f t="shared" si="49"/>
        <v>3835984</v>
      </c>
      <c r="AD135" s="67"/>
      <c r="AE135" s="73"/>
      <c r="AF135" s="73"/>
      <c r="AG135" s="73"/>
      <c r="AH135" s="73"/>
      <c r="AI135" s="73"/>
      <c r="AJ135" s="73"/>
      <c r="AK135" s="180"/>
    </row>
    <row r="136" spans="1:37" s="66" customFormat="1">
      <c r="A136" s="72">
        <v>15200000</v>
      </c>
      <c r="B136" s="73" t="s">
        <v>20</v>
      </c>
      <c r="C136" s="200" t="s">
        <v>995</v>
      </c>
      <c r="D136" s="67">
        <v>1</v>
      </c>
      <c r="E136" s="36" t="s">
        <v>364</v>
      </c>
      <c r="F136" s="177"/>
      <c r="G136" s="177"/>
      <c r="H136" s="177"/>
      <c r="I136" s="177"/>
      <c r="J136" s="198">
        <v>43617</v>
      </c>
      <c r="K136" s="65" t="str">
        <f t="shared" si="50"/>
        <v>SI</v>
      </c>
      <c r="L136" s="183">
        <f t="shared" si="27"/>
        <v>2600959.14</v>
      </c>
      <c r="M136" s="67">
        <f>1235840.3+1365118.84</f>
        <v>2600959.14</v>
      </c>
      <c r="N136" s="67">
        <f>1235840.3+1365118.84</f>
        <v>2600959.14</v>
      </c>
      <c r="O136" s="139">
        <f t="shared" si="41"/>
        <v>2600959.14</v>
      </c>
      <c r="P136" s="72">
        <v>15921000</v>
      </c>
      <c r="Q136" s="73" t="s">
        <v>27</v>
      </c>
      <c r="R136" s="67">
        <v>0</v>
      </c>
      <c r="S136" s="67">
        <v>0</v>
      </c>
      <c r="T136" s="139">
        <f t="shared" si="42"/>
        <v>0</v>
      </c>
      <c r="U136" s="60">
        <f t="shared" si="43"/>
        <v>2600959.14</v>
      </c>
      <c r="V136" s="181">
        <v>25</v>
      </c>
      <c r="W136" s="116">
        <f t="shared" si="40"/>
        <v>19</v>
      </c>
      <c r="X136" s="116">
        <f t="shared" si="44"/>
        <v>281</v>
      </c>
      <c r="Y136" s="38">
        <f t="shared" si="45"/>
        <v>8669.863800000001</v>
      </c>
      <c r="Z136" s="38">
        <f t="shared" si="46"/>
        <v>164727.41220000002</v>
      </c>
      <c r="AA136" s="38">
        <f t="shared" si="47"/>
        <v>2600959</v>
      </c>
      <c r="AB136" s="38">
        <f t="shared" si="48"/>
        <v>164727</v>
      </c>
      <c r="AC136" s="38">
        <f t="shared" si="49"/>
        <v>2436232</v>
      </c>
      <c r="AD136" s="67"/>
      <c r="AE136" s="73"/>
      <c r="AF136" s="73"/>
      <c r="AG136" s="73"/>
      <c r="AH136" s="73"/>
      <c r="AI136" s="73"/>
      <c r="AJ136" s="73"/>
      <c r="AK136" s="180"/>
    </row>
    <row r="137" spans="1:37" s="66" customFormat="1">
      <c r="A137" s="72">
        <v>15200000</v>
      </c>
      <c r="B137" s="73" t="s">
        <v>20</v>
      </c>
      <c r="C137" s="201" t="s">
        <v>995</v>
      </c>
      <c r="D137" s="67">
        <v>1</v>
      </c>
      <c r="E137" s="36" t="s">
        <v>364</v>
      </c>
      <c r="F137" s="177"/>
      <c r="G137" s="177"/>
      <c r="H137" s="177"/>
      <c r="I137" s="177"/>
      <c r="J137" s="198">
        <v>43617</v>
      </c>
      <c r="K137" s="65" t="str">
        <f t="shared" si="50"/>
        <v>NO</v>
      </c>
      <c r="L137" s="183">
        <f t="shared" si="27"/>
        <v>0</v>
      </c>
      <c r="M137" s="67">
        <f>1365118.84*0</f>
        <v>0</v>
      </c>
      <c r="N137" s="67">
        <f>1365118.84*0</f>
        <v>0</v>
      </c>
      <c r="O137" s="139">
        <f t="shared" si="41"/>
        <v>0</v>
      </c>
      <c r="P137" s="72">
        <v>15921000</v>
      </c>
      <c r="Q137" s="73" t="s">
        <v>27</v>
      </c>
      <c r="R137" s="67">
        <v>0</v>
      </c>
      <c r="S137" s="67">
        <v>0</v>
      </c>
      <c r="T137" s="139">
        <f t="shared" si="42"/>
        <v>0</v>
      </c>
      <c r="U137" s="60">
        <f t="shared" si="43"/>
        <v>0</v>
      </c>
      <c r="V137" s="181">
        <v>25</v>
      </c>
      <c r="W137" s="116">
        <f t="shared" si="40"/>
        <v>19</v>
      </c>
      <c r="X137" s="116">
        <f t="shared" si="44"/>
        <v>281</v>
      </c>
      <c r="Y137" s="38">
        <f t="shared" si="45"/>
        <v>0</v>
      </c>
      <c r="Z137" s="38">
        <f t="shared" si="46"/>
        <v>0</v>
      </c>
      <c r="AA137" s="38">
        <f t="shared" si="47"/>
        <v>0</v>
      </c>
      <c r="AB137" s="38">
        <f t="shared" si="48"/>
        <v>0</v>
      </c>
      <c r="AC137" s="38">
        <f t="shared" si="49"/>
        <v>0</v>
      </c>
      <c r="AD137" s="67"/>
      <c r="AE137" s="73"/>
      <c r="AF137" s="73"/>
      <c r="AG137" s="73"/>
      <c r="AH137" s="73"/>
      <c r="AI137" s="73"/>
      <c r="AJ137" s="73"/>
      <c r="AK137" s="180"/>
    </row>
    <row r="138" spans="1:37" s="66" customFormat="1">
      <c r="A138" s="72">
        <v>15200000</v>
      </c>
      <c r="B138" s="73" t="s">
        <v>20</v>
      </c>
      <c r="C138" s="200" t="s">
        <v>995</v>
      </c>
      <c r="D138" s="67">
        <v>1</v>
      </c>
      <c r="E138" s="36" t="s">
        <v>364</v>
      </c>
      <c r="F138" s="177"/>
      <c r="G138" s="177"/>
      <c r="H138" s="177"/>
      <c r="I138" s="177"/>
      <c r="J138" s="198">
        <v>43617</v>
      </c>
      <c r="K138" s="65" t="str">
        <f t="shared" si="50"/>
        <v>SI</v>
      </c>
      <c r="L138" s="183">
        <f t="shared" si="27"/>
        <v>2600959.14</v>
      </c>
      <c r="M138" s="67">
        <f>1235840.3+1365118.84</f>
        <v>2600959.14</v>
      </c>
      <c r="N138" s="67">
        <f>1235840.3+1365118.84</f>
        <v>2600959.14</v>
      </c>
      <c r="O138" s="139">
        <f t="shared" si="41"/>
        <v>2600959.14</v>
      </c>
      <c r="P138" s="72">
        <v>15921000</v>
      </c>
      <c r="Q138" s="73" t="s">
        <v>27</v>
      </c>
      <c r="R138" s="67">
        <v>0</v>
      </c>
      <c r="S138" s="67">
        <v>0</v>
      </c>
      <c r="T138" s="139">
        <f t="shared" si="42"/>
        <v>0</v>
      </c>
      <c r="U138" s="60">
        <f t="shared" si="43"/>
        <v>2600959.14</v>
      </c>
      <c r="V138" s="181">
        <v>25</v>
      </c>
      <c r="W138" s="116">
        <f t="shared" si="40"/>
        <v>19</v>
      </c>
      <c r="X138" s="116">
        <f t="shared" si="44"/>
        <v>281</v>
      </c>
      <c r="Y138" s="38">
        <f t="shared" si="45"/>
        <v>8669.863800000001</v>
      </c>
      <c r="Z138" s="38">
        <f t="shared" si="46"/>
        <v>164727.41220000002</v>
      </c>
      <c r="AA138" s="38">
        <f t="shared" si="47"/>
        <v>2600959</v>
      </c>
      <c r="AB138" s="38">
        <f t="shared" si="48"/>
        <v>164727</v>
      </c>
      <c r="AC138" s="38">
        <f t="shared" si="49"/>
        <v>2436232</v>
      </c>
      <c r="AD138" s="67"/>
      <c r="AE138" s="73"/>
      <c r="AF138" s="73"/>
      <c r="AG138" s="73"/>
      <c r="AH138" s="73"/>
      <c r="AI138" s="73"/>
      <c r="AJ138" s="73"/>
      <c r="AK138" s="180"/>
    </row>
    <row r="139" spans="1:37" s="66" customFormat="1">
      <c r="A139" s="72">
        <v>15200000</v>
      </c>
      <c r="B139" s="73" t="s">
        <v>20</v>
      </c>
      <c r="C139" s="201" t="s">
        <v>995</v>
      </c>
      <c r="D139" s="67">
        <v>1</v>
      </c>
      <c r="E139" s="36" t="s">
        <v>364</v>
      </c>
      <c r="F139" s="177"/>
      <c r="G139" s="177"/>
      <c r="H139" s="177"/>
      <c r="I139" s="177"/>
      <c r="J139" s="198">
        <v>43617</v>
      </c>
      <c r="K139" s="65" t="str">
        <f t="shared" si="50"/>
        <v>NO</v>
      </c>
      <c r="L139" s="183">
        <f t="shared" si="27"/>
        <v>0</v>
      </c>
      <c r="M139" s="67">
        <f>1365118.84*0</f>
        <v>0</v>
      </c>
      <c r="N139" s="67">
        <f>1365118.84*0</f>
        <v>0</v>
      </c>
      <c r="O139" s="139">
        <f t="shared" si="41"/>
        <v>0</v>
      </c>
      <c r="P139" s="72">
        <v>15921000</v>
      </c>
      <c r="Q139" s="73" t="s">
        <v>27</v>
      </c>
      <c r="R139" s="67">
        <v>0</v>
      </c>
      <c r="S139" s="67">
        <v>0</v>
      </c>
      <c r="T139" s="139">
        <f t="shared" si="42"/>
        <v>0</v>
      </c>
      <c r="U139" s="60">
        <f t="shared" si="43"/>
        <v>0</v>
      </c>
      <c r="V139" s="181">
        <v>25</v>
      </c>
      <c r="W139" s="116">
        <f t="shared" si="40"/>
        <v>19</v>
      </c>
      <c r="X139" s="116">
        <f t="shared" si="44"/>
        <v>281</v>
      </c>
      <c r="Y139" s="38">
        <f t="shared" si="45"/>
        <v>0</v>
      </c>
      <c r="Z139" s="38">
        <f t="shared" si="46"/>
        <v>0</v>
      </c>
      <c r="AA139" s="38">
        <f t="shared" si="47"/>
        <v>0</v>
      </c>
      <c r="AB139" s="38">
        <f t="shared" si="48"/>
        <v>0</v>
      </c>
      <c r="AC139" s="38">
        <f t="shared" si="49"/>
        <v>0</v>
      </c>
      <c r="AD139" s="67"/>
      <c r="AE139" s="73"/>
      <c r="AF139" s="73"/>
      <c r="AG139" s="73"/>
      <c r="AH139" s="73"/>
      <c r="AI139" s="73"/>
      <c r="AJ139" s="73"/>
      <c r="AK139" s="180"/>
    </row>
    <row r="140" spans="1:37" s="66" customFormat="1">
      <c r="A140" s="72">
        <v>15200000</v>
      </c>
      <c r="B140" s="73" t="s">
        <v>20</v>
      </c>
      <c r="C140" s="68" t="s">
        <v>995</v>
      </c>
      <c r="D140" s="67">
        <v>1</v>
      </c>
      <c r="E140" s="36" t="s">
        <v>364</v>
      </c>
      <c r="F140" s="177"/>
      <c r="G140" s="177"/>
      <c r="H140" s="177"/>
      <c r="I140" s="177"/>
      <c r="J140" s="198">
        <v>43617</v>
      </c>
      <c r="K140" s="65" t="str">
        <f t="shared" si="50"/>
        <v>SI</v>
      </c>
      <c r="L140" s="139">
        <f t="shared" si="27"/>
        <v>37606263.68</v>
      </c>
      <c r="M140" s="67">
        <v>37606263.68</v>
      </c>
      <c r="N140" s="67">
        <v>37606263.68</v>
      </c>
      <c r="O140" s="139">
        <f t="shared" si="41"/>
        <v>37606263.68</v>
      </c>
      <c r="P140" s="72">
        <v>15921000</v>
      </c>
      <c r="Q140" s="73" t="s">
        <v>27</v>
      </c>
      <c r="R140" s="67">
        <v>0</v>
      </c>
      <c r="S140" s="67">
        <v>0</v>
      </c>
      <c r="T140" s="139">
        <f t="shared" si="42"/>
        <v>0</v>
      </c>
      <c r="U140" s="60">
        <f t="shared" si="43"/>
        <v>37606263.68</v>
      </c>
      <c r="V140" s="181">
        <v>25</v>
      </c>
      <c r="W140" s="116">
        <f t="shared" si="40"/>
        <v>19</v>
      </c>
      <c r="X140" s="116">
        <f t="shared" si="44"/>
        <v>281</v>
      </c>
      <c r="Y140" s="38">
        <f t="shared" si="45"/>
        <v>125354.21226666667</v>
      </c>
      <c r="Z140" s="38">
        <f t="shared" si="46"/>
        <v>2381730.0330666667</v>
      </c>
      <c r="AA140" s="38">
        <f t="shared" si="47"/>
        <v>37606264</v>
      </c>
      <c r="AB140" s="38">
        <f t="shared" si="48"/>
        <v>2381730</v>
      </c>
      <c r="AC140" s="38">
        <f t="shared" si="49"/>
        <v>35224534</v>
      </c>
      <c r="AD140" s="67"/>
      <c r="AE140" s="73"/>
      <c r="AF140" s="73"/>
      <c r="AG140" s="73"/>
      <c r="AH140" s="73"/>
      <c r="AI140" s="73"/>
      <c r="AJ140" s="73"/>
      <c r="AK140" s="180"/>
    </row>
    <row r="141" spans="1:37" s="66" customFormat="1">
      <c r="A141" s="72">
        <v>15200000</v>
      </c>
      <c r="B141" s="73" t="s">
        <v>20</v>
      </c>
      <c r="C141" s="68" t="s">
        <v>995</v>
      </c>
      <c r="D141" s="67">
        <v>1</v>
      </c>
      <c r="E141" s="36" t="s">
        <v>364</v>
      </c>
      <c r="F141" s="177"/>
      <c r="G141" s="177"/>
      <c r="H141" s="177"/>
      <c r="I141" s="177"/>
      <c r="J141" s="198">
        <v>43617</v>
      </c>
      <c r="K141" s="65" t="str">
        <f t="shared" si="50"/>
        <v>SI</v>
      </c>
      <c r="L141" s="139">
        <f t="shared" si="27"/>
        <v>13731037.449999999</v>
      </c>
      <c r="M141" s="67">
        <v>13731037.449999999</v>
      </c>
      <c r="N141" s="67">
        <v>13731037.449999999</v>
      </c>
      <c r="O141" s="139">
        <f t="shared" si="41"/>
        <v>13731037.449999999</v>
      </c>
      <c r="P141" s="72">
        <v>15921000</v>
      </c>
      <c r="Q141" s="73" t="s">
        <v>27</v>
      </c>
      <c r="R141" s="67">
        <v>0</v>
      </c>
      <c r="S141" s="67">
        <v>0</v>
      </c>
      <c r="T141" s="139">
        <f t="shared" si="42"/>
        <v>0</v>
      </c>
      <c r="U141" s="60">
        <f t="shared" si="43"/>
        <v>13731037.449999999</v>
      </c>
      <c r="V141" s="181">
        <v>25</v>
      </c>
      <c r="W141" s="116">
        <f t="shared" si="40"/>
        <v>19</v>
      </c>
      <c r="X141" s="116">
        <f t="shared" si="44"/>
        <v>281</v>
      </c>
      <c r="Y141" s="38">
        <f t="shared" si="45"/>
        <v>45770.124833333328</v>
      </c>
      <c r="Z141" s="38">
        <f t="shared" si="46"/>
        <v>869632.37183333328</v>
      </c>
      <c r="AA141" s="38">
        <f t="shared" si="47"/>
        <v>13731037</v>
      </c>
      <c r="AB141" s="38">
        <f t="shared" si="48"/>
        <v>869632</v>
      </c>
      <c r="AC141" s="38">
        <f t="shared" si="49"/>
        <v>12861405</v>
      </c>
      <c r="AD141" s="67"/>
      <c r="AE141" s="73"/>
      <c r="AF141" s="73"/>
      <c r="AG141" s="73"/>
      <c r="AH141" s="73"/>
      <c r="AI141" s="73"/>
      <c r="AJ141" s="73"/>
      <c r="AK141" s="180"/>
    </row>
    <row r="142" spans="1:37" s="66" customFormat="1">
      <c r="A142" s="72">
        <v>15200000</v>
      </c>
      <c r="B142" s="73" t="s">
        <v>20</v>
      </c>
      <c r="C142" s="68" t="s">
        <v>995</v>
      </c>
      <c r="D142" s="67">
        <v>1</v>
      </c>
      <c r="E142" s="36" t="s">
        <v>364</v>
      </c>
      <c r="F142" s="177"/>
      <c r="G142" s="177"/>
      <c r="H142" s="177"/>
      <c r="I142" s="177"/>
      <c r="J142" s="198">
        <v>43617</v>
      </c>
      <c r="K142" s="65" t="str">
        <f t="shared" si="50"/>
        <v>SI</v>
      </c>
      <c r="L142" s="139">
        <f t="shared" si="27"/>
        <v>37606263.68</v>
      </c>
      <c r="M142" s="67">
        <v>37606263.68</v>
      </c>
      <c r="N142" s="67">
        <v>37606263.68</v>
      </c>
      <c r="O142" s="139">
        <f t="shared" si="41"/>
        <v>37606263.68</v>
      </c>
      <c r="P142" s="72">
        <v>15921000</v>
      </c>
      <c r="Q142" s="73" t="s">
        <v>27</v>
      </c>
      <c r="R142" s="67">
        <v>0</v>
      </c>
      <c r="S142" s="67">
        <v>0</v>
      </c>
      <c r="T142" s="139">
        <f t="shared" si="42"/>
        <v>0</v>
      </c>
      <c r="U142" s="60">
        <f t="shared" si="43"/>
        <v>37606263.68</v>
      </c>
      <c r="V142" s="181">
        <v>25</v>
      </c>
      <c r="W142" s="116">
        <f t="shared" si="40"/>
        <v>19</v>
      </c>
      <c r="X142" s="116">
        <f t="shared" si="44"/>
        <v>281</v>
      </c>
      <c r="Y142" s="38">
        <f t="shared" si="45"/>
        <v>125354.21226666667</v>
      </c>
      <c r="Z142" s="38">
        <f t="shared" si="46"/>
        <v>2381730.0330666667</v>
      </c>
      <c r="AA142" s="38">
        <f t="shared" si="47"/>
        <v>37606264</v>
      </c>
      <c r="AB142" s="38">
        <f t="shared" si="48"/>
        <v>2381730</v>
      </c>
      <c r="AC142" s="38">
        <f t="shared" si="49"/>
        <v>35224534</v>
      </c>
      <c r="AD142" s="67"/>
      <c r="AE142" s="73"/>
      <c r="AF142" s="73"/>
      <c r="AG142" s="73"/>
      <c r="AH142" s="73"/>
      <c r="AI142" s="73"/>
      <c r="AJ142" s="73"/>
      <c r="AK142" s="180"/>
    </row>
    <row r="143" spans="1:37" s="66" customFormat="1">
      <c r="A143" s="72">
        <v>15200000</v>
      </c>
      <c r="B143" s="73" t="s">
        <v>20</v>
      </c>
      <c r="C143" s="68" t="s">
        <v>995</v>
      </c>
      <c r="D143" s="67">
        <v>1</v>
      </c>
      <c r="E143" s="36" t="s">
        <v>364</v>
      </c>
      <c r="F143" s="177"/>
      <c r="G143" s="177"/>
      <c r="H143" s="177"/>
      <c r="I143" s="177"/>
      <c r="J143" s="198">
        <v>43617</v>
      </c>
      <c r="K143" s="65" t="str">
        <f t="shared" si="50"/>
        <v>SI</v>
      </c>
      <c r="L143" s="139">
        <f t="shared" si="27"/>
        <v>13731037.449999999</v>
      </c>
      <c r="M143" s="67">
        <v>13731037.449999999</v>
      </c>
      <c r="N143" s="67">
        <v>13731037.449999999</v>
      </c>
      <c r="O143" s="139">
        <f t="shared" si="41"/>
        <v>13731037.449999999</v>
      </c>
      <c r="P143" s="72">
        <v>15921000</v>
      </c>
      <c r="Q143" s="73" t="s">
        <v>27</v>
      </c>
      <c r="R143" s="67">
        <v>0</v>
      </c>
      <c r="S143" s="67">
        <v>0</v>
      </c>
      <c r="T143" s="139">
        <f t="shared" si="42"/>
        <v>0</v>
      </c>
      <c r="U143" s="60">
        <f t="shared" si="43"/>
        <v>13731037.449999999</v>
      </c>
      <c r="V143" s="181">
        <v>25</v>
      </c>
      <c r="W143" s="116">
        <f t="shared" si="40"/>
        <v>19</v>
      </c>
      <c r="X143" s="116">
        <f t="shared" si="44"/>
        <v>281</v>
      </c>
      <c r="Y143" s="38">
        <f t="shared" si="45"/>
        <v>45770.124833333328</v>
      </c>
      <c r="Z143" s="38">
        <f t="shared" si="46"/>
        <v>869632.37183333328</v>
      </c>
      <c r="AA143" s="38">
        <f t="shared" si="47"/>
        <v>13731037</v>
      </c>
      <c r="AB143" s="38">
        <f t="shared" si="48"/>
        <v>869632</v>
      </c>
      <c r="AC143" s="38">
        <f t="shared" si="49"/>
        <v>12861405</v>
      </c>
      <c r="AD143" s="67"/>
      <c r="AE143" s="73"/>
      <c r="AF143" s="73"/>
      <c r="AG143" s="73"/>
      <c r="AH143" s="73"/>
      <c r="AI143" s="73"/>
      <c r="AJ143" s="73"/>
      <c r="AK143" s="180"/>
    </row>
    <row r="144" spans="1:37" s="66" customFormat="1">
      <c r="A144" s="72">
        <v>15200000</v>
      </c>
      <c r="B144" s="73" t="s">
        <v>20</v>
      </c>
      <c r="C144" s="68" t="s">
        <v>995</v>
      </c>
      <c r="D144" s="67">
        <v>1</v>
      </c>
      <c r="E144" s="36" t="s">
        <v>364</v>
      </c>
      <c r="F144" s="177"/>
      <c r="G144" s="177"/>
      <c r="H144" s="177"/>
      <c r="I144" s="177"/>
      <c r="J144" s="198">
        <v>43617</v>
      </c>
      <c r="K144" s="65" t="str">
        <f t="shared" si="50"/>
        <v>SI</v>
      </c>
      <c r="L144" s="139">
        <f t="shared" si="27"/>
        <v>37606263.68</v>
      </c>
      <c r="M144" s="67">
        <v>37606263.68</v>
      </c>
      <c r="N144" s="67">
        <v>37606263.68</v>
      </c>
      <c r="O144" s="139">
        <f t="shared" si="41"/>
        <v>37606263.68</v>
      </c>
      <c r="P144" s="72">
        <v>15921000</v>
      </c>
      <c r="Q144" s="73" t="s">
        <v>27</v>
      </c>
      <c r="R144" s="67">
        <v>0</v>
      </c>
      <c r="S144" s="67">
        <v>0</v>
      </c>
      <c r="T144" s="139">
        <f t="shared" si="42"/>
        <v>0</v>
      </c>
      <c r="U144" s="60">
        <f t="shared" si="43"/>
        <v>37606263.68</v>
      </c>
      <c r="V144" s="181">
        <v>25</v>
      </c>
      <c r="W144" s="116">
        <f t="shared" si="40"/>
        <v>19</v>
      </c>
      <c r="X144" s="116">
        <f t="shared" si="44"/>
        <v>281</v>
      </c>
      <c r="Y144" s="38">
        <f t="shared" si="45"/>
        <v>125354.21226666667</v>
      </c>
      <c r="Z144" s="38">
        <f t="shared" si="46"/>
        <v>2381730.0330666667</v>
      </c>
      <c r="AA144" s="38">
        <f t="shared" si="47"/>
        <v>37606264</v>
      </c>
      <c r="AB144" s="38">
        <f t="shared" si="48"/>
        <v>2381730</v>
      </c>
      <c r="AC144" s="38">
        <f t="shared" si="49"/>
        <v>35224534</v>
      </c>
      <c r="AD144" s="67"/>
      <c r="AE144" s="73"/>
      <c r="AF144" s="73"/>
      <c r="AG144" s="73"/>
      <c r="AH144" s="73"/>
      <c r="AI144" s="73"/>
      <c r="AJ144" s="73"/>
      <c r="AK144" s="180"/>
    </row>
    <row r="145" spans="1:37" s="66" customFormat="1">
      <c r="A145" s="72">
        <v>15200000</v>
      </c>
      <c r="B145" s="73" t="s">
        <v>20</v>
      </c>
      <c r="C145" s="68" t="s">
        <v>995</v>
      </c>
      <c r="D145" s="67">
        <v>1</v>
      </c>
      <c r="E145" s="36" t="s">
        <v>364</v>
      </c>
      <c r="F145" s="177"/>
      <c r="G145" s="177"/>
      <c r="H145" s="177"/>
      <c r="I145" s="177"/>
      <c r="J145" s="198">
        <v>43617</v>
      </c>
      <c r="K145" s="65" t="str">
        <f t="shared" si="50"/>
        <v>SI</v>
      </c>
      <c r="L145" s="139">
        <f t="shared" si="27"/>
        <v>13731037.449999999</v>
      </c>
      <c r="M145" s="67">
        <v>13731037.449999999</v>
      </c>
      <c r="N145" s="67">
        <v>13731037.449999999</v>
      </c>
      <c r="O145" s="139">
        <f t="shared" si="41"/>
        <v>13731037.449999999</v>
      </c>
      <c r="P145" s="72">
        <v>15921000</v>
      </c>
      <c r="Q145" s="73" t="s">
        <v>27</v>
      </c>
      <c r="R145" s="67">
        <v>0</v>
      </c>
      <c r="S145" s="67">
        <v>0</v>
      </c>
      <c r="T145" s="139">
        <f t="shared" si="42"/>
        <v>0</v>
      </c>
      <c r="U145" s="60">
        <f t="shared" si="43"/>
        <v>13731037.449999999</v>
      </c>
      <c r="V145" s="181">
        <v>25</v>
      </c>
      <c r="W145" s="116">
        <f t="shared" si="40"/>
        <v>19</v>
      </c>
      <c r="X145" s="116">
        <f t="shared" si="44"/>
        <v>281</v>
      </c>
      <c r="Y145" s="38">
        <f t="shared" si="45"/>
        <v>45770.124833333328</v>
      </c>
      <c r="Z145" s="38">
        <f t="shared" si="46"/>
        <v>869632.37183333328</v>
      </c>
      <c r="AA145" s="38">
        <f t="shared" si="47"/>
        <v>13731037</v>
      </c>
      <c r="AB145" s="38">
        <f t="shared" si="48"/>
        <v>869632</v>
      </c>
      <c r="AC145" s="38">
        <f t="shared" si="49"/>
        <v>12861405</v>
      </c>
      <c r="AD145" s="67"/>
      <c r="AE145" s="73"/>
      <c r="AF145" s="73"/>
      <c r="AG145" s="73"/>
      <c r="AH145" s="73"/>
      <c r="AI145" s="73"/>
      <c r="AJ145" s="73"/>
      <c r="AK145" s="180"/>
    </row>
    <row r="146" spans="1:37" s="66" customFormat="1">
      <c r="A146" s="72">
        <v>15200000</v>
      </c>
      <c r="B146" s="73" t="s">
        <v>20</v>
      </c>
      <c r="C146" s="68" t="s">
        <v>995</v>
      </c>
      <c r="D146" s="67">
        <v>1</v>
      </c>
      <c r="E146" s="36" t="s">
        <v>364</v>
      </c>
      <c r="F146" s="177"/>
      <c r="G146" s="177"/>
      <c r="H146" s="177"/>
      <c r="I146" s="177"/>
      <c r="J146" s="198">
        <v>43617</v>
      </c>
      <c r="K146" s="65" t="str">
        <f t="shared" si="50"/>
        <v>SI</v>
      </c>
      <c r="L146" s="139">
        <f t="shared" si="27"/>
        <v>16857980.280000001</v>
      </c>
      <c r="M146" s="67">
        <v>16857980.280000001</v>
      </c>
      <c r="N146" s="67">
        <v>16857980.280000001</v>
      </c>
      <c r="O146" s="139">
        <f t="shared" si="41"/>
        <v>16857980.280000001</v>
      </c>
      <c r="P146" s="72">
        <v>15921000</v>
      </c>
      <c r="Q146" s="73" t="s">
        <v>27</v>
      </c>
      <c r="R146" s="67">
        <v>0</v>
      </c>
      <c r="S146" s="67">
        <v>0</v>
      </c>
      <c r="T146" s="139">
        <f t="shared" si="42"/>
        <v>0</v>
      </c>
      <c r="U146" s="60">
        <f t="shared" si="43"/>
        <v>16857980.280000001</v>
      </c>
      <c r="V146" s="181">
        <v>25</v>
      </c>
      <c r="W146" s="116">
        <f t="shared" si="40"/>
        <v>19</v>
      </c>
      <c r="X146" s="116">
        <f t="shared" si="44"/>
        <v>281</v>
      </c>
      <c r="Y146" s="38">
        <f t="shared" si="45"/>
        <v>56193.267600000006</v>
      </c>
      <c r="Z146" s="38">
        <f t="shared" si="46"/>
        <v>1067672.0844000001</v>
      </c>
      <c r="AA146" s="38">
        <f t="shared" si="47"/>
        <v>16857980</v>
      </c>
      <c r="AB146" s="38">
        <f t="shared" si="48"/>
        <v>1067672</v>
      </c>
      <c r="AC146" s="38">
        <f t="shared" si="49"/>
        <v>15790308</v>
      </c>
      <c r="AD146" s="67"/>
      <c r="AE146" s="73"/>
      <c r="AF146" s="73"/>
      <c r="AG146" s="73"/>
      <c r="AH146" s="73"/>
      <c r="AI146" s="73"/>
      <c r="AJ146" s="73"/>
      <c r="AK146" s="180"/>
    </row>
    <row r="147" spans="1:37" s="66" customFormat="1">
      <c r="A147" s="72">
        <v>15200000</v>
      </c>
      <c r="B147" s="73" t="s">
        <v>20</v>
      </c>
      <c r="C147" s="68" t="s">
        <v>995</v>
      </c>
      <c r="D147" s="67">
        <v>1</v>
      </c>
      <c r="E147" s="36" t="s">
        <v>364</v>
      </c>
      <c r="F147" s="177"/>
      <c r="G147" s="177"/>
      <c r="H147" s="177"/>
      <c r="I147" s="177"/>
      <c r="J147" s="198">
        <v>43617</v>
      </c>
      <c r="K147" s="65" t="str">
        <f t="shared" si="50"/>
        <v>SI</v>
      </c>
      <c r="L147" s="139">
        <f t="shared" si="27"/>
        <v>6155292.6500000004</v>
      </c>
      <c r="M147" s="67">
        <v>6155292.6500000004</v>
      </c>
      <c r="N147" s="67">
        <v>6155292.6500000004</v>
      </c>
      <c r="O147" s="139">
        <f t="shared" si="41"/>
        <v>6155292.6500000004</v>
      </c>
      <c r="P147" s="72">
        <v>15921000</v>
      </c>
      <c r="Q147" s="73" t="s">
        <v>27</v>
      </c>
      <c r="R147" s="67">
        <v>0</v>
      </c>
      <c r="S147" s="67">
        <v>0</v>
      </c>
      <c r="T147" s="139">
        <f t="shared" si="42"/>
        <v>0</v>
      </c>
      <c r="U147" s="60">
        <f t="shared" si="43"/>
        <v>6155292.6500000004</v>
      </c>
      <c r="V147" s="181">
        <v>25</v>
      </c>
      <c r="W147" s="116">
        <f t="shared" si="40"/>
        <v>19</v>
      </c>
      <c r="X147" s="116">
        <f t="shared" si="44"/>
        <v>281</v>
      </c>
      <c r="Y147" s="38">
        <f t="shared" si="45"/>
        <v>20517.642166666668</v>
      </c>
      <c r="Z147" s="38">
        <f t="shared" si="46"/>
        <v>389835.20116666669</v>
      </c>
      <c r="AA147" s="38">
        <f t="shared" si="47"/>
        <v>6155293</v>
      </c>
      <c r="AB147" s="38">
        <f t="shared" si="48"/>
        <v>389835</v>
      </c>
      <c r="AC147" s="38">
        <f t="shared" si="49"/>
        <v>5765458</v>
      </c>
      <c r="AD147" s="67"/>
      <c r="AE147" s="73"/>
      <c r="AF147" s="73"/>
      <c r="AG147" s="73"/>
      <c r="AH147" s="73"/>
      <c r="AI147" s="73"/>
      <c r="AJ147" s="73"/>
      <c r="AK147" s="180"/>
    </row>
    <row r="148" spans="1:37" s="66" customFormat="1">
      <c r="A148" s="72">
        <v>15200000</v>
      </c>
      <c r="B148" s="73" t="s">
        <v>20</v>
      </c>
      <c r="C148" s="68" t="s">
        <v>995</v>
      </c>
      <c r="D148" s="67">
        <v>1</v>
      </c>
      <c r="E148" s="36" t="s">
        <v>364</v>
      </c>
      <c r="F148" s="177"/>
      <c r="G148" s="177"/>
      <c r="H148" s="177"/>
      <c r="I148" s="177"/>
      <c r="J148" s="198">
        <v>43617</v>
      </c>
      <c r="K148" s="65" t="str">
        <f t="shared" si="50"/>
        <v>SI</v>
      </c>
      <c r="L148" s="139">
        <f t="shared" si="27"/>
        <v>4078945.94</v>
      </c>
      <c r="M148" s="67">
        <v>4078945.94</v>
      </c>
      <c r="N148" s="67">
        <v>4078945.94</v>
      </c>
      <c r="O148" s="139">
        <f t="shared" si="41"/>
        <v>4078945.94</v>
      </c>
      <c r="P148" s="72">
        <v>15921000</v>
      </c>
      <c r="Q148" s="73" t="s">
        <v>27</v>
      </c>
      <c r="R148" s="67">
        <v>0</v>
      </c>
      <c r="S148" s="67">
        <v>0</v>
      </c>
      <c r="T148" s="139">
        <f t="shared" si="42"/>
        <v>0</v>
      </c>
      <c r="U148" s="60">
        <f t="shared" si="43"/>
        <v>4078945.94</v>
      </c>
      <c r="V148" s="181">
        <v>25</v>
      </c>
      <c r="W148" s="116">
        <f t="shared" si="40"/>
        <v>19</v>
      </c>
      <c r="X148" s="116">
        <f t="shared" si="44"/>
        <v>281</v>
      </c>
      <c r="Y148" s="38">
        <f t="shared" si="45"/>
        <v>13596.486466666667</v>
      </c>
      <c r="Z148" s="38">
        <f t="shared" si="46"/>
        <v>258333.24286666667</v>
      </c>
      <c r="AA148" s="38">
        <f t="shared" si="47"/>
        <v>4078946</v>
      </c>
      <c r="AB148" s="38">
        <f t="shared" si="48"/>
        <v>258333</v>
      </c>
      <c r="AC148" s="38">
        <f t="shared" si="49"/>
        <v>3820613</v>
      </c>
      <c r="AD148" s="67"/>
      <c r="AE148" s="73"/>
      <c r="AF148" s="73"/>
      <c r="AG148" s="73"/>
      <c r="AH148" s="73"/>
      <c r="AI148" s="73"/>
      <c r="AJ148" s="73"/>
      <c r="AK148" s="180"/>
    </row>
    <row r="149" spans="1:37" s="66" customFormat="1">
      <c r="A149" s="72">
        <v>15200000</v>
      </c>
      <c r="B149" s="73" t="s">
        <v>20</v>
      </c>
      <c r="C149" s="68" t="s">
        <v>995</v>
      </c>
      <c r="D149" s="67">
        <v>1</v>
      </c>
      <c r="E149" s="36" t="s">
        <v>364</v>
      </c>
      <c r="F149" s="177"/>
      <c r="G149" s="177"/>
      <c r="H149" s="177"/>
      <c r="I149" s="177"/>
      <c r="J149" s="198">
        <v>43617</v>
      </c>
      <c r="K149" s="65" t="str">
        <f t="shared" si="50"/>
        <v>SI</v>
      </c>
      <c r="L149" s="139">
        <f t="shared" si="27"/>
        <v>10663066.08</v>
      </c>
      <c r="M149" s="67">
        <v>10663066.08</v>
      </c>
      <c r="N149" s="67">
        <v>10663066.08</v>
      </c>
      <c r="O149" s="139">
        <f t="shared" si="41"/>
        <v>10663066.08</v>
      </c>
      <c r="P149" s="72">
        <v>15921000</v>
      </c>
      <c r="Q149" s="73" t="s">
        <v>27</v>
      </c>
      <c r="R149" s="67">
        <v>0</v>
      </c>
      <c r="S149" s="67">
        <v>0</v>
      </c>
      <c r="T149" s="139">
        <f t="shared" si="42"/>
        <v>0</v>
      </c>
      <c r="U149" s="60">
        <f t="shared" si="43"/>
        <v>10663066.08</v>
      </c>
      <c r="V149" s="181">
        <v>25</v>
      </c>
      <c r="W149" s="116">
        <f t="shared" si="40"/>
        <v>19</v>
      </c>
      <c r="X149" s="116">
        <f t="shared" si="44"/>
        <v>281</v>
      </c>
      <c r="Y149" s="38">
        <f t="shared" si="45"/>
        <v>35543.553599999999</v>
      </c>
      <c r="Z149" s="38">
        <f t="shared" si="46"/>
        <v>675327.51839999994</v>
      </c>
      <c r="AA149" s="38">
        <f t="shared" si="47"/>
        <v>10663066</v>
      </c>
      <c r="AB149" s="38">
        <f t="shared" si="48"/>
        <v>675328</v>
      </c>
      <c r="AC149" s="38">
        <f t="shared" si="49"/>
        <v>9987738</v>
      </c>
      <c r="AD149" s="67"/>
      <c r="AE149" s="73"/>
      <c r="AF149" s="73"/>
      <c r="AG149" s="73"/>
      <c r="AH149" s="73"/>
      <c r="AI149" s="73"/>
      <c r="AJ149" s="73"/>
      <c r="AK149" s="180"/>
    </row>
    <row r="150" spans="1:37" s="66" customFormat="1">
      <c r="A150" s="72">
        <v>15200000</v>
      </c>
      <c r="B150" s="73" t="s">
        <v>20</v>
      </c>
      <c r="C150" s="68" t="s">
        <v>995</v>
      </c>
      <c r="D150" s="67">
        <v>1</v>
      </c>
      <c r="E150" s="36" t="s">
        <v>364</v>
      </c>
      <c r="F150" s="177"/>
      <c r="G150" s="177"/>
      <c r="H150" s="177"/>
      <c r="I150" s="177"/>
      <c r="J150" s="198">
        <v>43617</v>
      </c>
      <c r="K150" s="65" t="str">
        <f t="shared" si="50"/>
        <v>SI</v>
      </c>
      <c r="L150" s="139">
        <f t="shared" si="27"/>
        <v>4078945.94</v>
      </c>
      <c r="M150" s="67">
        <v>4078945.94</v>
      </c>
      <c r="N150" s="67">
        <v>4078945.94</v>
      </c>
      <c r="O150" s="139">
        <f t="shared" si="41"/>
        <v>4078945.94</v>
      </c>
      <c r="P150" s="72">
        <v>15921000</v>
      </c>
      <c r="Q150" s="73" t="s">
        <v>27</v>
      </c>
      <c r="R150" s="67">
        <v>0</v>
      </c>
      <c r="S150" s="67">
        <v>0</v>
      </c>
      <c r="T150" s="139">
        <f t="shared" si="42"/>
        <v>0</v>
      </c>
      <c r="U150" s="60">
        <f t="shared" si="43"/>
        <v>4078945.94</v>
      </c>
      <c r="V150" s="181">
        <v>25</v>
      </c>
      <c r="W150" s="116">
        <f t="shared" si="40"/>
        <v>19</v>
      </c>
      <c r="X150" s="116">
        <f t="shared" si="44"/>
        <v>281</v>
      </c>
      <c r="Y150" s="38">
        <f t="shared" si="45"/>
        <v>13596.486466666667</v>
      </c>
      <c r="Z150" s="38">
        <f t="shared" si="46"/>
        <v>258333.24286666667</v>
      </c>
      <c r="AA150" s="38">
        <f t="shared" si="47"/>
        <v>4078946</v>
      </c>
      <c r="AB150" s="38">
        <f t="shared" si="48"/>
        <v>258333</v>
      </c>
      <c r="AC150" s="38">
        <f t="shared" si="49"/>
        <v>3820613</v>
      </c>
      <c r="AD150" s="67"/>
      <c r="AE150" s="73"/>
      <c r="AF150" s="73"/>
      <c r="AG150" s="73"/>
      <c r="AH150" s="73"/>
      <c r="AI150" s="73"/>
      <c r="AJ150" s="73"/>
      <c r="AK150" s="180"/>
    </row>
    <row r="151" spans="1:37" s="66" customFormat="1">
      <c r="A151" s="72">
        <v>15200000</v>
      </c>
      <c r="B151" s="73" t="s">
        <v>20</v>
      </c>
      <c r="C151" s="68" t="s">
        <v>995</v>
      </c>
      <c r="D151" s="67">
        <v>1</v>
      </c>
      <c r="E151" s="36" t="s">
        <v>364</v>
      </c>
      <c r="F151" s="177"/>
      <c r="G151" s="177"/>
      <c r="H151" s="177"/>
      <c r="I151" s="177"/>
      <c r="J151" s="198">
        <v>43617</v>
      </c>
      <c r="K151" s="65" t="str">
        <f t="shared" si="50"/>
        <v>SI</v>
      </c>
      <c r="L151" s="139">
        <f t="shared" si="27"/>
        <v>10663066.08</v>
      </c>
      <c r="M151" s="67">
        <v>10663066.08</v>
      </c>
      <c r="N151" s="67">
        <v>10663066.08</v>
      </c>
      <c r="O151" s="139">
        <f t="shared" si="41"/>
        <v>10663066.08</v>
      </c>
      <c r="P151" s="72">
        <v>15921000</v>
      </c>
      <c r="Q151" s="73" t="s">
        <v>27</v>
      </c>
      <c r="R151" s="67">
        <v>0</v>
      </c>
      <c r="S151" s="67">
        <v>0</v>
      </c>
      <c r="T151" s="139">
        <f t="shared" si="42"/>
        <v>0</v>
      </c>
      <c r="U151" s="60">
        <f t="shared" si="43"/>
        <v>10663066.08</v>
      </c>
      <c r="V151" s="181">
        <v>25</v>
      </c>
      <c r="W151" s="116">
        <f t="shared" si="40"/>
        <v>19</v>
      </c>
      <c r="X151" s="116">
        <f t="shared" si="44"/>
        <v>281</v>
      </c>
      <c r="Y151" s="38">
        <f t="shared" si="45"/>
        <v>35543.553599999999</v>
      </c>
      <c r="Z151" s="38">
        <f t="shared" si="46"/>
        <v>675327.51839999994</v>
      </c>
      <c r="AA151" s="38">
        <f t="shared" si="47"/>
        <v>10663066</v>
      </c>
      <c r="AB151" s="38">
        <f t="shared" si="48"/>
        <v>675328</v>
      </c>
      <c r="AC151" s="38">
        <f t="shared" si="49"/>
        <v>9987738</v>
      </c>
      <c r="AD151" s="67"/>
      <c r="AE151" s="73"/>
      <c r="AF151" s="73"/>
      <c r="AG151" s="73"/>
      <c r="AH151" s="73"/>
      <c r="AI151" s="73"/>
      <c r="AJ151" s="73"/>
      <c r="AK151" s="180"/>
    </row>
    <row r="152" spans="1:37" s="66" customFormat="1">
      <c r="A152" s="72">
        <v>15200000</v>
      </c>
      <c r="B152" s="73" t="s">
        <v>20</v>
      </c>
      <c r="C152" s="68" t="s">
        <v>995</v>
      </c>
      <c r="D152" s="67">
        <v>1</v>
      </c>
      <c r="E152" s="36" t="s">
        <v>364</v>
      </c>
      <c r="F152" s="177"/>
      <c r="G152" s="177"/>
      <c r="H152" s="177"/>
      <c r="I152" s="177"/>
      <c r="J152" s="198">
        <v>43617</v>
      </c>
      <c r="K152" s="65" t="str">
        <f t="shared" si="50"/>
        <v>SI</v>
      </c>
      <c r="L152" s="139">
        <f t="shared" si="27"/>
        <v>4078945.94</v>
      </c>
      <c r="M152" s="67">
        <v>4078945.94</v>
      </c>
      <c r="N152" s="67">
        <v>4078945.94</v>
      </c>
      <c r="O152" s="139">
        <f t="shared" si="41"/>
        <v>4078945.94</v>
      </c>
      <c r="P152" s="72">
        <v>15921000</v>
      </c>
      <c r="Q152" s="73" t="s">
        <v>27</v>
      </c>
      <c r="R152" s="67">
        <v>0</v>
      </c>
      <c r="S152" s="67">
        <v>0</v>
      </c>
      <c r="T152" s="139">
        <f t="shared" si="42"/>
        <v>0</v>
      </c>
      <c r="U152" s="60">
        <f t="shared" si="43"/>
        <v>4078945.94</v>
      </c>
      <c r="V152" s="181">
        <v>25</v>
      </c>
      <c r="W152" s="116">
        <f t="shared" si="40"/>
        <v>19</v>
      </c>
      <c r="X152" s="116">
        <f t="shared" si="44"/>
        <v>281</v>
      </c>
      <c r="Y152" s="38">
        <f t="shared" si="45"/>
        <v>13596.486466666667</v>
      </c>
      <c r="Z152" s="38">
        <f t="shared" si="46"/>
        <v>258333.24286666667</v>
      </c>
      <c r="AA152" s="38">
        <f t="shared" si="47"/>
        <v>4078946</v>
      </c>
      <c r="AB152" s="38">
        <f t="shared" si="48"/>
        <v>258333</v>
      </c>
      <c r="AC152" s="38">
        <f t="shared" si="49"/>
        <v>3820613</v>
      </c>
      <c r="AD152" s="67"/>
      <c r="AE152" s="73"/>
      <c r="AF152" s="73"/>
      <c r="AG152" s="73"/>
      <c r="AH152" s="73"/>
      <c r="AI152" s="73"/>
      <c r="AJ152" s="73"/>
      <c r="AK152" s="180"/>
    </row>
    <row r="153" spans="1:37" s="66" customFormat="1">
      <c r="A153" s="72">
        <v>15200000</v>
      </c>
      <c r="B153" s="73" t="s">
        <v>20</v>
      </c>
      <c r="C153" s="68" t="s">
        <v>995</v>
      </c>
      <c r="D153" s="67">
        <v>1</v>
      </c>
      <c r="E153" s="36" t="s">
        <v>364</v>
      </c>
      <c r="F153" s="177"/>
      <c r="G153" s="177"/>
      <c r="H153" s="177"/>
      <c r="I153" s="177"/>
      <c r="J153" s="198">
        <v>43617</v>
      </c>
      <c r="K153" s="65" t="str">
        <f t="shared" si="50"/>
        <v>SI</v>
      </c>
      <c r="L153" s="139">
        <f t="shared" si="27"/>
        <v>10663066.08</v>
      </c>
      <c r="M153" s="67">
        <v>10663066.08</v>
      </c>
      <c r="N153" s="67">
        <v>10663066.08</v>
      </c>
      <c r="O153" s="139">
        <f t="shared" si="41"/>
        <v>10663066.08</v>
      </c>
      <c r="P153" s="72">
        <v>15921000</v>
      </c>
      <c r="Q153" s="73" t="s">
        <v>27</v>
      </c>
      <c r="R153" s="67">
        <v>0</v>
      </c>
      <c r="S153" s="67">
        <v>0</v>
      </c>
      <c r="T153" s="139">
        <f t="shared" si="42"/>
        <v>0</v>
      </c>
      <c r="U153" s="60">
        <f t="shared" si="43"/>
        <v>10663066.08</v>
      </c>
      <c r="V153" s="181">
        <v>25</v>
      </c>
      <c r="W153" s="116">
        <f t="shared" si="40"/>
        <v>19</v>
      </c>
      <c r="X153" s="116">
        <f t="shared" si="44"/>
        <v>281</v>
      </c>
      <c r="Y153" s="38">
        <f t="shared" si="45"/>
        <v>35543.553599999999</v>
      </c>
      <c r="Z153" s="38">
        <f t="shared" si="46"/>
        <v>675327.51839999994</v>
      </c>
      <c r="AA153" s="38">
        <f t="shared" si="47"/>
        <v>10663066</v>
      </c>
      <c r="AB153" s="38">
        <f t="shared" si="48"/>
        <v>675328</v>
      </c>
      <c r="AC153" s="38">
        <f t="shared" si="49"/>
        <v>9987738</v>
      </c>
      <c r="AD153" s="67"/>
      <c r="AE153" s="73"/>
      <c r="AF153" s="73"/>
      <c r="AG153" s="73"/>
      <c r="AH153" s="73"/>
      <c r="AI153" s="73"/>
      <c r="AJ153" s="73"/>
      <c r="AK153" s="180"/>
    </row>
    <row r="154" spans="1:37" s="66" customFormat="1">
      <c r="A154" s="72">
        <v>15200000</v>
      </c>
      <c r="B154" s="73" t="s">
        <v>20</v>
      </c>
      <c r="C154" s="68" t="s">
        <v>995</v>
      </c>
      <c r="D154" s="67">
        <v>1</v>
      </c>
      <c r="E154" s="36" t="s">
        <v>364</v>
      </c>
      <c r="F154" s="177"/>
      <c r="G154" s="177"/>
      <c r="H154" s="177"/>
      <c r="I154" s="177"/>
      <c r="J154" s="198">
        <v>43617</v>
      </c>
      <c r="K154" s="65" t="str">
        <f t="shared" si="50"/>
        <v>SI</v>
      </c>
      <c r="L154" s="139">
        <f t="shared" si="27"/>
        <v>4078945.94</v>
      </c>
      <c r="M154" s="67">
        <v>4078945.94</v>
      </c>
      <c r="N154" s="67">
        <v>4078945.94</v>
      </c>
      <c r="O154" s="139">
        <f t="shared" si="41"/>
        <v>4078945.94</v>
      </c>
      <c r="P154" s="72">
        <v>15921000</v>
      </c>
      <c r="Q154" s="73" t="s">
        <v>27</v>
      </c>
      <c r="R154" s="67">
        <v>0</v>
      </c>
      <c r="S154" s="67">
        <v>0</v>
      </c>
      <c r="T154" s="139">
        <f t="shared" si="42"/>
        <v>0</v>
      </c>
      <c r="U154" s="60">
        <f t="shared" si="43"/>
        <v>4078945.94</v>
      </c>
      <c r="V154" s="181">
        <v>25</v>
      </c>
      <c r="W154" s="116">
        <f t="shared" si="40"/>
        <v>19</v>
      </c>
      <c r="X154" s="116">
        <f t="shared" si="44"/>
        <v>281</v>
      </c>
      <c r="Y154" s="38">
        <f t="shared" si="45"/>
        <v>13596.486466666667</v>
      </c>
      <c r="Z154" s="38">
        <f t="shared" si="46"/>
        <v>258333.24286666667</v>
      </c>
      <c r="AA154" s="38">
        <f t="shared" si="47"/>
        <v>4078946</v>
      </c>
      <c r="AB154" s="38">
        <f t="shared" si="48"/>
        <v>258333</v>
      </c>
      <c r="AC154" s="38">
        <f t="shared" si="49"/>
        <v>3820613</v>
      </c>
      <c r="AD154" s="67"/>
      <c r="AE154" s="73"/>
      <c r="AF154" s="73"/>
      <c r="AG154" s="73"/>
      <c r="AH154" s="73"/>
      <c r="AI154" s="73"/>
      <c r="AJ154" s="73"/>
      <c r="AK154" s="180"/>
    </row>
    <row r="155" spans="1:37" s="66" customFormat="1">
      <c r="A155" s="72">
        <v>15200000</v>
      </c>
      <c r="B155" s="73" t="s">
        <v>20</v>
      </c>
      <c r="C155" s="68" t="s">
        <v>995</v>
      </c>
      <c r="D155" s="67">
        <v>1</v>
      </c>
      <c r="E155" s="36" t="s">
        <v>364</v>
      </c>
      <c r="F155" s="177"/>
      <c r="G155" s="177"/>
      <c r="H155" s="177"/>
      <c r="I155" s="177"/>
      <c r="J155" s="198">
        <v>43617</v>
      </c>
      <c r="K155" s="65" t="str">
        <f t="shared" si="50"/>
        <v>SI</v>
      </c>
      <c r="L155" s="139">
        <f t="shared" si="27"/>
        <v>10663066.08</v>
      </c>
      <c r="M155" s="67">
        <v>10663066.08</v>
      </c>
      <c r="N155" s="67">
        <v>10663066.08</v>
      </c>
      <c r="O155" s="139">
        <f t="shared" si="41"/>
        <v>10663066.08</v>
      </c>
      <c r="P155" s="72">
        <v>15921000</v>
      </c>
      <c r="Q155" s="73" t="s">
        <v>27</v>
      </c>
      <c r="R155" s="67">
        <v>0</v>
      </c>
      <c r="S155" s="67">
        <v>0</v>
      </c>
      <c r="T155" s="139">
        <f t="shared" si="42"/>
        <v>0</v>
      </c>
      <c r="U155" s="60">
        <f t="shared" si="43"/>
        <v>10663066.08</v>
      </c>
      <c r="V155" s="181">
        <v>25</v>
      </c>
      <c r="W155" s="116">
        <f t="shared" si="40"/>
        <v>19</v>
      </c>
      <c r="X155" s="116">
        <f t="shared" si="44"/>
        <v>281</v>
      </c>
      <c r="Y155" s="38">
        <f t="shared" si="45"/>
        <v>35543.553599999999</v>
      </c>
      <c r="Z155" s="38">
        <f t="shared" si="46"/>
        <v>675327.51839999994</v>
      </c>
      <c r="AA155" s="38">
        <f t="shared" si="47"/>
        <v>10663066</v>
      </c>
      <c r="AB155" s="38">
        <f t="shared" si="48"/>
        <v>675328</v>
      </c>
      <c r="AC155" s="38">
        <f t="shared" si="49"/>
        <v>9987738</v>
      </c>
      <c r="AD155" s="67"/>
      <c r="AE155" s="73"/>
      <c r="AF155" s="73"/>
      <c r="AG155" s="73"/>
      <c r="AH155" s="73"/>
      <c r="AI155" s="73"/>
      <c r="AJ155" s="73"/>
      <c r="AK155" s="180"/>
    </row>
    <row r="156" spans="1:37" s="66" customFormat="1">
      <c r="A156" s="72">
        <v>15200000</v>
      </c>
      <c r="B156" s="73" t="s">
        <v>20</v>
      </c>
      <c r="C156" s="68" t="s">
        <v>995</v>
      </c>
      <c r="D156" s="67">
        <v>1</v>
      </c>
      <c r="E156" s="36" t="s">
        <v>364</v>
      </c>
      <c r="F156" s="177"/>
      <c r="G156" s="177"/>
      <c r="H156" s="177"/>
      <c r="I156" s="177"/>
      <c r="J156" s="198">
        <v>43617</v>
      </c>
      <c r="K156" s="65" t="str">
        <f t="shared" si="50"/>
        <v>SI</v>
      </c>
      <c r="L156" s="139">
        <f t="shared" si="27"/>
        <v>4078945.94</v>
      </c>
      <c r="M156" s="67">
        <v>4078945.94</v>
      </c>
      <c r="N156" s="67">
        <v>4078945.94</v>
      </c>
      <c r="O156" s="139">
        <f t="shared" si="41"/>
        <v>4078945.94</v>
      </c>
      <c r="P156" s="72">
        <v>15921000</v>
      </c>
      <c r="Q156" s="73" t="s">
        <v>27</v>
      </c>
      <c r="R156" s="67">
        <v>0</v>
      </c>
      <c r="S156" s="67">
        <v>0</v>
      </c>
      <c r="T156" s="139">
        <f t="shared" si="42"/>
        <v>0</v>
      </c>
      <c r="U156" s="60">
        <f t="shared" si="43"/>
        <v>4078945.94</v>
      </c>
      <c r="V156" s="181">
        <v>25</v>
      </c>
      <c r="W156" s="116">
        <f t="shared" si="40"/>
        <v>19</v>
      </c>
      <c r="X156" s="116">
        <f t="shared" si="44"/>
        <v>281</v>
      </c>
      <c r="Y156" s="38">
        <f t="shared" si="45"/>
        <v>13596.486466666667</v>
      </c>
      <c r="Z156" s="38">
        <f t="shared" si="46"/>
        <v>258333.24286666667</v>
      </c>
      <c r="AA156" s="38">
        <f t="shared" si="47"/>
        <v>4078946</v>
      </c>
      <c r="AB156" s="38">
        <f t="shared" si="48"/>
        <v>258333</v>
      </c>
      <c r="AC156" s="38">
        <f t="shared" si="49"/>
        <v>3820613</v>
      </c>
      <c r="AD156" s="67"/>
      <c r="AE156" s="73"/>
      <c r="AF156" s="73"/>
      <c r="AG156" s="73"/>
      <c r="AH156" s="73"/>
      <c r="AI156" s="73"/>
      <c r="AJ156" s="73"/>
      <c r="AK156" s="180"/>
    </row>
    <row r="157" spans="1:37" s="66" customFormat="1">
      <c r="A157" s="72">
        <v>15200000</v>
      </c>
      <c r="B157" s="73" t="s">
        <v>20</v>
      </c>
      <c r="C157" s="68" t="s">
        <v>995</v>
      </c>
      <c r="D157" s="67">
        <v>1</v>
      </c>
      <c r="E157" s="36" t="s">
        <v>364</v>
      </c>
      <c r="F157" s="177"/>
      <c r="G157" s="177"/>
      <c r="H157" s="177"/>
      <c r="I157" s="177"/>
      <c r="J157" s="198">
        <v>43617</v>
      </c>
      <c r="K157" s="65" t="str">
        <f t="shared" si="50"/>
        <v>SI</v>
      </c>
      <c r="L157" s="139">
        <f t="shared" si="27"/>
        <v>10663066.08</v>
      </c>
      <c r="M157" s="67">
        <v>10663066.08</v>
      </c>
      <c r="N157" s="67">
        <v>10663066.08</v>
      </c>
      <c r="O157" s="139">
        <f t="shared" si="41"/>
        <v>10663066.08</v>
      </c>
      <c r="P157" s="72">
        <v>15921000</v>
      </c>
      <c r="Q157" s="73" t="s">
        <v>27</v>
      </c>
      <c r="R157" s="67">
        <v>0</v>
      </c>
      <c r="S157" s="67">
        <v>0</v>
      </c>
      <c r="T157" s="139">
        <f t="shared" si="42"/>
        <v>0</v>
      </c>
      <c r="U157" s="60">
        <f t="shared" si="43"/>
        <v>10663066.08</v>
      </c>
      <c r="V157" s="181">
        <v>25</v>
      </c>
      <c r="W157" s="116">
        <f t="shared" si="40"/>
        <v>19</v>
      </c>
      <c r="X157" s="116">
        <f t="shared" si="44"/>
        <v>281</v>
      </c>
      <c r="Y157" s="38">
        <f t="shared" si="45"/>
        <v>35543.553599999999</v>
      </c>
      <c r="Z157" s="38">
        <f t="shared" si="46"/>
        <v>675327.51839999994</v>
      </c>
      <c r="AA157" s="38">
        <f t="shared" si="47"/>
        <v>10663066</v>
      </c>
      <c r="AB157" s="38">
        <f t="shared" si="48"/>
        <v>675328</v>
      </c>
      <c r="AC157" s="38">
        <f t="shared" si="49"/>
        <v>9987738</v>
      </c>
      <c r="AD157" s="67"/>
      <c r="AE157" s="73"/>
      <c r="AF157" s="73"/>
      <c r="AG157" s="73"/>
      <c r="AH157" s="73"/>
      <c r="AI157" s="73"/>
      <c r="AJ157" s="73"/>
      <c r="AK157" s="180"/>
    </row>
    <row r="158" spans="1:37" s="66" customFormat="1">
      <c r="A158" s="72">
        <v>15200000</v>
      </c>
      <c r="B158" s="73" t="s">
        <v>20</v>
      </c>
      <c r="C158" s="68" t="s">
        <v>995</v>
      </c>
      <c r="D158" s="67">
        <v>1</v>
      </c>
      <c r="E158" s="36" t="s">
        <v>364</v>
      </c>
      <c r="F158" s="177"/>
      <c r="G158" s="177"/>
      <c r="H158" s="177"/>
      <c r="I158" s="177"/>
      <c r="J158" s="198">
        <v>43617</v>
      </c>
      <c r="K158" s="65" t="str">
        <f t="shared" si="50"/>
        <v>SI</v>
      </c>
      <c r="L158" s="139">
        <f t="shared" si="27"/>
        <v>4078945.94</v>
      </c>
      <c r="M158" s="67">
        <v>4078945.94</v>
      </c>
      <c r="N158" s="67">
        <v>4078945.94</v>
      </c>
      <c r="O158" s="139">
        <f t="shared" si="41"/>
        <v>4078945.94</v>
      </c>
      <c r="P158" s="72">
        <v>15921000</v>
      </c>
      <c r="Q158" s="73" t="s">
        <v>27</v>
      </c>
      <c r="R158" s="67">
        <v>0</v>
      </c>
      <c r="S158" s="67">
        <v>0</v>
      </c>
      <c r="T158" s="139">
        <f t="shared" si="42"/>
        <v>0</v>
      </c>
      <c r="U158" s="60">
        <f t="shared" si="43"/>
        <v>4078945.94</v>
      </c>
      <c r="V158" s="181">
        <v>25</v>
      </c>
      <c r="W158" s="116">
        <f t="shared" si="40"/>
        <v>19</v>
      </c>
      <c r="X158" s="116">
        <f t="shared" si="44"/>
        <v>281</v>
      </c>
      <c r="Y158" s="38">
        <f t="shared" si="45"/>
        <v>13596.486466666667</v>
      </c>
      <c r="Z158" s="38">
        <f t="shared" si="46"/>
        <v>258333.24286666667</v>
      </c>
      <c r="AA158" s="38">
        <f t="shared" si="47"/>
        <v>4078946</v>
      </c>
      <c r="AB158" s="38">
        <f t="shared" si="48"/>
        <v>258333</v>
      </c>
      <c r="AC158" s="38">
        <f t="shared" si="49"/>
        <v>3820613</v>
      </c>
      <c r="AD158" s="67"/>
      <c r="AE158" s="73"/>
      <c r="AF158" s="73"/>
      <c r="AG158" s="73"/>
      <c r="AH158" s="73"/>
      <c r="AI158" s="73"/>
      <c r="AJ158" s="73"/>
      <c r="AK158" s="180"/>
    </row>
    <row r="159" spans="1:37" s="66" customFormat="1">
      <c r="A159" s="72">
        <v>15200000</v>
      </c>
      <c r="B159" s="73" t="s">
        <v>20</v>
      </c>
      <c r="C159" s="68" t="s">
        <v>995</v>
      </c>
      <c r="D159" s="67">
        <v>1</v>
      </c>
      <c r="E159" s="36" t="s">
        <v>364</v>
      </c>
      <c r="F159" s="177"/>
      <c r="G159" s="177"/>
      <c r="H159" s="177"/>
      <c r="I159" s="177"/>
      <c r="J159" s="198">
        <v>43617</v>
      </c>
      <c r="K159" s="65" t="str">
        <f t="shared" si="50"/>
        <v>SI</v>
      </c>
      <c r="L159" s="139">
        <f t="shared" si="27"/>
        <v>10663066.08</v>
      </c>
      <c r="M159" s="67">
        <v>10663066.08</v>
      </c>
      <c r="N159" s="67">
        <v>10663066.08</v>
      </c>
      <c r="O159" s="139">
        <f t="shared" si="41"/>
        <v>10663066.08</v>
      </c>
      <c r="P159" s="72">
        <v>15921000</v>
      </c>
      <c r="Q159" s="73" t="s">
        <v>27</v>
      </c>
      <c r="R159" s="67">
        <v>0</v>
      </c>
      <c r="S159" s="67">
        <v>0</v>
      </c>
      <c r="T159" s="139">
        <f t="shared" si="42"/>
        <v>0</v>
      </c>
      <c r="U159" s="60">
        <f t="shared" si="43"/>
        <v>10663066.08</v>
      </c>
      <c r="V159" s="181">
        <v>25</v>
      </c>
      <c r="W159" s="116">
        <f t="shared" si="40"/>
        <v>19</v>
      </c>
      <c r="X159" s="116">
        <f t="shared" si="44"/>
        <v>281</v>
      </c>
      <c r="Y159" s="38">
        <f t="shared" si="45"/>
        <v>35543.553599999999</v>
      </c>
      <c r="Z159" s="38">
        <f t="shared" si="46"/>
        <v>675327.51839999994</v>
      </c>
      <c r="AA159" s="38">
        <f t="shared" si="47"/>
        <v>10663066</v>
      </c>
      <c r="AB159" s="38">
        <f t="shared" si="48"/>
        <v>675328</v>
      </c>
      <c r="AC159" s="38">
        <f t="shared" si="49"/>
        <v>9987738</v>
      </c>
      <c r="AD159" s="67"/>
      <c r="AE159" s="73"/>
      <c r="AF159" s="73"/>
      <c r="AG159" s="73"/>
      <c r="AH159" s="73"/>
      <c r="AI159" s="73"/>
      <c r="AJ159" s="73"/>
      <c r="AK159" s="180"/>
    </row>
    <row r="160" spans="1:37" s="66" customFormat="1">
      <c r="A160" s="72">
        <v>15200000</v>
      </c>
      <c r="B160" s="73" t="s">
        <v>20</v>
      </c>
      <c r="C160" s="68" t="s">
        <v>995</v>
      </c>
      <c r="D160" s="67">
        <v>1</v>
      </c>
      <c r="E160" s="36" t="s">
        <v>364</v>
      </c>
      <c r="F160" s="177"/>
      <c r="G160" s="177"/>
      <c r="H160" s="177"/>
      <c r="I160" s="177"/>
      <c r="J160" s="198">
        <v>43617</v>
      </c>
      <c r="K160" s="65" t="str">
        <f t="shared" si="50"/>
        <v>SI</v>
      </c>
      <c r="L160" s="139">
        <f t="shared" si="27"/>
        <v>4078945.94</v>
      </c>
      <c r="M160" s="67">
        <v>4078945.94</v>
      </c>
      <c r="N160" s="67">
        <v>4078945.94</v>
      </c>
      <c r="O160" s="139">
        <f t="shared" si="41"/>
        <v>4078945.94</v>
      </c>
      <c r="P160" s="72">
        <v>15921000</v>
      </c>
      <c r="Q160" s="73" t="s">
        <v>27</v>
      </c>
      <c r="R160" s="67">
        <v>0</v>
      </c>
      <c r="S160" s="67">
        <v>0</v>
      </c>
      <c r="T160" s="139">
        <f t="shared" si="42"/>
        <v>0</v>
      </c>
      <c r="U160" s="60">
        <f t="shared" si="43"/>
        <v>4078945.94</v>
      </c>
      <c r="V160" s="181">
        <v>25</v>
      </c>
      <c r="W160" s="116">
        <f t="shared" si="40"/>
        <v>19</v>
      </c>
      <c r="X160" s="116">
        <f t="shared" si="44"/>
        <v>281</v>
      </c>
      <c r="Y160" s="38">
        <f t="shared" si="45"/>
        <v>13596.486466666667</v>
      </c>
      <c r="Z160" s="38">
        <f t="shared" si="46"/>
        <v>258333.24286666667</v>
      </c>
      <c r="AA160" s="38">
        <f t="shared" si="47"/>
        <v>4078946</v>
      </c>
      <c r="AB160" s="38">
        <f t="shared" si="48"/>
        <v>258333</v>
      </c>
      <c r="AC160" s="38">
        <f t="shared" si="49"/>
        <v>3820613</v>
      </c>
      <c r="AD160" s="67"/>
      <c r="AE160" s="73"/>
      <c r="AF160" s="73"/>
      <c r="AG160" s="73"/>
      <c r="AH160" s="73"/>
      <c r="AI160" s="73"/>
      <c r="AJ160" s="73"/>
      <c r="AK160" s="180"/>
    </row>
    <row r="161" spans="1:37" s="66" customFormat="1">
      <c r="A161" s="72">
        <v>15200000</v>
      </c>
      <c r="B161" s="73" t="s">
        <v>20</v>
      </c>
      <c r="C161" s="68" t="s">
        <v>995</v>
      </c>
      <c r="D161" s="67">
        <v>1</v>
      </c>
      <c r="E161" s="36" t="s">
        <v>364</v>
      </c>
      <c r="F161" s="177"/>
      <c r="G161" s="177"/>
      <c r="H161" s="177"/>
      <c r="I161" s="177"/>
      <c r="J161" s="198">
        <v>43617</v>
      </c>
      <c r="K161" s="65" t="str">
        <f t="shared" ref="K161:K192" si="51">IF(L161&gt;($M$26*50),"SI","NO")</f>
        <v>SI</v>
      </c>
      <c r="L161" s="139">
        <f t="shared" si="27"/>
        <v>10663066.08</v>
      </c>
      <c r="M161" s="67">
        <v>10663066.08</v>
      </c>
      <c r="N161" s="67">
        <v>10663066.08</v>
      </c>
      <c r="O161" s="139">
        <f t="shared" si="41"/>
        <v>10663066.08</v>
      </c>
      <c r="P161" s="72">
        <v>15921000</v>
      </c>
      <c r="Q161" s="73" t="s">
        <v>27</v>
      </c>
      <c r="R161" s="67">
        <v>0</v>
      </c>
      <c r="S161" s="67">
        <v>0</v>
      </c>
      <c r="T161" s="139">
        <f t="shared" si="42"/>
        <v>0</v>
      </c>
      <c r="U161" s="60">
        <f t="shared" si="43"/>
        <v>10663066.08</v>
      </c>
      <c r="V161" s="181">
        <v>25</v>
      </c>
      <c r="W161" s="116">
        <f t="shared" ref="W161:W221" si="52">IF(ROUND(($W$27-J161)/30,0)&gt;(V161*12),(V161*12),(ROUND(($W$27-J161)/30,0)))</f>
        <v>19</v>
      </c>
      <c r="X161" s="116">
        <f t="shared" si="44"/>
        <v>281</v>
      </c>
      <c r="Y161" s="38">
        <f t="shared" si="45"/>
        <v>35543.553599999999</v>
      </c>
      <c r="Z161" s="38">
        <f t="shared" si="46"/>
        <v>675327.51839999994</v>
      </c>
      <c r="AA161" s="38">
        <f t="shared" si="47"/>
        <v>10663066</v>
      </c>
      <c r="AB161" s="38">
        <f t="shared" si="48"/>
        <v>675328</v>
      </c>
      <c r="AC161" s="38">
        <f t="shared" si="49"/>
        <v>9987738</v>
      </c>
      <c r="AD161" s="67"/>
      <c r="AE161" s="73"/>
      <c r="AF161" s="73"/>
      <c r="AG161" s="73"/>
      <c r="AH161" s="73"/>
      <c r="AI161" s="73"/>
      <c r="AJ161" s="73"/>
      <c r="AK161" s="180"/>
    </row>
    <row r="162" spans="1:37" s="66" customFormat="1">
      <c r="A162" s="72">
        <v>15200000</v>
      </c>
      <c r="B162" s="73" t="s">
        <v>20</v>
      </c>
      <c r="C162" s="68" t="s">
        <v>995</v>
      </c>
      <c r="D162" s="67">
        <v>1</v>
      </c>
      <c r="E162" s="36" t="s">
        <v>364</v>
      </c>
      <c r="F162" s="177"/>
      <c r="G162" s="177"/>
      <c r="H162" s="177"/>
      <c r="I162" s="177"/>
      <c r="J162" s="198">
        <v>43617</v>
      </c>
      <c r="K162" s="65" t="str">
        <f t="shared" si="51"/>
        <v>SI</v>
      </c>
      <c r="L162" s="139">
        <f t="shared" si="27"/>
        <v>4078945.94</v>
      </c>
      <c r="M162" s="67">
        <v>4078945.94</v>
      </c>
      <c r="N162" s="67">
        <v>4078945.94</v>
      </c>
      <c r="O162" s="139">
        <f t="shared" ref="O162:O198" si="53">IF(K162="SI",N162,0)</f>
        <v>4078945.94</v>
      </c>
      <c r="P162" s="72">
        <v>15921000</v>
      </c>
      <c r="Q162" s="73" t="s">
        <v>27</v>
      </c>
      <c r="R162" s="67">
        <v>0</v>
      </c>
      <c r="S162" s="67">
        <v>0</v>
      </c>
      <c r="T162" s="139">
        <f t="shared" ref="T162:T198" si="54">IF(O162&gt;0,S162,0)</f>
        <v>0</v>
      </c>
      <c r="U162" s="60">
        <f t="shared" ref="U162:U198" si="55">IF(O162&gt;0,N162-S162,0)</f>
        <v>4078945.94</v>
      </c>
      <c r="V162" s="181">
        <v>25</v>
      </c>
      <c r="W162" s="116">
        <f t="shared" si="52"/>
        <v>19</v>
      </c>
      <c r="X162" s="116">
        <f t="shared" si="44"/>
        <v>281</v>
      </c>
      <c r="Y162" s="38">
        <f t="shared" si="45"/>
        <v>13596.486466666667</v>
      </c>
      <c r="Z162" s="38">
        <f t="shared" si="46"/>
        <v>258333.24286666667</v>
      </c>
      <c r="AA162" s="38">
        <f t="shared" si="47"/>
        <v>4078946</v>
      </c>
      <c r="AB162" s="38">
        <f t="shared" si="48"/>
        <v>258333</v>
      </c>
      <c r="AC162" s="38">
        <f t="shared" si="49"/>
        <v>3820613</v>
      </c>
      <c r="AD162" s="67"/>
      <c r="AE162" s="73"/>
      <c r="AF162" s="73"/>
      <c r="AG162" s="73"/>
      <c r="AH162" s="73"/>
      <c r="AI162" s="73"/>
      <c r="AJ162" s="73"/>
      <c r="AK162" s="180"/>
    </row>
    <row r="163" spans="1:37" s="66" customFormat="1">
      <c r="A163" s="72">
        <v>15200000</v>
      </c>
      <c r="B163" s="73" t="s">
        <v>20</v>
      </c>
      <c r="C163" s="68" t="s">
        <v>995</v>
      </c>
      <c r="D163" s="67">
        <v>1</v>
      </c>
      <c r="E163" s="36" t="s">
        <v>364</v>
      </c>
      <c r="F163" s="177"/>
      <c r="G163" s="177"/>
      <c r="H163" s="177"/>
      <c r="I163" s="177"/>
      <c r="J163" s="198">
        <v>43617</v>
      </c>
      <c r="K163" s="65" t="str">
        <f t="shared" si="51"/>
        <v>SI</v>
      </c>
      <c r="L163" s="139">
        <f t="shared" si="27"/>
        <v>10663066.08</v>
      </c>
      <c r="M163" s="67">
        <v>10663066.08</v>
      </c>
      <c r="N163" s="67">
        <v>10663066.08</v>
      </c>
      <c r="O163" s="139">
        <f t="shared" si="53"/>
        <v>10663066.08</v>
      </c>
      <c r="P163" s="72">
        <v>15921000</v>
      </c>
      <c r="Q163" s="73" t="s">
        <v>27</v>
      </c>
      <c r="R163" s="67">
        <v>0</v>
      </c>
      <c r="S163" s="67">
        <v>0</v>
      </c>
      <c r="T163" s="139">
        <f t="shared" si="54"/>
        <v>0</v>
      </c>
      <c r="U163" s="60">
        <f t="shared" si="55"/>
        <v>10663066.08</v>
      </c>
      <c r="V163" s="181">
        <v>25</v>
      </c>
      <c r="W163" s="116">
        <f t="shared" si="52"/>
        <v>19</v>
      </c>
      <c r="X163" s="116">
        <f t="shared" si="44"/>
        <v>281</v>
      </c>
      <c r="Y163" s="38">
        <f t="shared" si="45"/>
        <v>35543.553599999999</v>
      </c>
      <c r="Z163" s="38">
        <f t="shared" si="46"/>
        <v>675327.51839999994</v>
      </c>
      <c r="AA163" s="38">
        <f t="shared" si="47"/>
        <v>10663066</v>
      </c>
      <c r="AB163" s="38">
        <f t="shared" si="48"/>
        <v>675328</v>
      </c>
      <c r="AC163" s="38">
        <f t="shared" si="49"/>
        <v>9987738</v>
      </c>
      <c r="AD163" s="67"/>
      <c r="AE163" s="73"/>
      <c r="AF163" s="73"/>
      <c r="AG163" s="73"/>
      <c r="AH163" s="73"/>
      <c r="AI163" s="73"/>
      <c r="AJ163" s="73"/>
      <c r="AK163" s="180"/>
    </row>
    <row r="164" spans="1:37" s="66" customFormat="1">
      <c r="A164" s="72">
        <v>15200000</v>
      </c>
      <c r="B164" s="73" t="s">
        <v>20</v>
      </c>
      <c r="C164" s="68" t="s">
        <v>995</v>
      </c>
      <c r="D164" s="67">
        <v>1</v>
      </c>
      <c r="E164" s="36" t="s">
        <v>364</v>
      </c>
      <c r="F164" s="177"/>
      <c r="G164" s="177"/>
      <c r="H164" s="177"/>
      <c r="I164" s="177"/>
      <c r="J164" s="198">
        <v>43617</v>
      </c>
      <c r="K164" s="65" t="str">
        <f t="shared" si="51"/>
        <v>SI</v>
      </c>
      <c r="L164" s="139">
        <f t="shared" si="27"/>
        <v>4078945.94</v>
      </c>
      <c r="M164" s="67">
        <v>4078945.94</v>
      </c>
      <c r="N164" s="67">
        <v>4078945.94</v>
      </c>
      <c r="O164" s="139">
        <f t="shared" si="53"/>
        <v>4078945.94</v>
      </c>
      <c r="P164" s="72">
        <v>15921000</v>
      </c>
      <c r="Q164" s="73" t="s">
        <v>27</v>
      </c>
      <c r="R164" s="67">
        <v>0</v>
      </c>
      <c r="S164" s="67">
        <v>0</v>
      </c>
      <c r="T164" s="139">
        <f t="shared" si="54"/>
        <v>0</v>
      </c>
      <c r="U164" s="60">
        <f t="shared" si="55"/>
        <v>4078945.94</v>
      </c>
      <c r="V164" s="181">
        <v>25</v>
      </c>
      <c r="W164" s="116">
        <f t="shared" si="52"/>
        <v>19</v>
      </c>
      <c r="X164" s="116">
        <f t="shared" si="44"/>
        <v>281</v>
      </c>
      <c r="Y164" s="38">
        <f t="shared" si="45"/>
        <v>13596.486466666667</v>
      </c>
      <c r="Z164" s="38">
        <f t="shared" si="46"/>
        <v>258333.24286666667</v>
      </c>
      <c r="AA164" s="38">
        <f t="shared" si="47"/>
        <v>4078946</v>
      </c>
      <c r="AB164" s="38">
        <f t="shared" si="48"/>
        <v>258333</v>
      </c>
      <c r="AC164" s="38">
        <f t="shared" si="49"/>
        <v>3820613</v>
      </c>
      <c r="AD164" s="67"/>
      <c r="AE164" s="73"/>
      <c r="AF164" s="73"/>
      <c r="AG164" s="73"/>
      <c r="AH164" s="73"/>
      <c r="AI164" s="73"/>
      <c r="AJ164" s="73"/>
      <c r="AK164" s="180"/>
    </row>
    <row r="165" spans="1:37" s="66" customFormat="1">
      <c r="A165" s="72">
        <v>15200000</v>
      </c>
      <c r="B165" s="73" t="s">
        <v>20</v>
      </c>
      <c r="C165" s="68" t="s">
        <v>995</v>
      </c>
      <c r="D165" s="67">
        <v>1</v>
      </c>
      <c r="E165" s="36" t="s">
        <v>364</v>
      </c>
      <c r="F165" s="177"/>
      <c r="G165" s="177"/>
      <c r="H165" s="177"/>
      <c r="I165" s="177"/>
      <c r="J165" s="198">
        <v>43617</v>
      </c>
      <c r="K165" s="65" t="str">
        <f t="shared" si="51"/>
        <v>SI</v>
      </c>
      <c r="L165" s="139">
        <f t="shared" si="27"/>
        <v>10663066.08</v>
      </c>
      <c r="M165" s="67">
        <v>10663066.08</v>
      </c>
      <c r="N165" s="67">
        <v>10663066.08</v>
      </c>
      <c r="O165" s="139">
        <f t="shared" si="53"/>
        <v>10663066.08</v>
      </c>
      <c r="P165" s="72">
        <v>15921000</v>
      </c>
      <c r="Q165" s="73" t="s">
        <v>27</v>
      </c>
      <c r="R165" s="67">
        <v>0</v>
      </c>
      <c r="S165" s="67">
        <v>0</v>
      </c>
      <c r="T165" s="139">
        <f t="shared" si="54"/>
        <v>0</v>
      </c>
      <c r="U165" s="60">
        <f t="shared" si="55"/>
        <v>10663066.08</v>
      </c>
      <c r="V165" s="181">
        <v>25</v>
      </c>
      <c r="W165" s="116">
        <f t="shared" si="52"/>
        <v>19</v>
      </c>
      <c r="X165" s="116">
        <f t="shared" si="44"/>
        <v>281</v>
      </c>
      <c r="Y165" s="38">
        <f t="shared" si="45"/>
        <v>35543.553599999999</v>
      </c>
      <c r="Z165" s="38">
        <f t="shared" si="46"/>
        <v>675327.51839999994</v>
      </c>
      <c r="AA165" s="38">
        <f t="shared" si="47"/>
        <v>10663066</v>
      </c>
      <c r="AB165" s="38">
        <f t="shared" si="48"/>
        <v>675328</v>
      </c>
      <c r="AC165" s="38">
        <f t="shared" si="49"/>
        <v>9987738</v>
      </c>
      <c r="AD165" s="67"/>
      <c r="AE165" s="73"/>
      <c r="AF165" s="73"/>
      <c r="AG165" s="73"/>
      <c r="AH165" s="73"/>
      <c r="AI165" s="73"/>
      <c r="AJ165" s="73"/>
      <c r="AK165" s="180"/>
    </row>
    <row r="166" spans="1:37" s="66" customFormat="1">
      <c r="A166" s="72">
        <v>15200000</v>
      </c>
      <c r="B166" s="73" t="s">
        <v>20</v>
      </c>
      <c r="C166" s="68" t="s">
        <v>995</v>
      </c>
      <c r="D166" s="67">
        <v>1</v>
      </c>
      <c r="E166" s="36" t="s">
        <v>364</v>
      </c>
      <c r="F166" s="177"/>
      <c r="G166" s="177"/>
      <c r="H166" s="177"/>
      <c r="I166" s="177"/>
      <c r="J166" s="198">
        <v>43617</v>
      </c>
      <c r="K166" s="65" t="str">
        <f t="shared" si="51"/>
        <v>SI</v>
      </c>
      <c r="L166" s="139">
        <f t="shared" si="27"/>
        <v>4078945.94</v>
      </c>
      <c r="M166" s="67">
        <v>4078945.94</v>
      </c>
      <c r="N166" s="67">
        <v>4078945.94</v>
      </c>
      <c r="O166" s="139">
        <f t="shared" si="53"/>
        <v>4078945.94</v>
      </c>
      <c r="P166" s="72">
        <v>15921000</v>
      </c>
      <c r="Q166" s="73" t="s">
        <v>27</v>
      </c>
      <c r="R166" s="67">
        <v>0</v>
      </c>
      <c r="S166" s="67">
        <v>0</v>
      </c>
      <c r="T166" s="139">
        <f t="shared" si="54"/>
        <v>0</v>
      </c>
      <c r="U166" s="60">
        <f t="shared" si="55"/>
        <v>4078945.94</v>
      </c>
      <c r="V166" s="181">
        <v>25</v>
      </c>
      <c r="W166" s="116">
        <f t="shared" si="52"/>
        <v>19</v>
      </c>
      <c r="X166" s="116">
        <f t="shared" si="44"/>
        <v>281</v>
      </c>
      <c r="Y166" s="38">
        <f t="shared" si="45"/>
        <v>13596.486466666667</v>
      </c>
      <c r="Z166" s="38">
        <f t="shared" si="46"/>
        <v>258333.24286666667</v>
      </c>
      <c r="AA166" s="38">
        <f t="shared" si="47"/>
        <v>4078946</v>
      </c>
      <c r="AB166" s="38">
        <f t="shared" si="48"/>
        <v>258333</v>
      </c>
      <c r="AC166" s="38">
        <f t="shared" si="49"/>
        <v>3820613</v>
      </c>
      <c r="AD166" s="67"/>
      <c r="AE166" s="73"/>
      <c r="AF166" s="73"/>
      <c r="AG166" s="73"/>
      <c r="AH166" s="73"/>
      <c r="AI166" s="73"/>
      <c r="AJ166" s="73"/>
      <c r="AK166" s="180"/>
    </row>
    <row r="167" spans="1:37" s="66" customFormat="1">
      <c r="A167" s="72">
        <v>15200000</v>
      </c>
      <c r="B167" s="73" t="s">
        <v>20</v>
      </c>
      <c r="C167" s="68" t="s">
        <v>995</v>
      </c>
      <c r="D167" s="67">
        <v>1</v>
      </c>
      <c r="E167" s="36" t="s">
        <v>364</v>
      </c>
      <c r="F167" s="177"/>
      <c r="G167" s="177"/>
      <c r="H167" s="177"/>
      <c r="I167" s="177"/>
      <c r="J167" s="198">
        <v>43617</v>
      </c>
      <c r="K167" s="65" t="str">
        <f t="shared" si="51"/>
        <v>SI</v>
      </c>
      <c r="L167" s="139">
        <f t="shared" si="27"/>
        <v>10663066.08</v>
      </c>
      <c r="M167" s="67">
        <v>10663066.08</v>
      </c>
      <c r="N167" s="67">
        <v>10663066.08</v>
      </c>
      <c r="O167" s="139">
        <f t="shared" si="53"/>
        <v>10663066.08</v>
      </c>
      <c r="P167" s="72">
        <v>15921000</v>
      </c>
      <c r="Q167" s="73" t="s">
        <v>27</v>
      </c>
      <c r="R167" s="67">
        <v>0</v>
      </c>
      <c r="S167" s="67">
        <v>0</v>
      </c>
      <c r="T167" s="139">
        <f t="shared" si="54"/>
        <v>0</v>
      </c>
      <c r="U167" s="60">
        <f t="shared" si="55"/>
        <v>10663066.08</v>
      </c>
      <c r="V167" s="181">
        <v>25</v>
      </c>
      <c r="W167" s="116">
        <f t="shared" si="52"/>
        <v>19</v>
      </c>
      <c r="X167" s="116">
        <f t="shared" si="44"/>
        <v>281</v>
      </c>
      <c r="Y167" s="38">
        <f t="shared" si="45"/>
        <v>35543.553599999999</v>
      </c>
      <c r="Z167" s="38">
        <f t="shared" si="46"/>
        <v>675327.51839999994</v>
      </c>
      <c r="AA167" s="38">
        <f t="shared" si="47"/>
        <v>10663066</v>
      </c>
      <c r="AB167" s="38">
        <f t="shared" si="48"/>
        <v>675328</v>
      </c>
      <c r="AC167" s="38">
        <f t="shared" si="49"/>
        <v>9987738</v>
      </c>
      <c r="AD167" s="67"/>
      <c r="AE167" s="73"/>
      <c r="AF167" s="73"/>
      <c r="AG167" s="73"/>
      <c r="AH167" s="73"/>
      <c r="AI167" s="73"/>
      <c r="AJ167" s="73"/>
      <c r="AK167" s="180"/>
    </row>
    <row r="168" spans="1:37" s="66" customFormat="1">
      <c r="A168" s="72">
        <v>15200000</v>
      </c>
      <c r="B168" s="73" t="s">
        <v>20</v>
      </c>
      <c r="C168" s="68" t="s">
        <v>995</v>
      </c>
      <c r="D168" s="67">
        <v>1</v>
      </c>
      <c r="E168" s="36" t="s">
        <v>364</v>
      </c>
      <c r="F168" s="177"/>
      <c r="G168" s="177"/>
      <c r="H168" s="177"/>
      <c r="I168" s="177"/>
      <c r="J168" s="198">
        <v>43617</v>
      </c>
      <c r="K168" s="65" t="str">
        <f t="shared" si="51"/>
        <v>SI</v>
      </c>
      <c r="L168" s="139">
        <f t="shared" si="27"/>
        <v>4078945.94</v>
      </c>
      <c r="M168" s="67">
        <v>4078945.94</v>
      </c>
      <c r="N168" s="67">
        <v>4078945.94</v>
      </c>
      <c r="O168" s="139">
        <f t="shared" si="53"/>
        <v>4078945.94</v>
      </c>
      <c r="P168" s="72">
        <v>15921000</v>
      </c>
      <c r="Q168" s="73" t="s">
        <v>27</v>
      </c>
      <c r="R168" s="67">
        <v>0</v>
      </c>
      <c r="S168" s="67">
        <v>0</v>
      </c>
      <c r="T168" s="139">
        <f t="shared" si="54"/>
        <v>0</v>
      </c>
      <c r="U168" s="60">
        <f t="shared" si="55"/>
        <v>4078945.94</v>
      </c>
      <c r="V168" s="181">
        <v>25</v>
      </c>
      <c r="W168" s="116">
        <f t="shared" si="52"/>
        <v>19</v>
      </c>
      <c r="X168" s="116">
        <f t="shared" si="44"/>
        <v>281</v>
      </c>
      <c r="Y168" s="38">
        <f t="shared" si="45"/>
        <v>13596.486466666667</v>
      </c>
      <c r="Z168" s="38">
        <f t="shared" si="46"/>
        <v>258333.24286666667</v>
      </c>
      <c r="AA168" s="38">
        <f t="shared" si="47"/>
        <v>4078946</v>
      </c>
      <c r="AB168" s="38">
        <f t="shared" si="48"/>
        <v>258333</v>
      </c>
      <c r="AC168" s="38">
        <f t="shared" si="49"/>
        <v>3820613</v>
      </c>
      <c r="AD168" s="67"/>
      <c r="AE168" s="73"/>
      <c r="AF168" s="73"/>
      <c r="AG168" s="73"/>
      <c r="AH168" s="73"/>
      <c r="AI168" s="73"/>
      <c r="AJ168" s="73"/>
      <c r="AK168" s="180"/>
    </row>
    <row r="169" spans="1:37" s="66" customFormat="1">
      <c r="A169" s="72">
        <v>15200000</v>
      </c>
      <c r="B169" s="73" t="s">
        <v>20</v>
      </c>
      <c r="C169" s="68" t="s">
        <v>995</v>
      </c>
      <c r="D169" s="67">
        <v>1</v>
      </c>
      <c r="E169" s="36" t="s">
        <v>364</v>
      </c>
      <c r="F169" s="177"/>
      <c r="G169" s="177"/>
      <c r="H169" s="177"/>
      <c r="I169" s="177"/>
      <c r="J169" s="198">
        <v>43617</v>
      </c>
      <c r="K169" s="65" t="str">
        <f t="shared" si="51"/>
        <v>SI</v>
      </c>
      <c r="L169" s="139">
        <f t="shared" si="27"/>
        <v>10663066.08</v>
      </c>
      <c r="M169" s="67">
        <v>10663066.08</v>
      </c>
      <c r="N169" s="67">
        <v>10663066.08</v>
      </c>
      <c r="O169" s="139">
        <f t="shared" si="53"/>
        <v>10663066.08</v>
      </c>
      <c r="P169" s="72">
        <v>15921000</v>
      </c>
      <c r="Q169" s="73" t="s">
        <v>27</v>
      </c>
      <c r="R169" s="67">
        <v>0</v>
      </c>
      <c r="S169" s="67">
        <v>0</v>
      </c>
      <c r="T169" s="139">
        <f t="shared" si="54"/>
        <v>0</v>
      </c>
      <c r="U169" s="60">
        <f t="shared" si="55"/>
        <v>10663066.08</v>
      </c>
      <c r="V169" s="181">
        <v>25</v>
      </c>
      <c r="W169" s="116">
        <f t="shared" si="52"/>
        <v>19</v>
      </c>
      <c r="X169" s="116">
        <f t="shared" si="44"/>
        <v>281</v>
      </c>
      <c r="Y169" s="38">
        <f t="shared" si="45"/>
        <v>35543.553599999999</v>
      </c>
      <c r="Z169" s="38">
        <f t="shared" si="46"/>
        <v>675327.51839999994</v>
      </c>
      <c r="AA169" s="38">
        <f t="shared" si="47"/>
        <v>10663066</v>
      </c>
      <c r="AB169" s="38">
        <f t="shared" si="48"/>
        <v>675328</v>
      </c>
      <c r="AC169" s="38">
        <f t="shared" si="49"/>
        <v>9987738</v>
      </c>
      <c r="AD169" s="67"/>
      <c r="AE169" s="73"/>
      <c r="AF169" s="73"/>
      <c r="AG169" s="73"/>
      <c r="AH169" s="73"/>
      <c r="AI169" s="73"/>
      <c r="AJ169" s="73"/>
      <c r="AK169" s="180"/>
    </row>
    <row r="170" spans="1:37" s="66" customFormat="1">
      <c r="A170" s="72">
        <v>15200000</v>
      </c>
      <c r="B170" s="73" t="s">
        <v>20</v>
      </c>
      <c r="C170" s="68" t="s">
        <v>995</v>
      </c>
      <c r="D170" s="67">
        <v>1</v>
      </c>
      <c r="E170" s="36" t="s">
        <v>364</v>
      </c>
      <c r="F170" s="177"/>
      <c r="G170" s="177"/>
      <c r="H170" s="177"/>
      <c r="I170" s="177"/>
      <c r="J170" s="198">
        <v>43617</v>
      </c>
      <c r="K170" s="65" t="str">
        <f t="shared" si="51"/>
        <v>SI</v>
      </c>
      <c r="L170" s="139">
        <f t="shared" si="27"/>
        <v>4078945.94</v>
      </c>
      <c r="M170" s="67">
        <v>4078945.94</v>
      </c>
      <c r="N170" s="67">
        <v>4078945.94</v>
      </c>
      <c r="O170" s="139">
        <f t="shared" si="53"/>
        <v>4078945.94</v>
      </c>
      <c r="P170" s="72">
        <v>15921000</v>
      </c>
      <c r="Q170" s="73" t="s">
        <v>27</v>
      </c>
      <c r="R170" s="67">
        <v>0</v>
      </c>
      <c r="S170" s="67">
        <v>0</v>
      </c>
      <c r="T170" s="139">
        <f t="shared" si="54"/>
        <v>0</v>
      </c>
      <c r="U170" s="60">
        <f t="shared" si="55"/>
        <v>4078945.94</v>
      </c>
      <c r="V170" s="181">
        <v>25</v>
      </c>
      <c r="W170" s="116">
        <f t="shared" si="52"/>
        <v>19</v>
      </c>
      <c r="X170" s="116">
        <f t="shared" si="44"/>
        <v>281</v>
      </c>
      <c r="Y170" s="38">
        <f t="shared" si="45"/>
        <v>13596.486466666667</v>
      </c>
      <c r="Z170" s="38">
        <f t="shared" si="46"/>
        <v>258333.24286666667</v>
      </c>
      <c r="AA170" s="38">
        <f t="shared" si="47"/>
        <v>4078946</v>
      </c>
      <c r="AB170" s="38">
        <f t="shared" si="48"/>
        <v>258333</v>
      </c>
      <c r="AC170" s="38">
        <f t="shared" si="49"/>
        <v>3820613</v>
      </c>
      <c r="AD170" s="67"/>
      <c r="AE170" s="73"/>
      <c r="AF170" s="73"/>
      <c r="AG170" s="73"/>
      <c r="AH170" s="73"/>
      <c r="AI170" s="73"/>
      <c r="AJ170" s="73"/>
      <c r="AK170" s="180"/>
    </row>
    <row r="171" spans="1:37" s="66" customFormat="1">
      <c r="A171" s="72">
        <v>15200000</v>
      </c>
      <c r="B171" s="73" t="s">
        <v>20</v>
      </c>
      <c r="C171" s="68" t="s">
        <v>995</v>
      </c>
      <c r="D171" s="67">
        <v>1</v>
      </c>
      <c r="E171" s="36" t="s">
        <v>364</v>
      </c>
      <c r="F171" s="177"/>
      <c r="G171" s="177"/>
      <c r="H171" s="177"/>
      <c r="I171" s="177"/>
      <c r="J171" s="198">
        <v>43617</v>
      </c>
      <c r="K171" s="65" t="str">
        <f t="shared" si="51"/>
        <v>SI</v>
      </c>
      <c r="L171" s="139">
        <f t="shared" si="27"/>
        <v>10663066.08</v>
      </c>
      <c r="M171" s="67">
        <v>10663066.08</v>
      </c>
      <c r="N171" s="67">
        <v>10663066.08</v>
      </c>
      <c r="O171" s="139">
        <f t="shared" si="53"/>
        <v>10663066.08</v>
      </c>
      <c r="P171" s="72">
        <v>15921000</v>
      </c>
      <c r="Q171" s="73" t="s">
        <v>27</v>
      </c>
      <c r="R171" s="67">
        <v>0</v>
      </c>
      <c r="S171" s="67">
        <v>0</v>
      </c>
      <c r="T171" s="139">
        <f t="shared" si="54"/>
        <v>0</v>
      </c>
      <c r="U171" s="60">
        <f t="shared" si="55"/>
        <v>10663066.08</v>
      </c>
      <c r="V171" s="181">
        <v>25</v>
      </c>
      <c r="W171" s="116">
        <f t="shared" si="52"/>
        <v>19</v>
      </c>
      <c r="X171" s="116">
        <f t="shared" si="44"/>
        <v>281</v>
      </c>
      <c r="Y171" s="38">
        <f t="shared" si="45"/>
        <v>35543.553599999999</v>
      </c>
      <c r="Z171" s="38">
        <f t="shared" si="46"/>
        <v>675327.51839999994</v>
      </c>
      <c r="AA171" s="38">
        <f t="shared" si="47"/>
        <v>10663066</v>
      </c>
      <c r="AB171" s="38">
        <f t="shared" si="48"/>
        <v>675328</v>
      </c>
      <c r="AC171" s="38">
        <f t="shared" si="49"/>
        <v>9987738</v>
      </c>
      <c r="AD171" s="67"/>
      <c r="AE171" s="73"/>
      <c r="AF171" s="73"/>
      <c r="AG171" s="73"/>
      <c r="AH171" s="73"/>
      <c r="AI171" s="73"/>
      <c r="AJ171" s="73"/>
      <c r="AK171" s="180"/>
    </row>
    <row r="172" spans="1:37" s="66" customFormat="1">
      <c r="A172" s="72">
        <v>15200000</v>
      </c>
      <c r="B172" s="73" t="s">
        <v>20</v>
      </c>
      <c r="C172" s="68" t="s">
        <v>995</v>
      </c>
      <c r="D172" s="67">
        <v>1</v>
      </c>
      <c r="E172" s="36" t="s">
        <v>364</v>
      </c>
      <c r="F172" s="177"/>
      <c r="G172" s="177"/>
      <c r="H172" s="177"/>
      <c r="I172" s="177"/>
      <c r="J172" s="198">
        <v>43617</v>
      </c>
      <c r="K172" s="65" t="str">
        <f t="shared" si="51"/>
        <v>SI</v>
      </c>
      <c r="L172" s="139">
        <f t="shared" si="27"/>
        <v>2330826.25</v>
      </c>
      <c r="M172" s="67">
        <v>2330826.25</v>
      </c>
      <c r="N172" s="67">
        <v>2330826.25</v>
      </c>
      <c r="O172" s="139">
        <f t="shared" si="53"/>
        <v>2330826.25</v>
      </c>
      <c r="P172" s="72">
        <v>15921000</v>
      </c>
      <c r="Q172" s="73" t="s">
        <v>27</v>
      </c>
      <c r="R172" s="67">
        <v>0</v>
      </c>
      <c r="S172" s="67">
        <v>0</v>
      </c>
      <c r="T172" s="139">
        <f t="shared" si="54"/>
        <v>0</v>
      </c>
      <c r="U172" s="60">
        <f t="shared" si="55"/>
        <v>2330826.25</v>
      </c>
      <c r="V172" s="181">
        <v>25</v>
      </c>
      <c r="W172" s="116">
        <f t="shared" si="52"/>
        <v>19</v>
      </c>
      <c r="X172" s="116">
        <f t="shared" si="44"/>
        <v>281</v>
      </c>
      <c r="Y172" s="38">
        <f t="shared" si="45"/>
        <v>7769.4208333333336</v>
      </c>
      <c r="Z172" s="38">
        <f t="shared" si="46"/>
        <v>147618.99583333335</v>
      </c>
      <c r="AA172" s="38">
        <f t="shared" si="47"/>
        <v>2330826</v>
      </c>
      <c r="AB172" s="38">
        <f t="shared" si="48"/>
        <v>147619</v>
      </c>
      <c r="AC172" s="38">
        <f t="shared" si="49"/>
        <v>2183207</v>
      </c>
      <c r="AD172" s="67"/>
      <c r="AE172" s="73"/>
      <c r="AF172" s="73"/>
      <c r="AG172" s="73"/>
      <c r="AH172" s="73"/>
      <c r="AI172" s="73"/>
      <c r="AJ172" s="73"/>
      <c r="AK172" s="180"/>
    </row>
    <row r="173" spans="1:37" s="66" customFormat="1">
      <c r="A173" s="72">
        <v>15200000</v>
      </c>
      <c r="B173" s="73" t="s">
        <v>20</v>
      </c>
      <c r="C173" s="68" t="s">
        <v>995</v>
      </c>
      <c r="D173" s="67">
        <v>1</v>
      </c>
      <c r="E173" s="36" t="s">
        <v>364</v>
      </c>
      <c r="F173" s="177"/>
      <c r="G173" s="177"/>
      <c r="H173" s="177"/>
      <c r="I173" s="177"/>
      <c r="J173" s="198">
        <v>43617</v>
      </c>
      <c r="K173" s="65" t="str">
        <f t="shared" si="51"/>
        <v>SI</v>
      </c>
      <c r="L173" s="139">
        <f t="shared" si="27"/>
        <v>6093180.6100000003</v>
      </c>
      <c r="M173" s="67">
        <v>6093180.6100000003</v>
      </c>
      <c r="N173" s="67">
        <v>6093180.6100000003</v>
      </c>
      <c r="O173" s="139">
        <f t="shared" si="53"/>
        <v>6093180.6100000003</v>
      </c>
      <c r="P173" s="72">
        <v>15921000</v>
      </c>
      <c r="Q173" s="73" t="s">
        <v>27</v>
      </c>
      <c r="R173" s="67">
        <v>0</v>
      </c>
      <c r="S173" s="67">
        <v>0</v>
      </c>
      <c r="T173" s="139">
        <f t="shared" si="54"/>
        <v>0</v>
      </c>
      <c r="U173" s="60">
        <f t="shared" si="55"/>
        <v>6093180.6100000003</v>
      </c>
      <c r="V173" s="181">
        <v>25</v>
      </c>
      <c r="W173" s="116">
        <f t="shared" si="52"/>
        <v>19</v>
      </c>
      <c r="X173" s="116">
        <f t="shared" ref="X173:X236" si="56">(V173*12)-W173</f>
        <v>281</v>
      </c>
      <c r="Y173" s="38">
        <f t="shared" ref="Y173:Y236" si="57">N173/(V173*12)</f>
        <v>20310.602033333333</v>
      </c>
      <c r="Z173" s="38">
        <f t="shared" ref="Z173:Z236" si="58">IF(U173&gt;0,W173*Y173,0)</f>
        <v>385901.43863333331</v>
      </c>
      <c r="AA173" s="38">
        <f t="shared" ref="AA173:AA236" si="59">ROUND(IF(U173&gt;0,N173,0),0)</f>
        <v>6093181</v>
      </c>
      <c r="AB173" s="38">
        <f t="shared" ref="AB173:AB236" si="60">ROUND(IF(U173&gt;0,Z173,0),0)</f>
        <v>385901</v>
      </c>
      <c r="AC173" s="38">
        <f t="shared" ref="AC173:AC236" si="61">AA173-AB173</f>
        <v>5707280</v>
      </c>
      <c r="AD173" s="67"/>
      <c r="AE173" s="73"/>
      <c r="AF173" s="73"/>
      <c r="AG173" s="73"/>
      <c r="AH173" s="73"/>
      <c r="AI173" s="73"/>
      <c r="AJ173" s="73"/>
      <c r="AK173" s="180"/>
    </row>
    <row r="174" spans="1:37" s="66" customFormat="1">
      <c r="A174" s="72">
        <v>15200000</v>
      </c>
      <c r="B174" s="73" t="s">
        <v>20</v>
      </c>
      <c r="C174" s="68" t="s">
        <v>995</v>
      </c>
      <c r="D174" s="67">
        <v>1</v>
      </c>
      <c r="E174" s="36" t="s">
        <v>364</v>
      </c>
      <c r="F174" s="177"/>
      <c r="G174" s="177"/>
      <c r="H174" s="177"/>
      <c r="I174" s="177"/>
      <c r="J174" s="198">
        <v>43617</v>
      </c>
      <c r="K174" s="65" t="str">
        <f t="shared" si="51"/>
        <v>SI</v>
      </c>
      <c r="L174" s="139">
        <f t="shared" si="27"/>
        <v>2330826.25</v>
      </c>
      <c r="M174" s="67">
        <v>2330826.25</v>
      </c>
      <c r="N174" s="67">
        <v>2330826.25</v>
      </c>
      <c r="O174" s="139">
        <f t="shared" si="53"/>
        <v>2330826.25</v>
      </c>
      <c r="P174" s="72">
        <v>15921000</v>
      </c>
      <c r="Q174" s="73" t="s">
        <v>27</v>
      </c>
      <c r="R174" s="67">
        <v>0</v>
      </c>
      <c r="S174" s="67">
        <v>0</v>
      </c>
      <c r="T174" s="139">
        <f t="shared" si="54"/>
        <v>0</v>
      </c>
      <c r="U174" s="60">
        <f t="shared" si="55"/>
        <v>2330826.25</v>
      </c>
      <c r="V174" s="181">
        <v>25</v>
      </c>
      <c r="W174" s="116">
        <f t="shared" si="52"/>
        <v>19</v>
      </c>
      <c r="X174" s="116">
        <f t="shared" si="56"/>
        <v>281</v>
      </c>
      <c r="Y174" s="38">
        <f t="shared" si="57"/>
        <v>7769.4208333333336</v>
      </c>
      <c r="Z174" s="38">
        <f t="shared" si="58"/>
        <v>147618.99583333335</v>
      </c>
      <c r="AA174" s="38">
        <f t="shared" si="59"/>
        <v>2330826</v>
      </c>
      <c r="AB174" s="38">
        <f t="shared" si="60"/>
        <v>147619</v>
      </c>
      <c r="AC174" s="38">
        <f t="shared" si="61"/>
        <v>2183207</v>
      </c>
      <c r="AD174" s="67"/>
      <c r="AE174" s="73"/>
      <c r="AF174" s="73"/>
      <c r="AG174" s="73"/>
      <c r="AH174" s="73"/>
      <c r="AI174" s="73"/>
      <c r="AJ174" s="73"/>
      <c r="AK174" s="180"/>
    </row>
    <row r="175" spans="1:37" s="66" customFormat="1">
      <c r="A175" s="72">
        <v>15200000</v>
      </c>
      <c r="B175" s="73" t="s">
        <v>20</v>
      </c>
      <c r="C175" s="68" t="s">
        <v>995</v>
      </c>
      <c r="D175" s="67">
        <v>1</v>
      </c>
      <c r="E175" s="36" t="s">
        <v>364</v>
      </c>
      <c r="F175" s="177"/>
      <c r="G175" s="177"/>
      <c r="H175" s="177"/>
      <c r="I175" s="177"/>
      <c r="J175" s="198">
        <v>43617</v>
      </c>
      <c r="K175" s="65" t="str">
        <f t="shared" si="51"/>
        <v>SI</v>
      </c>
      <c r="L175" s="139">
        <f t="shared" si="27"/>
        <v>6093180.6100000003</v>
      </c>
      <c r="M175" s="67">
        <v>6093180.6100000003</v>
      </c>
      <c r="N175" s="67">
        <v>6093180.6100000003</v>
      </c>
      <c r="O175" s="139">
        <f t="shared" si="53"/>
        <v>6093180.6100000003</v>
      </c>
      <c r="P175" s="72">
        <v>15921000</v>
      </c>
      <c r="Q175" s="73" t="s">
        <v>27</v>
      </c>
      <c r="R175" s="67">
        <v>0</v>
      </c>
      <c r="S175" s="67">
        <v>0</v>
      </c>
      <c r="T175" s="139">
        <f t="shared" si="54"/>
        <v>0</v>
      </c>
      <c r="U175" s="60">
        <f t="shared" si="55"/>
        <v>6093180.6100000003</v>
      </c>
      <c r="V175" s="181">
        <v>25</v>
      </c>
      <c r="W175" s="116">
        <f t="shared" si="52"/>
        <v>19</v>
      </c>
      <c r="X175" s="116">
        <f t="shared" si="56"/>
        <v>281</v>
      </c>
      <c r="Y175" s="38">
        <f t="shared" si="57"/>
        <v>20310.602033333333</v>
      </c>
      <c r="Z175" s="38">
        <f t="shared" si="58"/>
        <v>385901.43863333331</v>
      </c>
      <c r="AA175" s="38">
        <f t="shared" si="59"/>
        <v>6093181</v>
      </c>
      <c r="AB175" s="38">
        <f t="shared" si="60"/>
        <v>385901</v>
      </c>
      <c r="AC175" s="38">
        <f t="shared" si="61"/>
        <v>5707280</v>
      </c>
      <c r="AD175" s="67"/>
      <c r="AE175" s="73"/>
      <c r="AF175" s="73"/>
      <c r="AG175" s="73"/>
      <c r="AH175" s="73"/>
      <c r="AI175" s="73"/>
      <c r="AJ175" s="73"/>
      <c r="AK175" s="180"/>
    </row>
    <row r="176" spans="1:37" s="66" customFormat="1">
      <c r="A176" s="72">
        <v>15200000</v>
      </c>
      <c r="B176" s="73" t="s">
        <v>20</v>
      </c>
      <c r="C176" s="68" t="s">
        <v>995</v>
      </c>
      <c r="D176" s="67">
        <v>1</v>
      </c>
      <c r="E176" s="36" t="s">
        <v>364</v>
      </c>
      <c r="F176" s="177"/>
      <c r="G176" s="177"/>
      <c r="H176" s="177"/>
      <c r="I176" s="177"/>
      <c r="J176" s="198">
        <v>43617</v>
      </c>
      <c r="K176" s="65" t="str">
        <f t="shared" si="51"/>
        <v>SI</v>
      </c>
      <c r="L176" s="139">
        <f t="shared" si="27"/>
        <v>2330826.25</v>
      </c>
      <c r="M176" s="67">
        <v>2330826.25</v>
      </c>
      <c r="N176" s="67">
        <v>2330826.25</v>
      </c>
      <c r="O176" s="139">
        <f t="shared" si="53"/>
        <v>2330826.25</v>
      </c>
      <c r="P176" s="72">
        <v>15921000</v>
      </c>
      <c r="Q176" s="73" t="s">
        <v>27</v>
      </c>
      <c r="R176" s="67">
        <v>0</v>
      </c>
      <c r="S176" s="67">
        <v>0</v>
      </c>
      <c r="T176" s="139">
        <f t="shared" si="54"/>
        <v>0</v>
      </c>
      <c r="U176" s="60">
        <f t="shared" si="55"/>
        <v>2330826.25</v>
      </c>
      <c r="V176" s="181">
        <v>25</v>
      </c>
      <c r="W176" s="116">
        <f t="shared" si="52"/>
        <v>19</v>
      </c>
      <c r="X176" s="116">
        <f t="shared" si="56"/>
        <v>281</v>
      </c>
      <c r="Y176" s="38">
        <f t="shared" si="57"/>
        <v>7769.4208333333336</v>
      </c>
      <c r="Z176" s="38">
        <f t="shared" si="58"/>
        <v>147618.99583333335</v>
      </c>
      <c r="AA176" s="38">
        <f t="shared" si="59"/>
        <v>2330826</v>
      </c>
      <c r="AB176" s="38">
        <f t="shared" si="60"/>
        <v>147619</v>
      </c>
      <c r="AC176" s="38">
        <f t="shared" si="61"/>
        <v>2183207</v>
      </c>
      <c r="AD176" s="67"/>
      <c r="AE176" s="73"/>
      <c r="AF176" s="73"/>
      <c r="AG176" s="73"/>
      <c r="AH176" s="73"/>
      <c r="AI176" s="73"/>
      <c r="AJ176" s="73"/>
      <c r="AK176" s="180"/>
    </row>
    <row r="177" spans="1:37" s="66" customFormat="1">
      <c r="A177" s="72">
        <v>15200000</v>
      </c>
      <c r="B177" s="73" t="s">
        <v>20</v>
      </c>
      <c r="C177" s="68" t="s">
        <v>995</v>
      </c>
      <c r="D177" s="67">
        <v>1</v>
      </c>
      <c r="E177" s="36" t="s">
        <v>364</v>
      </c>
      <c r="F177" s="177"/>
      <c r="G177" s="177"/>
      <c r="H177" s="177"/>
      <c r="I177" s="177"/>
      <c r="J177" s="198">
        <v>43617</v>
      </c>
      <c r="K177" s="65" t="str">
        <f t="shared" si="51"/>
        <v>SI</v>
      </c>
      <c r="L177" s="139">
        <f t="shared" si="27"/>
        <v>6093180.6100000003</v>
      </c>
      <c r="M177" s="67">
        <v>6093180.6100000003</v>
      </c>
      <c r="N177" s="67">
        <v>6093180.6100000003</v>
      </c>
      <c r="O177" s="139">
        <f t="shared" si="53"/>
        <v>6093180.6100000003</v>
      </c>
      <c r="P177" s="72">
        <v>15921000</v>
      </c>
      <c r="Q177" s="73" t="s">
        <v>27</v>
      </c>
      <c r="R177" s="67">
        <v>0</v>
      </c>
      <c r="S177" s="67">
        <v>0</v>
      </c>
      <c r="T177" s="139">
        <f t="shared" si="54"/>
        <v>0</v>
      </c>
      <c r="U177" s="60">
        <f t="shared" si="55"/>
        <v>6093180.6100000003</v>
      </c>
      <c r="V177" s="181">
        <v>25</v>
      </c>
      <c r="W177" s="116">
        <f t="shared" si="52"/>
        <v>19</v>
      </c>
      <c r="X177" s="116">
        <f t="shared" si="56"/>
        <v>281</v>
      </c>
      <c r="Y177" s="38">
        <f t="shared" si="57"/>
        <v>20310.602033333333</v>
      </c>
      <c r="Z177" s="38">
        <f t="shared" si="58"/>
        <v>385901.43863333331</v>
      </c>
      <c r="AA177" s="38">
        <f t="shared" si="59"/>
        <v>6093181</v>
      </c>
      <c r="AB177" s="38">
        <f t="shared" si="60"/>
        <v>385901</v>
      </c>
      <c r="AC177" s="38">
        <f t="shared" si="61"/>
        <v>5707280</v>
      </c>
      <c r="AD177" s="67"/>
      <c r="AE177" s="73"/>
      <c r="AF177" s="73"/>
      <c r="AG177" s="73"/>
      <c r="AH177" s="73"/>
      <c r="AI177" s="73"/>
      <c r="AJ177" s="73"/>
      <c r="AK177" s="180"/>
    </row>
    <row r="178" spans="1:37" s="66" customFormat="1">
      <c r="A178" s="72">
        <v>15200000</v>
      </c>
      <c r="B178" s="73" t="s">
        <v>20</v>
      </c>
      <c r="C178" s="68" t="s">
        <v>995</v>
      </c>
      <c r="D178" s="67">
        <v>1</v>
      </c>
      <c r="E178" s="36" t="s">
        <v>364</v>
      </c>
      <c r="F178" s="177"/>
      <c r="G178" s="177"/>
      <c r="H178" s="177"/>
      <c r="I178" s="177"/>
      <c r="J178" s="198">
        <v>43617</v>
      </c>
      <c r="K178" s="65" t="str">
        <f t="shared" si="51"/>
        <v>SI</v>
      </c>
      <c r="L178" s="139">
        <f t="shared" si="27"/>
        <v>2330826.21</v>
      </c>
      <c r="M178" s="67">
        <v>2330826.21</v>
      </c>
      <c r="N178" s="67">
        <v>2330826.21</v>
      </c>
      <c r="O178" s="139">
        <f t="shared" si="53"/>
        <v>2330826.21</v>
      </c>
      <c r="P178" s="72">
        <v>15921000</v>
      </c>
      <c r="Q178" s="73" t="s">
        <v>27</v>
      </c>
      <c r="R178" s="67">
        <v>0</v>
      </c>
      <c r="S178" s="67">
        <v>0</v>
      </c>
      <c r="T178" s="139">
        <f t="shared" si="54"/>
        <v>0</v>
      </c>
      <c r="U178" s="60">
        <f t="shared" si="55"/>
        <v>2330826.21</v>
      </c>
      <c r="V178" s="181">
        <v>25</v>
      </c>
      <c r="W178" s="116">
        <f t="shared" si="52"/>
        <v>19</v>
      </c>
      <c r="X178" s="116">
        <f t="shared" si="56"/>
        <v>281</v>
      </c>
      <c r="Y178" s="38">
        <f t="shared" si="57"/>
        <v>7769.4206999999997</v>
      </c>
      <c r="Z178" s="38">
        <f t="shared" si="58"/>
        <v>147618.9933</v>
      </c>
      <c r="AA178" s="38">
        <f t="shared" si="59"/>
        <v>2330826</v>
      </c>
      <c r="AB178" s="38">
        <f t="shared" si="60"/>
        <v>147619</v>
      </c>
      <c r="AC178" s="38">
        <f t="shared" si="61"/>
        <v>2183207</v>
      </c>
      <c r="AD178" s="67"/>
      <c r="AE178" s="73"/>
      <c r="AF178" s="73"/>
      <c r="AG178" s="73"/>
      <c r="AH178" s="73"/>
      <c r="AI178" s="73"/>
      <c r="AJ178" s="73"/>
      <c r="AK178" s="180"/>
    </row>
    <row r="179" spans="1:37" s="66" customFormat="1">
      <c r="A179" s="72">
        <v>15200000</v>
      </c>
      <c r="B179" s="73" t="s">
        <v>20</v>
      </c>
      <c r="C179" s="68" t="s">
        <v>995</v>
      </c>
      <c r="D179" s="67">
        <v>1</v>
      </c>
      <c r="E179" s="36" t="s">
        <v>364</v>
      </c>
      <c r="F179" s="177"/>
      <c r="G179" s="177"/>
      <c r="H179" s="177"/>
      <c r="I179" s="177"/>
      <c r="J179" s="198">
        <v>43617</v>
      </c>
      <c r="K179" s="65" t="str">
        <f t="shared" si="51"/>
        <v>SI</v>
      </c>
      <c r="L179" s="139">
        <f t="shared" si="27"/>
        <v>6093180.6200000001</v>
      </c>
      <c r="M179" s="67">
        <v>6093180.6200000001</v>
      </c>
      <c r="N179" s="67">
        <v>6093180.6200000001</v>
      </c>
      <c r="O179" s="139">
        <f t="shared" si="53"/>
        <v>6093180.6200000001</v>
      </c>
      <c r="P179" s="72">
        <v>15921000</v>
      </c>
      <c r="Q179" s="73" t="s">
        <v>27</v>
      </c>
      <c r="R179" s="67">
        <v>0</v>
      </c>
      <c r="S179" s="67">
        <v>0</v>
      </c>
      <c r="T179" s="139">
        <f t="shared" si="54"/>
        <v>0</v>
      </c>
      <c r="U179" s="60">
        <f t="shared" si="55"/>
        <v>6093180.6200000001</v>
      </c>
      <c r="V179" s="181">
        <v>25</v>
      </c>
      <c r="W179" s="116">
        <f t="shared" si="52"/>
        <v>19</v>
      </c>
      <c r="X179" s="116">
        <f t="shared" si="56"/>
        <v>281</v>
      </c>
      <c r="Y179" s="38">
        <f t="shared" si="57"/>
        <v>20310.602066666666</v>
      </c>
      <c r="Z179" s="38">
        <f t="shared" si="58"/>
        <v>385901.43926666665</v>
      </c>
      <c r="AA179" s="38">
        <f t="shared" si="59"/>
        <v>6093181</v>
      </c>
      <c r="AB179" s="38">
        <f t="shared" si="60"/>
        <v>385901</v>
      </c>
      <c r="AC179" s="38">
        <f t="shared" si="61"/>
        <v>5707280</v>
      </c>
      <c r="AD179" s="67"/>
      <c r="AE179" s="73"/>
      <c r="AF179" s="73"/>
      <c r="AG179" s="73"/>
      <c r="AH179" s="73"/>
      <c r="AI179" s="73"/>
      <c r="AJ179" s="73"/>
      <c r="AK179" s="180"/>
    </row>
    <row r="180" spans="1:37" s="66" customFormat="1">
      <c r="A180" s="72">
        <v>15200000</v>
      </c>
      <c r="B180" s="73" t="s">
        <v>20</v>
      </c>
      <c r="C180" s="68" t="s">
        <v>995</v>
      </c>
      <c r="D180" s="67">
        <v>1</v>
      </c>
      <c r="E180" s="36" t="s">
        <v>364</v>
      </c>
      <c r="F180" s="177"/>
      <c r="G180" s="177"/>
      <c r="H180" s="177"/>
      <c r="I180" s="177"/>
      <c r="J180" s="198">
        <v>43617</v>
      </c>
      <c r="K180" s="65" t="str">
        <f t="shared" si="51"/>
        <v>SI</v>
      </c>
      <c r="L180" s="139">
        <f t="shared" si="27"/>
        <v>69657840</v>
      </c>
      <c r="M180" s="67">
        <v>69657840</v>
      </c>
      <c r="N180" s="67">
        <v>69657840</v>
      </c>
      <c r="O180" s="139">
        <f t="shared" si="53"/>
        <v>69657840</v>
      </c>
      <c r="P180" s="72">
        <v>15921000</v>
      </c>
      <c r="Q180" s="73" t="s">
        <v>27</v>
      </c>
      <c r="R180" s="67">
        <v>0</v>
      </c>
      <c r="S180" s="67">
        <v>0</v>
      </c>
      <c r="T180" s="139">
        <f t="shared" si="54"/>
        <v>0</v>
      </c>
      <c r="U180" s="60">
        <f t="shared" si="55"/>
        <v>69657840</v>
      </c>
      <c r="V180" s="181">
        <v>25</v>
      </c>
      <c r="W180" s="116">
        <f t="shared" si="52"/>
        <v>19</v>
      </c>
      <c r="X180" s="116">
        <f t="shared" si="56"/>
        <v>281</v>
      </c>
      <c r="Y180" s="38">
        <f t="shared" si="57"/>
        <v>232192.8</v>
      </c>
      <c r="Z180" s="38">
        <f t="shared" si="58"/>
        <v>4411663.2</v>
      </c>
      <c r="AA180" s="38">
        <f t="shared" si="59"/>
        <v>69657840</v>
      </c>
      <c r="AB180" s="38">
        <f t="shared" si="60"/>
        <v>4411663</v>
      </c>
      <c r="AC180" s="38">
        <f t="shared" si="61"/>
        <v>65246177</v>
      </c>
      <c r="AD180" s="67"/>
      <c r="AE180" s="73"/>
      <c r="AF180" s="73"/>
      <c r="AG180" s="73"/>
      <c r="AH180" s="73"/>
      <c r="AI180" s="73"/>
      <c r="AJ180" s="73"/>
      <c r="AK180" s="180"/>
    </row>
    <row r="181" spans="1:37" s="66" customFormat="1">
      <c r="A181" s="72">
        <v>15200000</v>
      </c>
      <c r="B181" s="73" t="s">
        <v>20</v>
      </c>
      <c r="C181" s="68" t="s">
        <v>995</v>
      </c>
      <c r="D181" s="67">
        <v>1</v>
      </c>
      <c r="E181" s="36" t="s">
        <v>364</v>
      </c>
      <c r="F181" s="177"/>
      <c r="G181" s="177"/>
      <c r="H181" s="177"/>
      <c r="I181" s="177"/>
      <c r="J181" s="198">
        <v>43617</v>
      </c>
      <c r="K181" s="65" t="str">
        <f t="shared" si="51"/>
        <v>SI</v>
      </c>
      <c r="L181" s="139">
        <f t="shared" si="27"/>
        <v>116190896</v>
      </c>
      <c r="M181" s="67">
        <v>116190896</v>
      </c>
      <c r="N181" s="67">
        <v>116190896</v>
      </c>
      <c r="O181" s="139">
        <f t="shared" si="53"/>
        <v>116190896</v>
      </c>
      <c r="P181" s="72">
        <v>15921000</v>
      </c>
      <c r="Q181" s="73" t="s">
        <v>27</v>
      </c>
      <c r="R181" s="67">
        <v>0</v>
      </c>
      <c r="S181" s="67">
        <v>0</v>
      </c>
      <c r="T181" s="139">
        <f t="shared" si="54"/>
        <v>0</v>
      </c>
      <c r="U181" s="60">
        <f t="shared" si="55"/>
        <v>116190896</v>
      </c>
      <c r="V181" s="181">
        <v>25</v>
      </c>
      <c r="W181" s="116">
        <f t="shared" si="52"/>
        <v>19</v>
      </c>
      <c r="X181" s="116">
        <f t="shared" si="56"/>
        <v>281</v>
      </c>
      <c r="Y181" s="38">
        <f t="shared" si="57"/>
        <v>387302.98666666669</v>
      </c>
      <c r="Z181" s="38">
        <f t="shared" si="58"/>
        <v>7358756.7466666671</v>
      </c>
      <c r="AA181" s="38">
        <f t="shared" si="59"/>
        <v>116190896</v>
      </c>
      <c r="AB181" s="38">
        <f t="shared" si="60"/>
        <v>7358757</v>
      </c>
      <c r="AC181" s="38">
        <f t="shared" si="61"/>
        <v>108832139</v>
      </c>
      <c r="AD181" s="67"/>
      <c r="AE181" s="73"/>
      <c r="AF181" s="73"/>
      <c r="AG181" s="73"/>
      <c r="AH181" s="73"/>
      <c r="AI181" s="73"/>
      <c r="AJ181" s="73"/>
      <c r="AK181" s="180"/>
    </row>
    <row r="182" spans="1:37" s="66" customFormat="1">
      <c r="A182" s="72">
        <v>15200000</v>
      </c>
      <c r="B182" s="73" t="s">
        <v>20</v>
      </c>
      <c r="C182" s="68" t="s">
        <v>995</v>
      </c>
      <c r="D182" s="67">
        <v>1</v>
      </c>
      <c r="E182" s="36" t="s">
        <v>364</v>
      </c>
      <c r="F182" s="177"/>
      <c r="G182" s="177"/>
      <c r="H182" s="177"/>
      <c r="I182" s="177"/>
      <c r="J182" s="198">
        <v>43617</v>
      </c>
      <c r="K182" s="65" t="str">
        <f t="shared" si="51"/>
        <v>SI</v>
      </c>
      <c r="L182" s="139">
        <f t="shared" si="27"/>
        <v>19560030</v>
      </c>
      <c r="M182" s="67">
        <v>19560030</v>
      </c>
      <c r="N182" s="67">
        <v>19560030</v>
      </c>
      <c r="O182" s="139">
        <f t="shared" si="53"/>
        <v>19560030</v>
      </c>
      <c r="P182" s="72">
        <v>15921000</v>
      </c>
      <c r="Q182" s="73" t="s">
        <v>27</v>
      </c>
      <c r="R182" s="67">
        <v>0</v>
      </c>
      <c r="S182" s="67">
        <v>0</v>
      </c>
      <c r="T182" s="139">
        <f t="shared" si="54"/>
        <v>0</v>
      </c>
      <c r="U182" s="60">
        <f t="shared" si="55"/>
        <v>19560030</v>
      </c>
      <c r="V182" s="181">
        <v>25</v>
      </c>
      <c r="W182" s="116">
        <f t="shared" si="52"/>
        <v>19</v>
      </c>
      <c r="X182" s="116">
        <f t="shared" si="56"/>
        <v>281</v>
      </c>
      <c r="Y182" s="38">
        <f t="shared" si="57"/>
        <v>65200.1</v>
      </c>
      <c r="Z182" s="38">
        <f t="shared" si="58"/>
        <v>1238801.8999999999</v>
      </c>
      <c r="AA182" s="38">
        <f t="shared" si="59"/>
        <v>19560030</v>
      </c>
      <c r="AB182" s="38">
        <f t="shared" si="60"/>
        <v>1238802</v>
      </c>
      <c r="AC182" s="38">
        <f t="shared" si="61"/>
        <v>18321228</v>
      </c>
      <c r="AD182" s="67"/>
      <c r="AE182" s="73"/>
      <c r="AF182" s="73"/>
      <c r="AG182" s="73"/>
      <c r="AH182" s="73"/>
      <c r="AI182" s="73"/>
      <c r="AJ182" s="73"/>
      <c r="AK182" s="180"/>
    </row>
    <row r="183" spans="1:37" s="66" customFormat="1">
      <c r="A183" s="72">
        <v>15200000</v>
      </c>
      <c r="B183" s="73" t="s">
        <v>20</v>
      </c>
      <c r="C183" s="68" t="s">
        <v>995</v>
      </c>
      <c r="D183" s="67">
        <v>1</v>
      </c>
      <c r="E183" s="36" t="s">
        <v>364</v>
      </c>
      <c r="F183" s="177"/>
      <c r="G183" s="177"/>
      <c r="H183" s="177"/>
      <c r="I183" s="177"/>
      <c r="J183" s="198">
        <v>43617</v>
      </c>
      <c r="K183" s="65" t="str">
        <f t="shared" si="51"/>
        <v>SI</v>
      </c>
      <c r="L183" s="139">
        <f t="shared" si="27"/>
        <v>24709900.32</v>
      </c>
      <c r="M183" s="67">
        <v>24709900.32</v>
      </c>
      <c r="N183" s="67">
        <v>24709900.32</v>
      </c>
      <c r="O183" s="139">
        <f t="shared" si="53"/>
        <v>24709900.32</v>
      </c>
      <c r="P183" s="72">
        <v>15921000</v>
      </c>
      <c r="Q183" s="73" t="s">
        <v>27</v>
      </c>
      <c r="R183" s="67">
        <v>0</v>
      </c>
      <c r="S183" s="67">
        <v>0</v>
      </c>
      <c r="T183" s="139">
        <f t="shared" si="54"/>
        <v>0</v>
      </c>
      <c r="U183" s="60">
        <f t="shared" si="55"/>
        <v>24709900.32</v>
      </c>
      <c r="V183" s="181">
        <v>25</v>
      </c>
      <c r="W183" s="116">
        <f t="shared" si="52"/>
        <v>19</v>
      </c>
      <c r="X183" s="116">
        <f t="shared" si="56"/>
        <v>281</v>
      </c>
      <c r="Y183" s="38">
        <f t="shared" si="57"/>
        <v>82366.334400000007</v>
      </c>
      <c r="Z183" s="38">
        <f t="shared" si="58"/>
        <v>1564960.3536</v>
      </c>
      <c r="AA183" s="38">
        <f t="shared" si="59"/>
        <v>24709900</v>
      </c>
      <c r="AB183" s="38">
        <f t="shared" si="60"/>
        <v>1564960</v>
      </c>
      <c r="AC183" s="38">
        <f t="shared" si="61"/>
        <v>23144940</v>
      </c>
      <c r="AD183" s="67"/>
      <c r="AE183" s="73"/>
      <c r="AF183" s="73"/>
      <c r="AG183" s="73"/>
      <c r="AH183" s="73"/>
      <c r="AI183" s="73"/>
      <c r="AJ183" s="73"/>
      <c r="AK183" s="180"/>
    </row>
    <row r="184" spans="1:37" s="66" customFormat="1">
      <c r="A184" s="72">
        <v>15200000</v>
      </c>
      <c r="B184" s="73" t="s">
        <v>20</v>
      </c>
      <c r="C184" s="68" t="s">
        <v>995</v>
      </c>
      <c r="D184" s="67">
        <v>1</v>
      </c>
      <c r="E184" s="36" t="s">
        <v>364</v>
      </c>
      <c r="F184" s="177"/>
      <c r="G184" s="177"/>
      <c r="H184" s="177"/>
      <c r="I184" s="177"/>
      <c r="J184" s="198">
        <v>43646</v>
      </c>
      <c r="K184" s="65" t="str">
        <f t="shared" si="51"/>
        <v>SI</v>
      </c>
      <c r="L184" s="139">
        <f t="shared" si="27"/>
        <v>418047473.33999997</v>
      </c>
      <c r="M184" s="67">
        <v>418047473.33999997</v>
      </c>
      <c r="N184" s="67">
        <v>418047473.33999997</v>
      </c>
      <c r="O184" s="139">
        <f t="shared" si="53"/>
        <v>418047473.33999997</v>
      </c>
      <c r="P184" s="72">
        <v>15921000</v>
      </c>
      <c r="Q184" s="73" t="s">
        <v>27</v>
      </c>
      <c r="R184" s="67">
        <v>0</v>
      </c>
      <c r="S184" s="67">
        <v>0</v>
      </c>
      <c r="T184" s="139">
        <f t="shared" si="54"/>
        <v>0</v>
      </c>
      <c r="U184" s="60">
        <f t="shared" si="55"/>
        <v>418047473.33999997</v>
      </c>
      <c r="V184" s="181">
        <v>25</v>
      </c>
      <c r="W184" s="116">
        <f t="shared" si="52"/>
        <v>18</v>
      </c>
      <c r="X184" s="116">
        <f t="shared" si="56"/>
        <v>282</v>
      </c>
      <c r="Y184" s="38">
        <f t="shared" si="57"/>
        <v>1393491.5777999999</v>
      </c>
      <c r="Z184" s="38">
        <f t="shared" si="58"/>
        <v>25082848.400399998</v>
      </c>
      <c r="AA184" s="38">
        <f t="shared" si="59"/>
        <v>418047473</v>
      </c>
      <c r="AB184" s="38">
        <f t="shared" si="60"/>
        <v>25082848</v>
      </c>
      <c r="AC184" s="38">
        <f t="shared" si="61"/>
        <v>392964625</v>
      </c>
      <c r="AD184" s="67"/>
      <c r="AE184" s="73"/>
      <c r="AF184" s="73"/>
      <c r="AG184" s="73"/>
      <c r="AH184" s="73"/>
      <c r="AI184" s="73"/>
      <c r="AJ184" s="73"/>
      <c r="AK184" s="180"/>
    </row>
    <row r="185" spans="1:37" s="66" customFormat="1">
      <c r="A185" s="72">
        <v>15200000</v>
      </c>
      <c r="B185" s="73" t="s">
        <v>20</v>
      </c>
      <c r="C185" s="68" t="s">
        <v>995</v>
      </c>
      <c r="D185" s="67">
        <v>1</v>
      </c>
      <c r="E185" s="36" t="s">
        <v>364</v>
      </c>
      <c r="F185" s="177"/>
      <c r="G185" s="177"/>
      <c r="H185" s="177"/>
      <c r="I185" s="177"/>
      <c r="J185" s="198">
        <v>43646</v>
      </c>
      <c r="K185" s="65" t="str">
        <f t="shared" si="51"/>
        <v>SI</v>
      </c>
      <c r="L185" s="139">
        <f t="shared" si="27"/>
        <v>121305386.7</v>
      </c>
      <c r="M185" s="67">
        <v>121305386.7</v>
      </c>
      <c r="N185" s="67">
        <v>121305386.7</v>
      </c>
      <c r="O185" s="139">
        <f t="shared" si="53"/>
        <v>121305386.7</v>
      </c>
      <c r="P185" s="72">
        <v>15921000</v>
      </c>
      <c r="Q185" s="73" t="s">
        <v>27</v>
      </c>
      <c r="R185" s="67">
        <v>0</v>
      </c>
      <c r="S185" s="67">
        <v>0</v>
      </c>
      <c r="T185" s="139">
        <f t="shared" si="54"/>
        <v>0</v>
      </c>
      <c r="U185" s="60">
        <f t="shared" si="55"/>
        <v>121305386.7</v>
      </c>
      <c r="V185" s="181">
        <v>25</v>
      </c>
      <c r="W185" s="116">
        <f t="shared" si="52"/>
        <v>18</v>
      </c>
      <c r="X185" s="116">
        <f t="shared" si="56"/>
        <v>282</v>
      </c>
      <c r="Y185" s="38">
        <f t="shared" si="57"/>
        <v>404351.28899999999</v>
      </c>
      <c r="Z185" s="38">
        <f t="shared" si="58"/>
        <v>7278323.2019999996</v>
      </c>
      <c r="AA185" s="38">
        <f t="shared" si="59"/>
        <v>121305387</v>
      </c>
      <c r="AB185" s="38">
        <f t="shared" si="60"/>
        <v>7278323</v>
      </c>
      <c r="AC185" s="38">
        <f t="shared" si="61"/>
        <v>114027064</v>
      </c>
      <c r="AD185" s="67"/>
      <c r="AE185" s="73"/>
      <c r="AF185" s="73"/>
      <c r="AG185" s="73"/>
      <c r="AH185" s="73"/>
      <c r="AI185" s="73"/>
      <c r="AJ185" s="73"/>
      <c r="AK185" s="180"/>
    </row>
    <row r="186" spans="1:37" s="66" customFormat="1">
      <c r="A186" s="72">
        <v>15200000</v>
      </c>
      <c r="B186" s="73" t="s">
        <v>20</v>
      </c>
      <c r="C186" s="68" t="s">
        <v>995</v>
      </c>
      <c r="D186" s="67">
        <v>1</v>
      </c>
      <c r="E186" s="36" t="s">
        <v>364</v>
      </c>
      <c r="F186" s="177"/>
      <c r="G186" s="177"/>
      <c r="H186" s="177"/>
      <c r="I186" s="177"/>
      <c r="J186" s="198">
        <v>43646</v>
      </c>
      <c r="K186" s="65" t="str">
        <f t="shared" si="51"/>
        <v>SI</v>
      </c>
      <c r="L186" s="139">
        <f t="shared" si="27"/>
        <v>111621596.09</v>
      </c>
      <c r="M186" s="67">
        <v>111621596.09</v>
      </c>
      <c r="N186" s="67">
        <v>111621596.09</v>
      </c>
      <c r="O186" s="139">
        <f t="shared" si="53"/>
        <v>111621596.09</v>
      </c>
      <c r="P186" s="72">
        <v>15921000</v>
      </c>
      <c r="Q186" s="73" t="s">
        <v>27</v>
      </c>
      <c r="R186" s="67">
        <v>0</v>
      </c>
      <c r="S186" s="67">
        <v>0</v>
      </c>
      <c r="T186" s="139">
        <f t="shared" si="54"/>
        <v>0</v>
      </c>
      <c r="U186" s="60">
        <f t="shared" si="55"/>
        <v>111621596.09</v>
      </c>
      <c r="V186" s="181">
        <v>25</v>
      </c>
      <c r="W186" s="116">
        <f t="shared" si="52"/>
        <v>18</v>
      </c>
      <c r="X186" s="116">
        <f t="shared" si="56"/>
        <v>282</v>
      </c>
      <c r="Y186" s="38">
        <f t="shared" si="57"/>
        <v>372071.98696666671</v>
      </c>
      <c r="Z186" s="38">
        <f t="shared" si="58"/>
        <v>6697295.7654000008</v>
      </c>
      <c r="AA186" s="38">
        <f t="shared" si="59"/>
        <v>111621596</v>
      </c>
      <c r="AB186" s="38">
        <f t="shared" si="60"/>
        <v>6697296</v>
      </c>
      <c r="AC186" s="38">
        <f t="shared" si="61"/>
        <v>104924300</v>
      </c>
      <c r="AD186" s="67"/>
      <c r="AE186" s="73"/>
      <c r="AF186" s="73"/>
      <c r="AG186" s="73"/>
      <c r="AH186" s="73"/>
      <c r="AI186" s="73"/>
      <c r="AJ186" s="73"/>
      <c r="AK186" s="180"/>
    </row>
    <row r="187" spans="1:37" s="66" customFormat="1">
      <c r="A187" s="72">
        <v>15200000</v>
      </c>
      <c r="B187" s="73" t="s">
        <v>20</v>
      </c>
      <c r="C187" s="68" t="s">
        <v>995</v>
      </c>
      <c r="D187" s="67">
        <v>1</v>
      </c>
      <c r="E187" s="36" t="s">
        <v>364</v>
      </c>
      <c r="F187" s="177"/>
      <c r="G187" s="177"/>
      <c r="H187" s="177"/>
      <c r="I187" s="177"/>
      <c r="J187" s="198">
        <v>43646</v>
      </c>
      <c r="K187" s="65" t="str">
        <f t="shared" si="51"/>
        <v>SI</v>
      </c>
      <c r="L187" s="139">
        <f t="shared" si="27"/>
        <v>109048570.15000001</v>
      </c>
      <c r="M187" s="67">
        <v>109048570.15000001</v>
      </c>
      <c r="N187" s="67">
        <v>109048570.15000001</v>
      </c>
      <c r="O187" s="139">
        <f t="shared" si="53"/>
        <v>109048570.15000001</v>
      </c>
      <c r="P187" s="72">
        <v>15921000</v>
      </c>
      <c r="Q187" s="73" t="s">
        <v>27</v>
      </c>
      <c r="R187" s="67">
        <v>0</v>
      </c>
      <c r="S187" s="67">
        <v>0</v>
      </c>
      <c r="T187" s="139">
        <f t="shared" si="54"/>
        <v>0</v>
      </c>
      <c r="U187" s="60">
        <f t="shared" si="55"/>
        <v>109048570.15000001</v>
      </c>
      <c r="V187" s="181">
        <v>25</v>
      </c>
      <c r="W187" s="116">
        <f t="shared" si="52"/>
        <v>18</v>
      </c>
      <c r="X187" s="116">
        <f t="shared" si="56"/>
        <v>282</v>
      </c>
      <c r="Y187" s="38">
        <f t="shared" si="57"/>
        <v>363495.23383333336</v>
      </c>
      <c r="Z187" s="38">
        <f t="shared" si="58"/>
        <v>6542914.2090000007</v>
      </c>
      <c r="AA187" s="38">
        <f t="shared" si="59"/>
        <v>109048570</v>
      </c>
      <c r="AB187" s="38">
        <f t="shared" si="60"/>
        <v>6542914</v>
      </c>
      <c r="AC187" s="38">
        <f t="shared" si="61"/>
        <v>102505656</v>
      </c>
      <c r="AD187" s="67"/>
      <c r="AE187" s="73"/>
      <c r="AF187" s="73"/>
      <c r="AG187" s="73"/>
      <c r="AH187" s="73"/>
      <c r="AI187" s="73"/>
      <c r="AJ187" s="73"/>
      <c r="AK187" s="180"/>
    </row>
    <row r="188" spans="1:37" s="66" customFormat="1">
      <c r="A188" s="72">
        <v>15200000</v>
      </c>
      <c r="B188" s="73" t="s">
        <v>20</v>
      </c>
      <c r="C188" s="68" t="s">
        <v>995</v>
      </c>
      <c r="D188" s="67">
        <v>1</v>
      </c>
      <c r="E188" s="36" t="s">
        <v>364</v>
      </c>
      <c r="F188" s="177"/>
      <c r="G188" s="177"/>
      <c r="H188" s="177"/>
      <c r="I188" s="177"/>
      <c r="J188" s="198">
        <v>43646</v>
      </c>
      <c r="K188" s="65" t="str">
        <f t="shared" si="51"/>
        <v>SI</v>
      </c>
      <c r="L188" s="139">
        <f t="shared" si="27"/>
        <v>111621560.25</v>
      </c>
      <c r="M188" s="67">
        <v>111621560.25</v>
      </c>
      <c r="N188" s="67">
        <v>111621560.25</v>
      </c>
      <c r="O188" s="139">
        <f t="shared" si="53"/>
        <v>111621560.25</v>
      </c>
      <c r="P188" s="72">
        <v>15921000</v>
      </c>
      <c r="Q188" s="73" t="s">
        <v>27</v>
      </c>
      <c r="R188" s="67">
        <v>0</v>
      </c>
      <c r="S188" s="67">
        <v>0</v>
      </c>
      <c r="T188" s="139">
        <f t="shared" si="54"/>
        <v>0</v>
      </c>
      <c r="U188" s="60">
        <f t="shared" si="55"/>
        <v>111621560.25</v>
      </c>
      <c r="V188" s="181">
        <v>25</v>
      </c>
      <c r="W188" s="116">
        <f t="shared" si="52"/>
        <v>18</v>
      </c>
      <c r="X188" s="116">
        <f t="shared" si="56"/>
        <v>282</v>
      </c>
      <c r="Y188" s="38">
        <f t="shared" si="57"/>
        <v>372071.86749999999</v>
      </c>
      <c r="Z188" s="38">
        <f t="shared" si="58"/>
        <v>6697293.6150000002</v>
      </c>
      <c r="AA188" s="38">
        <f t="shared" si="59"/>
        <v>111621560</v>
      </c>
      <c r="AB188" s="38">
        <f t="shared" si="60"/>
        <v>6697294</v>
      </c>
      <c r="AC188" s="38">
        <f t="shared" si="61"/>
        <v>104924266</v>
      </c>
      <c r="AD188" s="67"/>
      <c r="AE188" s="73"/>
      <c r="AF188" s="73"/>
      <c r="AG188" s="73"/>
      <c r="AH188" s="73"/>
      <c r="AI188" s="73"/>
      <c r="AJ188" s="73"/>
      <c r="AK188" s="180"/>
    </row>
    <row r="189" spans="1:37" s="66" customFormat="1">
      <c r="A189" s="72">
        <v>15200000</v>
      </c>
      <c r="B189" s="73" t="s">
        <v>20</v>
      </c>
      <c r="C189" s="68" t="s">
        <v>995</v>
      </c>
      <c r="D189" s="67">
        <v>1</v>
      </c>
      <c r="E189" s="36" t="s">
        <v>364</v>
      </c>
      <c r="F189" s="177"/>
      <c r="G189" s="177"/>
      <c r="H189" s="177"/>
      <c r="I189" s="177"/>
      <c r="J189" s="198">
        <v>43646</v>
      </c>
      <c r="K189" s="65" t="str">
        <f t="shared" si="51"/>
        <v>SI</v>
      </c>
      <c r="L189" s="139">
        <f t="shared" si="27"/>
        <v>108548775.15000001</v>
      </c>
      <c r="M189" s="67">
        <v>108548775.15000001</v>
      </c>
      <c r="N189" s="67">
        <v>108548775.15000001</v>
      </c>
      <c r="O189" s="139">
        <f t="shared" si="53"/>
        <v>108548775.15000001</v>
      </c>
      <c r="P189" s="72">
        <v>15921000</v>
      </c>
      <c r="Q189" s="73" t="s">
        <v>27</v>
      </c>
      <c r="R189" s="67">
        <v>0</v>
      </c>
      <c r="S189" s="67">
        <v>0</v>
      </c>
      <c r="T189" s="139">
        <f t="shared" si="54"/>
        <v>0</v>
      </c>
      <c r="U189" s="60">
        <f t="shared" si="55"/>
        <v>108548775.15000001</v>
      </c>
      <c r="V189" s="181">
        <v>25</v>
      </c>
      <c r="W189" s="116">
        <f t="shared" si="52"/>
        <v>18</v>
      </c>
      <c r="X189" s="116">
        <f t="shared" si="56"/>
        <v>282</v>
      </c>
      <c r="Y189" s="38">
        <f t="shared" si="57"/>
        <v>361829.25050000002</v>
      </c>
      <c r="Z189" s="38">
        <f t="shared" si="58"/>
        <v>6512926.5090000005</v>
      </c>
      <c r="AA189" s="38">
        <f t="shared" si="59"/>
        <v>108548775</v>
      </c>
      <c r="AB189" s="38">
        <f t="shared" si="60"/>
        <v>6512927</v>
      </c>
      <c r="AC189" s="38">
        <f t="shared" si="61"/>
        <v>102035848</v>
      </c>
      <c r="AD189" s="67"/>
      <c r="AE189" s="73"/>
      <c r="AF189" s="73"/>
      <c r="AG189" s="73"/>
      <c r="AH189" s="73"/>
      <c r="AI189" s="73"/>
      <c r="AJ189" s="73"/>
      <c r="AK189" s="180"/>
    </row>
    <row r="190" spans="1:37" s="66" customFormat="1">
      <c r="A190" s="72">
        <v>15200000</v>
      </c>
      <c r="B190" s="73" t="s">
        <v>20</v>
      </c>
      <c r="C190" s="68" t="s">
        <v>995</v>
      </c>
      <c r="D190" s="67">
        <v>1</v>
      </c>
      <c r="E190" s="36" t="s">
        <v>364</v>
      </c>
      <c r="F190" s="177"/>
      <c r="G190" s="177"/>
      <c r="H190" s="177"/>
      <c r="I190" s="177"/>
      <c r="J190" s="198">
        <v>43685</v>
      </c>
      <c r="K190" s="65" t="str">
        <f t="shared" si="51"/>
        <v>SI</v>
      </c>
      <c r="L190" s="139">
        <f t="shared" si="27"/>
        <v>4331600</v>
      </c>
      <c r="M190" s="67">
        <v>4331600</v>
      </c>
      <c r="N190" s="67">
        <v>4331600</v>
      </c>
      <c r="O190" s="139">
        <f t="shared" si="53"/>
        <v>4331600</v>
      </c>
      <c r="P190" s="72">
        <v>15921000</v>
      </c>
      <c r="Q190" s="73" t="s">
        <v>27</v>
      </c>
      <c r="R190" s="67">
        <v>0</v>
      </c>
      <c r="S190" s="67">
        <v>0</v>
      </c>
      <c r="T190" s="139">
        <f t="shared" si="54"/>
        <v>0</v>
      </c>
      <c r="U190" s="175">
        <f t="shared" si="55"/>
        <v>4331600</v>
      </c>
      <c r="V190" s="181">
        <v>15</v>
      </c>
      <c r="W190" s="116">
        <f>IF(ROUND(($W$27-J190)/30,0)&gt;(V190*12),(V190*12),(ROUND(($W$27-J190)/30,0)))-1</f>
        <v>16</v>
      </c>
      <c r="X190" s="116">
        <f t="shared" si="56"/>
        <v>164</v>
      </c>
      <c r="Y190" s="38">
        <f t="shared" si="57"/>
        <v>24064.444444444445</v>
      </c>
      <c r="Z190" s="38">
        <f t="shared" si="58"/>
        <v>385031.11111111112</v>
      </c>
      <c r="AA190" s="38">
        <f t="shared" si="59"/>
        <v>4331600</v>
      </c>
      <c r="AB190" s="38">
        <f t="shared" si="60"/>
        <v>385031</v>
      </c>
      <c r="AC190" s="38">
        <f t="shared" si="61"/>
        <v>3946569</v>
      </c>
      <c r="AD190" s="67"/>
      <c r="AE190" s="73"/>
      <c r="AF190" s="73"/>
      <c r="AG190" s="73"/>
      <c r="AH190" s="73"/>
      <c r="AI190" s="73"/>
      <c r="AJ190" s="73"/>
      <c r="AK190" s="180"/>
    </row>
    <row r="191" spans="1:37" s="66" customFormat="1">
      <c r="A191" s="72">
        <v>15200000</v>
      </c>
      <c r="B191" s="73" t="s">
        <v>20</v>
      </c>
      <c r="C191" s="68" t="s">
        <v>995</v>
      </c>
      <c r="D191" s="67">
        <v>1</v>
      </c>
      <c r="E191" s="36" t="s">
        <v>364</v>
      </c>
      <c r="F191" s="177"/>
      <c r="G191" s="177"/>
      <c r="H191" s="177"/>
      <c r="I191" s="177"/>
      <c r="J191" s="198">
        <v>43699</v>
      </c>
      <c r="K191" s="65" t="str">
        <f t="shared" si="51"/>
        <v>SI</v>
      </c>
      <c r="L191" s="139">
        <f t="shared" si="27"/>
        <v>7392280</v>
      </c>
      <c r="M191" s="67">
        <v>7392280</v>
      </c>
      <c r="N191" s="67">
        <v>7392280</v>
      </c>
      <c r="O191" s="139">
        <f t="shared" si="53"/>
        <v>7392280</v>
      </c>
      <c r="P191" s="72">
        <v>15921000</v>
      </c>
      <c r="Q191" s="73" t="s">
        <v>27</v>
      </c>
      <c r="R191" s="67">
        <v>0</v>
      </c>
      <c r="S191" s="67">
        <v>0</v>
      </c>
      <c r="T191" s="139">
        <f t="shared" si="54"/>
        <v>0</v>
      </c>
      <c r="U191" s="175">
        <f t="shared" si="55"/>
        <v>7392280</v>
      </c>
      <c r="V191" s="181">
        <v>25</v>
      </c>
      <c r="W191" s="116">
        <f>IF(ROUND(($W$27-J191)/30,0)&gt;(V191*12),(V191*12),(ROUND(($W$27-J191)/30,0)))-1</f>
        <v>16</v>
      </c>
      <c r="X191" s="116">
        <f t="shared" si="56"/>
        <v>284</v>
      </c>
      <c r="Y191" s="38">
        <f t="shared" si="57"/>
        <v>24640.933333333334</v>
      </c>
      <c r="Z191" s="38">
        <f t="shared" si="58"/>
        <v>394254.93333333335</v>
      </c>
      <c r="AA191" s="38">
        <f t="shared" si="59"/>
        <v>7392280</v>
      </c>
      <c r="AB191" s="38">
        <f t="shared" si="60"/>
        <v>394255</v>
      </c>
      <c r="AC191" s="38">
        <f t="shared" si="61"/>
        <v>6998025</v>
      </c>
      <c r="AD191" s="67"/>
      <c r="AE191" s="73"/>
      <c r="AF191" s="73"/>
      <c r="AG191" s="73"/>
      <c r="AH191" s="73"/>
      <c r="AI191" s="73"/>
      <c r="AJ191" s="73"/>
      <c r="AK191" s="180"/>
    </row>
    <row r="192" spans="1:37" s="66" customFormat="1">
      <c r="A192" s="72">
        <v>15200000</v>
      </c>
      <c r="B192" s="73" t="s">
        <v>20</v>
      </c>
      <c r="C192" s="68" t="s">
        <v>995</v>
      </c>
      <c r="D192" s="67">
        <v>1</v>
      </c>
      <c r="E192" s="36" t="s">
        <v>364</v>
      </c>
      <c r="F192" s="177"/>
      <c r="G192" s="177"/>
      <c r="H192" s="177"/>
      <c r="I192" s="177"/>
      <c r="J192" s="198">
        <v>43708</v>
      </c>
      <c r="K192" s="65" t="str">
        <f t="shared" si="51"/>
        <v>SI</v>
      </c>
      <c r="L192" s="139">
        <f t="shared" si="27"/>
        <v>12922676.48</v>
      </c>
      <c r="M192" s="67">
        <v>12922676.48</v>
      </c>
      <c r="N192" s="67">
        <v>12922676.48</v>
      </c>
      <c r="O192" s="139">
        <f t="shared" si="53"/>
        <v>12922676.48</v>
      </c>
      <c r="P192" s="72">
        <v>15921000</v>
      </c>
      <c r="Q192" s="73" t="s">
        <v>27</v>
      </c>
      <c r="R192" s="67">
        <v>0</v>
      </c>
      <c r="S192" s="67">
        <v>0</v>
      </c>
      <c r="T192" s="139">
        <f t="shared" si="54"/>
        <v>0</v>
      </c>
      <c r="U192" s="175">
        <f t="shared" si="55"/>
        <v>12922676.48</v>
      </c>
      <c r="V192" s="181">
        <v>25</v>
      </c>
      <c r="W192" s="116">
        <f t="shared" si="52"/>
        <v>16</v>
      </c>
      <c r="X192" s="116">
        <f t="shared" si="56"/>
        <v>284</v>
      </c>
      <c r="Y192" s="38">
        <f t="shared" si="57"/>
        <v>43075.588266666666</v>
      </c>
      <c r="Z192" s="38">
        <f t="shared" si="58"/>
        <v>689209.41226666665</v>
      </c>
      <c r="AA192" s="38">
        <f t="shared" si="59"/>
        <v>12922676</v>
      </c>
      <c r="AB192" s="38">
        <f t="shared" si="60"/>
        <v>689209</v>
      </c>
      <c r="AC192" s="38">
        <f t="shared" si="61"/>
        <v>12233467</v>
      </c>
      <c r="AD192" s="67"/>
      <c r="AE192" s="73"/>
      <c r="AF192" s="73"/>
      <c r="AG192" s="73"/>
      <c r="AH192" s="73"/>
      <c r="AI192" s="73"/>
      <c r="AJ192" s="73"/>
      <c r="AK192" s="180"/>
    </row>
    <row r="193" spans="1:37" s="66" customFormat="1">
      <c r="A193" s="72">
        <v>15200000</v>
      </c>
      <c r="B193" s="73" t="s">
        <v>20</v>
      </c>
      <c r="C193" s="68" t="s">
        <v>995</v>
      </c>
      <c r="D193" s="67">
        <v>1</v>
      </c>
      <c r="E193" s="36" t="s">
        <v>364</v>
      </c>
      <c r="F193" s="177"/>
      <c r="G193" s="177"/>
      <c r="H193" s="177"/>
      <c r="I193" s="177"/>
      <c r="J193" s="198">
        <v>43708</v>
      </c>
      <c r="K193" s="65" t="str">
        <f t="shared" ref="K193:K224" si="62">IF(L193&gt;($M$26*50),"SI","NO")</f>
        <v>SI</v>
      </c>
      <c r="L193" s="139">
        <f t="shared" si="27"/>
        <v>11307341.92</v>
      </c>
      <c r="M193" s="67">
        <v>11307341.92</v>
      </c>
      <c r="N193" s="67">
        <v>11307341.92</v>
      </c>
      <c r="O193" s="139">
        <f t="shared" si="53"/>
        <v>11307341.92</v>
      </c>
      <c r="P193" s="72">
        <v>15921000</v>
      </c>
      <c r="Q193" s="73" t="s">
        <v>27</v>
      </c>
      <c r="R193" s="67">
        <v>0</v>
      </c>
      <c r="S193" s="67">
        <v>0</v>
      </c>
      <c r="T193" s="139">
        <f t="shared" si="54"/>
        <v>0</v>
      </c>
      <c r="U193" s="175">
        <f t="shared" si="55"/>
        <v>11307341.92</v>
      </c>
      <c r="V193" s="181">
        <v>25</v>
      </c>
      <c r="W193" s="116">
        <f t="shared" si="52"/>
        <v>16</v>
      </c>
      <c r="X193" s="116">
        <f t="shared" si="56"/>
        <v>284</v>
      </c>
      <c r="Y193" s="38">
        <f t="shared" si="57"/>
        <v>37691.13973333333</v>
      </c>
      <c r="Z193" s="38">
        <f t="shared" si="58"/>
        <v>603058.23573333328</v>
      </c>
      <c r="AA193" s="38">
        <f t="shared" si="59"/>
        <v>11307342</v>
      </c>
      <c r="AB193" s="38">
        <f t="shared" si="60"/>
        <v>603058</v>
      </c>
      <c r="AC193" s="38">
        <f t="shared" si="61"/>
        <v>10704284</v>
      </c>
      <c r="AD193" s="67"/>
      <c r="AE193" s="73"/>
      <c r="AF193" s="73"/>
      <c r="AG193" s="73"/>
      <c r="AH193" s="73"/>
      <c r="AI193" s="73"/>
      <c r="AJ193" s="73"/>
      <c r="AK193" s="180"/>
    </row>
    <row r="194" spans="1:37" s="66" customFormat="1">
      <c r="A194" s="72">
        <v>15200000</v>
      </c>
      <c r="B194" s="73" t="s">
        <v>20</v>
      </c>
      <c r="C194" s="68" t="s">
        <v>995</v>
      </c>
      <c r="D194" s="67">
        <v>1</v>
      </c>
      <c r="E194" s="36" t="s">
        <v>364</v>
      </c>
      <c r="F194" s="177"/>
      <c r="G194" s="177"/>
      <c r="H194" s="177"/>
      <c r="I194" s="177"/>
      <c r="J194" s="198">
        <v>43708</v>
      </c>
      <c r="K194" s="65" t="str">
        <f t="shared" si="62"/>
        <v>SI</v>
      </c>
      <c r="L194" s="139">
        <f t="shared" si="27"/>
        <v>11307341.92</v>
      </c>
      <c r="M194" s="67">
        <v>11307341.92</v>
      </c>
      <c r="N194" s="67">
        <v>11307341.92</v>
      </c>
      <c r="O194" s="139">
        <f t="shared" si="53"/>
        <v>11307341.92</v>
      </c>
      <c r="P194" s="72">
        <v>15921000</v>
      </c>
      <c r="Q194" s="73" t="s">
        <v>27</v>
      </c>
      <c r="R194" s="67">
        <v>0</v>
      </c>
      <c r="S194" s="67">
        <v>0</v>
      </c>
      <c r="T194" s="139">
        <f t="shared" si="54"/>
        <v>0</v>
      </c>
      <c r="U194" s="175">
        <f t="shared" si="55"/>
        <v>11307341.92</v>
      </c>
      <c r="V194" s="181">
        <v>25</v>
      </c>
      <c r="W194" s="116">
        <f t="shared" si="52"/>
        <v>16</v>
      </c>
      <c r="X194" s="116">
        <f t="shared" si="56"/>
        <v>284</v>
      </c>
      <c r="Y194" s="38">
        <f t="shared" si="57"/>
        <v>37691.13973333333</v>
      </c>
      <c r="Z194" s="38">
        <f t="shared" si="58"/>
        <v>603058.23573333328</v>
      </c>
      <c r="AA194" s="38">
        <f t="shared" si="59"/>
        <v>11307342</v>
      </c>
      <c r="AB194" s="38">
        <f t="shared" si="60"/>
        <v>603058</v>
      </c>
      <c r="AC194" s="38">
        <f t="shared" si="61"/>
        <v>10704284</v>
      </c>
      <c r="AD194" s="67"/>
      <c r="AE194" s="73"/>
      <c r="AF194" s="73"/>
      <c r="AG194" s="73"/>
      <c r="AH194" s="73"/>
      <c r="AI194" s="73"/>
      <c r="AJ194" s="73"/>
      <c r="AK194" s="180"/>
    </row>
    <row r="195" spans="1:37" s="66" customFormat="1">
      <c r="A195" s="72">
        <v>15200000</v>
      </c>
      <c r="B195" s="73" t="s">
        <v>20</v>
      </c>
      <c r="C195" s="68" t="s">
        <v>995</v>
      </c>
      <c r="D195" s="67">
        <v>1</v>
      </c>
      <c r="E195" s="36" t="s">
        <v>364</v>
      </c>
      <c r="F195" s="177"/>
      <c r="G195" s="177"/>
      <c r="H195" s="177"/>
      <c r="I195" s="177"/>
      <c r="J195" s="198">
        <v>43708</v>
      </c>
      <c r="K195" s="65" t="str">
        <f t="shared" si="62"/>
        <v>SI</v>
      </c>
      <c r="L195" s="139">
        <f t="shared" si="27"/>
        <v>11307341.92</v>
      </c>
      <c r="M195" s="67">
        <v>11307341.92</v>
      </c>
      <c r="N195" s="67">
        <v>11307341.92</v>
      </c>
      <c r="O195" s="139">
        <f t="shared" si="53"/>
        <v>11307341.92</v>
      </c>
      <c r="P195" s="72">
        <v>15921000</v>
      </c>
      <c r="Q195" s="73" t="s">
        <v>27</v>
      </c>
      <c r="R195" s="67">
        <v>0</v>
      </c>
      <c r="S195" s="67">
        <v>0</v>
      </c>
      <c r="T195" s="139">
        <f t="shared" si="54"/>
        <v>0</v>
      </c>
      <c r="U195" s="175">
        <f t="shared" si="55"/>
        <v>11307341.92</v>
      </c>
      <c r="V195" s="181">
        <v>25</v>
      </c>
      <c r="W195" s="116">
        <f t="shared" si="52"/>
        <v>16</v>
      </c>
      <c r="X195" s="116">
        <f t="shared" si="56"/>
        <v>284</v>
      </c>
      <c r="Y195" s="38">
        <f t="shared" si="57"/>
        <v>37691.13973333333</v>
      </c>
      <c r="Z195" s="38">
        <f t="shared" si="58"/>
        <v>603058.23573333328</v>
      </c>
      <c r="AA195" s="38">
        <f t="shared" si="59"/>
        <v>11307342</v>
      </c>
      <c r="AB195" s="38">
        <f t="shared" si="60"/>
        <v>603058</v>
      </c>
      <c r="AC195" s="38">
        <f t="shared" si="61"/>
        <v>10704284</v>
      </c>
      <c r="AD195" s="67"/>
      <c r="AE195" s="73"/>
      <c r="AF195" s="73"/>
      <c r="AG195" s="73"/>
      <c r="AH195" s="73"/>
      <c r="AI195" s="73"/>
      <c r="AJ195" s="73"/>
      <c r="AK195" s="180"/>
    </row>
    <row r="196" spans="1:37" s="66" customFormat="1">
      <c r="A196" s="72">
        <v>15200000</v>
      </c>
      <c r="B196" s="73" t="s">
        <v>20</v>
      </c>
      <c r="C196" s="68" t="s">
        <v>995</v>
      </c>
      <c r="D196" s="67">
        <v>1</v>
      </c>
      <c r="E196" s="36" t="s">
        <v>364</v>
      </c>
      <c r="F196" s="177"/>
      <c r="G196" s="177"/>
      <c r="H196" s="177"/>
      <c r="I196" s="177"/>
      <c r="J196" s="198">
        <v>43708</v>
      </c>
      <c r="K196" s="65" t="str">
        <f t="shared" si="62"/>
        <v>SI</v>
      </c>
      <c r="L196" s="139">
        <f t="shared" si="27"/>
        <v>11307341.92</v>
      </c>
      <c r="M196" s="67">
        <v>11307341.92</v>
      </c>
      <c r="N196" s="67">
        <v>11307341.92</v>
      </c>
      <c r="O196" s="139">
        <f t="shared" si="53"/>
        <v>11307341.92</v>
      </c>
      <c r="P196" s="72">
        <v>15921000</v>
      </c>
      <c r="Q196" s="73" t="s">
        <v>27</v>
      </c>
      <c r="R196" s="67">
        <v>0</v>
      </c>
      <c r="S196" s="67">
        <v>0</v>
      </c>
      <c r="T196" s="139">
        <f t="shared" si="54"/>
        <v>0</v>
      </c>
      <c r="U196" s="175">
        <f t="shared" si="55"/>
        <v>11307341.92</v>
      </c>
      <c r="V196" s="181">
        <v>25</v>
      </c>
      <c r="W196" s="116">
        <f t="shared" si="52"/>
        <v>16</v>
      </c>
      <c r="X196" s="116">
        <f t="shared" si="56"/>
        <v>284</v>
      </c>
      <c r="Y196" s="38">
        <f t="shared" si="57"/>
        <v>37691.13973333333</v>
      </c>
      <c r="Z196" s="38">
        <f t="shared" si="58"/>
        <v>603058.23573333328</v>
      </c>
      <c r="AA196" s="38">
        <f t="shared" si="59"/>
        <v>11307342</v>
      </c>
      <c r="AB196" s="38">
        <f t="shared" si="60"/>
        <v>603058</v>
      </c>
      <c r="AC196" s="38">
        <f t="shared" si="61"/>
        <v>10704284</v>
      </c>
      <c r="AD196" s="67"/>
      <c r="AE196" s="73"/>
      <c r="AF196" s="73"/>
      <c r="AG196" s="73"/>
      <c r="AH196" s="73"/>
      <c r="AI196" s="73"/>
      <c r="AJ196" s="73"/>
      <c r="AK196" s="180"/>
    </row>
    <row r="197" spans="1:37" s="66" customFormat="1">
      <c r="A197" s="72">
        <v>15200000</v>
      </c>
      <c r="B197" s="73" t="s">
        <v>20</v>
      </c>
      <c r="C197" s="68" t="s">
        <v>995</v>
      </c>
      <c r="D197" s="67">
        <v>1</v>
      </c>
      <c r="E197" s="36" t="s">
        <v>364</v>
      </c>
      <c r="F197" s="177"/>
      <c r="G197" s="177"/>
      <c r="H197" s="177"/>
      <c r="I197" s="177"/>
      <c r="J197" s="198">
        <v>43708</v>
      </c>
      <c r="K197" s="65" t="str">
        <f t="shared" si="62"/>
        <v>SI</v>
      </c>
      <c r="L197" s="139">
        <f t="shared" si="27"/>
        <v>11307341.92</v>
      </c>
      <c r="M197" s="67">
        <v>11307341.92</v>
      </c>
      <c r="N197" s="67">
        <v>11307341.92</v>
      </c>
      <c r="O197" s="139">
        <f t="shared" si="53"/>
        <v>11307341.92</v>
      </c>
      <c r="P197" s="72">
        <v>15921000</v>
      </c>
      <c r="Q197" s="73" t="s">
        <v>27</v>
      </c>
      <c r="R197" s="67">
        <v>0</v>
      </c>
      <c r="S197" s="67">
        <v>0</v>
      </c>
      <c r="T197" s="139">
        <f t="shared" si="54"/>
        <v>0</v>
      </c>
      <c r="U197" s="175">
        <f t="shared" si="55"/>
        <v>11307341.92</v>
      </c>
      <c r="V197" s="181">
        <v>25</v>
      </c>
      <c r="W197" s="116">
        <f t="shared" si="52"/>
        <v>16</v>
      </c>
      <c r="X197" s="116">
        <f t="shared" si="56"/>
        <v>284</v>
      </c>
      <c r="Y197" s="38">
        <f t="shared" si="57"/>
        <v>37691.13973333333</v>
      </c>
      <c r="Z197" s="38">
        <f t="shared" si="58"/>
        <v>603058.23573333328</v>
      </c>
      <c r="AA197" s="38">
        <f t="shared" si="59"/>
        <v>11307342</v>
      </c>
      <c r="AB197" s="38">
        <f t="shared" si="60"/>
        <v>603058</v>
      </c>
      <c r="AC197" s="38">
        <f t="shared" si="61"/>
        <v>10704284</v>
      </c>
      <c r="AD197" s="67"/>
      <c r="AE197" s="73"/>
      <c r="AF197" s="73"/>
      <c r="AG197" s="73"/>
      <c r="AH197" s="73"/>
      <c r="AI197" s="73"/>
      <c r="AJ197" s="73"/>
      <c r="AK197" s="180"/>
    </row>
    <row r="198" spans="1:37" s="66" customFormat="1">
      <c r="A198" s="72">
        <v>15200000</v>
      </c>
      <c r="B198" s="73" t="s">
        <v>20</v>
      </c>
      <c r="C198" s="68" t="s">
        <v>995</v>
      </c>
      <c r="D198" s="67">
        <v>1</v>
      </c>
      <c r="E198" s="36" t="s">
        <v>364</v>
      </c>
      <c r="F198" s="177"/>
      <c r="G198" s="177"/>
      <c r="H198" s="177"/>
      <c r="I198" s="177"/>
      <c r="J198" s="198">
        <v>43708</v>
      </c>
      <c r="K198" s="182" t="str">
        <f t="shared" si="62"/>
        <v>SI</v>
      </c>
      <c r="L198" s="186">
        <f t="shared" si="27"/>
        <v>11307341.92</v>
      </c>
      <c r="M198" s="67">
        <v>11307341.92</v>
      </c>
      <c r="N198" s="67">
        <v>11307341.92</v>
      </c>
      <c r="O198" s="186">
        <f t="shared" si="53"/>
        <v>11307341.92</v>
      </c>
      <c r="P198" s="72">
        <v>15921000</v>
      </c>
      <c r="Q198" s="73" t="s">
        <v>27</v>
      </c>
      <c r="R198" s="67">
        <v>0</v>
      </c>
      <c r="S198" s="67">
        <v>0</v>
      </c>
      <c r="T198" s="186">
        <f t="shared" si="54"/>
        <v>0</v>
      </c>
      <c r="U198" s="187">
        <f t="shared" si="55"/>
        <v>11307341.92</v>
      </c>
      <c r="V198" s="181">
        <v>25</v>
      </c>
      <c r="W198" s="116">
        <f t="shared" si="52"/>
        <v>16</v>
      </c>
      <c r="X198" s="116">
        <f t="shared" si="56"/>
        <v>284</v>
      </c>
      <c r="Y198" s="38">
        <f t="shared" si="57"/>
        <v>37691.13973333333</v>
      </c>
      <c r="Z198" s="38">
        <f t="shared" si="58"/>
        <v>603058.23573333328</v>
      </c>
      <c r="AA198" s="38">
        <f t="shared" si="59"/>
        <v>11307342</v>
      </c>
      <c r="AB198" s="38">
        <f t="shared" si="60"/>
        <v>603058</v>
      </c>
      <c r="AC198" s="38">
        <f t="shared" si="61"/>
        <v>10704284</v>
      </c>
      <c r="AD198" s="67"/>
      <c r="AE198" s="73"/>
      <c r="AF198" s="73"/>
      <c r="AG198" s="73"/>
      <c r="AH198" s="73"/>
      <c r="AI198" s="73"/>
      <c r="AJ198" s="73"/>
      <c r="AK198" s="180"/>
    </row>
    <row r="199" spans="1:37" s="66" customFormat="1">
      <c r="A199" s="72">
        <v>15200000</v>
      </c>
      <c r="B199" s="73" t="s">
        <v>20</v>
      </c>
      <c r="C199" s="200" t="s">
        <v>995</v>
      </c>
      <c r="D199" s="202">
        <v>1</v>
      </c>
      <c r="E199" s="36" t="s">
        <v>364</v>
      </c>
      <c r="F199" s="203"/>
      <c r="G199" s="203"/>
      <c r="H199" s="203"/>
      <c r="I199" s="203"/>
      <c r="J199" s="204">
        <v>43691</v>
      </c>
      <c r="K199" s="211" t="str">
        <f t="shared" si="62"/>
        <v>SI</v>
      </c>
      <c r="L199" s="189">
        <f>M199/D199</f>
        <v>30886408.059999999</v>
      </c>
      <c r="M199" s="202">
        <f>21462307.06+1673048+4755000+139951+77350+650000+2128752</f>
        <v>30886408.059999999</v>
      </c>
      <c r="N199" s="202">
        <f>21462307.06+1673048+4755000+139951+77350+650000+2128752</f>
        <v>30886408.059999999</v>
      </c>
      <c r="O199" s="189">
        <f>IF(K199="SI",N199,0)</f>
        <v>30886408.059999999</v>
      </c>
      <c r="P199" s="155">
        <v>15921000</v>
      </c>
      <c r="Q199" s="151" t="s">
        <v>27</v>
      </c>
      <c r="R199" s="202">
        <v>0</v>
      </c>
      <c r="S199" s="202">
        <v>0</v>
      </c>
      <c r="T199" s="189">
        <f>IF(O199&gt;0,S199,0)</f>
        <v>0</v>
      </c>
      <c r="U199" s="190">
        <f>IF(O199&gt;0,N199-S199,0)</f>
        <v>30886408.059999999</v>
      </c>
      <c r="V199" s="181">
        <v>25</v>
      </c>
      <c r="W199" s="116">
        <f>IF(ROUND(($W$27-J199)/30,0)&gt;(V199*12),(V199*12),(ROUND(($W$27-J199)/30,0)))-1</f>
        <v>16</v>
      </c>
      <c r="X199" s="116">
        <f t="shared" si="56"/>
        <v>284</v>
      </c>
      <c r="Y199" s="38">
        <f t="shared" si="57"/>
        <v>102954.69353333332</v>
      </c>
      <c r="Z199" s="38">
        <f t="shared" si="58"/>
        <v>1647275.0965333332</v>
      </c>
      <c r="AA199" s="38">
        <f t="shared" si="59"/>
        <v>30886408</v>
      </c>
      <c r="AB199" s="38">
        <f t="shared" si="60"/>
        <v>1647275</v>
      </c>
      <c r="AC199" s="38">
        <f t="shared" si="61"/>
        <v>29239133</v>
      </c>
      <c r="AD199" s="67"/>
      <c r="AE199" s="73"/>
      <c r="AF199" s="73"/>
      <c r="AG199" s="73"/>
      <c r="AH199" s="73"/>
      <c r="AI199" s="73"/>
      <c r="AJ199" s="73"/>
      <c r="AK199" s="180"/>
    </row>
    <row r="200" spans="1:37" s="66" customFormat="1">
      <c r="A200" s="72">
        <v>15200000</v>
      </c>
      <c r="B200" s="73" t="s">
        <v>20</v>
      </c>
      <c r="C200" s="206" t="s">
        <v>995</v>
      </c>
      <c r="D200" s="205">
        <v>1</v>
      </c>
      <c r="E200" s="36" t="s">
        <v>364</v>
      </c>
      <c r="F200" s="207"/>
      <c r="G200" s="207"/>
      <c r="H200" s="207"/>
      <c r="I200" s="207"/>
      <c r="J200" s="178">
        <v>43711</v>
      </c>
      <c r="K200" s="65" t="str">
        <f t="shared" si="62"/>
        <v>NO</v>
      </c>
      <c r="L200" s="139">
        <f t="shared" ref="L200:L208" si="63">M200/D200</f>
        <v>0</v>
      </c>
      <c r="M200" s="205">
        <f>1673048*0</f>
        <v>0</v>
      </c>
      <c r="N200" s="205">
        <f>1673048*0</f>
        <v>0</v>
      </c>
      <c r="O200" s="139">
        <f t="shared" ref="O200:O208" si="64">IF(K200="SI",N200,0)</f>
        <v>0</v>
      </c>
      <c r="P200" s="212">
        <v>15921000</v>
      </c>
      <c r="Q200" s="213" t="s">
        <v>27</v>
      </c>
      <c r="R200" s="205">
        <v>0</v>
      </c>
      <c r="S200" s="205">
        <v>0</v>
      </c>
      <c r="T200" s="139">
        <f t="shared" ref="T200:T208" si="65">IF(O200&gt;0,S200,0)</f>
        <v>0</v>
      </c>
      <c r="U200" s="191">
        <f t="shared" ref="U200:U208" si="66">IF(O200&gt;0,N200-S200,0)</f>
        <v>0</v>
      </c>
      <c r="V200" s="181">
        <v>25</v>
      </c>
      <c r="W200" s="116">
        <f t="shared" si="52"/>
        <v>16</v>
      </c>
      <c r="X200" s="116">
        <f t="shared" si="56"/>
        <v>284</v>
      </c>
      <c r="Y200" s="38">
        <f t="shared" si="57"/>
        <v>0</v>
      </c>
      <c r="Z200" s="38">
        <f t="shared" si="58"/>
        <v>0</v>
      </c>
      <c r="AA200" s="38">
        <f t="shared" si="59"/>
        <v>0</v>
      </c>
      <c r="AB200" s="38">
        <f t="shared" si="60"/>
        <v>0</v>
      </c>
      <c r="AC200" s="38">
        <f t="shared" si="61"/>
        <v>0</v>
      </c>
      <c r="AD200" s="67"/>
      <c r="AE200" s="73"/>
      <c r="AF200" s="73"/>
      <c r="AG200" s="73"/>
      <c r="AH200" s="73"/>
      <c r="AI200" s="73"/>
      <c r="AJ200" s="73"/>
      <c r="AK200" s="180"/>
    </row>
    <row r="201" spans="1:37" s="66" customFormat="1">
      <c r="A201" s="72">
        <v>15200000</v>
      </c>
      <c r="B201" s="73" t="s">
        <v>20</v>
      </c>
      <c r="C201" s="206" t="s">
        <v>995</v>
      </c>
      <c r="D201" s="205">
        <v>1</v>
      </c>
      <c r="E201" s="36" t="s">
        <v>364</v>
      </c>
      <c r="F201" s="207"/>
      <c r="G201" s="207"/>
      <c r="H201" s="207"/>
      <c r="I201" s="207"/>
      <c r="J201" s="178">
        <v>43712</v>
      </c>
      <c r="K201" s="65" t="str">
        <f t="shared" si="62"/>
        <v>NO</v>
      </c>
      <c r="L201" s="139">
        <f t="shared" si="63"/>
        <v>0</v>
      </c>
      <c r="M201" s="205">
        <f>4755000*0</f>
        <v>0</v>
      </c>
      <c r="N201" s="205">
        <f>4755000*0</f>
        <v>0</v>
      </c>
      <c r="O201" s="139">
        <f t="shared" si="64"/>
        <v>0</v>
      </c>
      <c r="P201" s="212">
        <v>15921000</v>
      </c>
      <c r="Q201" s="213" t="s">
        <v>27</v>
      </c>
      <c r="R201" s="205">
        <v>0</v>
      </c>
      <c r="S201" s="205">
        <v>0</v>
      </c>
      <c r="T201" s="139">
        <f t="shared" si="65"/>
        <v>0</v>
      </c>
      <c r="U201" s="191">
        <f t="shared" si="66"/>
        <v>0</v>
      </c>
      <c r="V201" s="181">
        <v>25</v>
      </c>
      <c r="W201" s="116">
        <f t="shared" si="52"/>
        <v>16</v>
      </c>
      <c r="X201" s="116">
        <f t="shared" si="56"/>
        <v>284</v>
      </c>
      <c r="Y201" s="38">
        <f t="shared" si="57"/>
        <v>0</v>
      </c>
      <c r="Z201" s="38">
        <f t="shared" si="58"/>
        <v>0</v>
      </c>
      <c r="AA201" s="38">
        <f t="shared" si="59"/>
        <v>0</v>
      </c>
      <c r="AB201" s="38">
        <f t="shared" si="60"/>
        <v>0</v>
      </c>
      <c r="AC201" s="38">
        <f t="shared" si="61"/>
        <v>0</v>
      </c>
      <c r="AD201" s="67"/>
      <c r="AE201" s="73"/>
      <c r="AF201" s="73"/>
      <c r="AG201" s="73"/>
      <c r="AH201" s="73"/>
      <c r="AI201" s="73"/>
      <c r="AJ201" s="73"/>
      <c r="AK201" s="180"/>
    </row>
    <row r="202" spans="1:37" s="66" customFormat="1">
      <c r="A202" s="72">
        <v>15200000</v>
      </c>
      <c r="B202" s="73" t="s">
        <v>20</v>
      </c>
      <c r="C202" s="206" t="s">
        <v>995</v>
      </c>
      <c r="D202" s="205">
        <v>1</v>
      </c>
      <c r="E202" s="36" t="s">
        <v>364</v>
      </c>
      <c r="F202" s="207"/>
      <c r="G202" s="207"/>
      <c r="H202" s="207"/>
      <c r="I202" s="207"/>
      <c r="J202" s="178">
        <v>43719</v>
      </c>
      <c r="K202" s="65" t="str">
        <f t="shared" si="62"/>
        <v>NO</v>
      </c>
      <c r="L202" s="139">
        <f t="shared" si="63"/>
        <v>0</v>
      </c>
      <c r="M202" s="205">
        <f>139951*0</f>
        <v>0</v>
      </c>
      <c r="N202" s="205">
        <f>139951*0</f>
        <v>0</v>
      </c>
      <c r="O202" s="139">
        <f t="shared" si="64"/>
        <v>0</v>
      </c>
      <c r="P202" s="212">
        <v>15921000</v>
      </c>
      <c r="Q202" s="213" t="s">
        <v>27</v>
      </c>
      <c r="R202" s="205">
        <v>0</v>
      </c>
      <c r="S202" s="205">
        <v>0</v>
      </c>
      <c r="T202" s="139">
        <f t="shared" si="65"/>
        <v>0</v>
      </c>
      <c r="U202" s="191">
        <f t="shared" si="66"/>
        <v>0</v>
      </c>
      <c r="V202" s="181">
        <v>25</v>
      </c>
      <c r="W202" s="116">
        <f t="shared" si="52"/>
        <v>16</v>
      </c>
      <c r="X202" s="116">
        <f t="shared" si="56"/>
        <v>284</v>
      </c>
      <c r="Y202" s="38">
        <f t="shared" si="57"/>
        <v>0</v>
      </c>
      <c r="Z202" s="38">
        <f t="shared" si="58"/>
        <v>0</v>
      </c>
      <c r="AA202" s="38">
        <f t="shared" si="59"/>
        <v>0</v>
      </c>
      <c r="AB202" s="38">
        <f t="shared" si="60"/>
        <v>0</v>
      </c>
      <c r="AC202" s="38">
        <f t="shared" si="61"/>
        <v>0</v>
      </c>
      <c r="AD202" s="67"/>
      <c r="AE202" s="73"/>
      <c r="AF202" s="73"/>
      <c r="AG202" s="73"/>
      <c r="AH202" s="73"/>
      <c r="AI202" s="73"/>
      <c r="AJ202" s="73"/>
      <c r="AK202" s="180"/>
    </row>
    <row r="203" spans="1:37" s="66" customFormat="1">
      <c r="A203" s="72">
        <v>15200000</v>
      </c>
      <c r="B203" s="73" t="s">
        <v>20</v>
      </c>
      <c r="C203" s="206" t="s">
        <v>995</v>
      </c>
      <c r="D203" s="205">
        <v>1</v>
      </c>
      <c r="E203" s="36" t="s">
        <v>364</v>
      </c>
      <c r="F203" s="207"/>
      <c r="G203" s="207"/>
      <c r="H203" s="207"/>
      <c r="I203" s="207"/>
      <c r="J203" s="178">
        <v>43719</v>
      </c>
      <c r="K203" s="65" t="str">
        <f t="shared" si="62"/>
        <v>NO</v>
      </c>
      <c r="L203" s="139">
        <f t="shared" si="63"/>
        <v>0</v>
      </c>
      <c r="M203" s="205">
        <f>77350*0</f>
        <v>0</v>
      </c>
      <c r="N203" s="205">
        <f>77350*0</f>
        <v>0</v>
      </c>
      <c r="O203" s="139">
        <f t="shared" si="64"/>
        <v>0</v>
      </c>
      <c r="P203" s="212">
        <v>15921000</v>
      </c>
      <c r="Q203" s="213" t="s">
        <v>27</v>
      </c>
      <c r="R203" s="205">
        <v>0</v>
      </c>
      <c r="S203" s="205">
        <v>0</v>
      </c>
      <c r="T203" s="139">
        <f t="shared" si="65"/>
        <v>0</v>
      </c>
      <c r="U203" s="191">
        <f t="shared" si="66"/>
        <v>0</v>
      </c>
      <c r="V203" s="181">
        <v>25</v>
      </c>
      <c r="W203" s="116">
        <f t="shared" si="52"/>
        <v>16</v>
      </c>
      <c r="X203" s="116">
        <f t="shared" si="56"/>
        <v>284</v>
      </c>
      <c r="Y203" s="38">
        <f t="shared" si="57"/>
        <v>0</v>
      </c>
      <c r="Z203" s="38">
        <f t="shared" si="58"/>
        <v>0</v>
      </c>
      <c r="AA203" s="38">
        <f t="shared" si="59"/>
        <v>0</v>
      </c>
      <c r="AB203" s="38">
        <f t="shared" si="60"/>
        <v>0</v>
      </c>
      <c r="AC203" s="38">
        <f t="shared" si="61"/>
        <v>0</v>
      </c>
      <c r="AD203" s="67"/>
      <c r="AE203" s="73"/>
      <c r="AF203" s="73"/>
      <c r="AG203" s="73"/>
      <c r="AH203" s="73"/>
      <c r="AI203" s="73"/>
      <c r="AJ203" s="73"/>
      <c r="AK203" s="180"/>
    </row>
    <row r="204" spans="1:37" s="66" customFormat="1">
      <c r="A204" s="72">
        <v>15200000</v>
      </c>
      <c r="B204" s="73" t="s">
        <v>20</v>
      </c>
      <c r="C204" s="206" t="s">
        <v>995</v>
      </c>
      <c r="D204" s="205">
        <v>1</v>
      </c>
      <c r="E204" s="36" t="s">
        <v>364</v>
      </c>
      <c r="F204" s="207"/>
      <c r="G204" s="207"/>
      <c r="H204" s="207"/>
      <c r="I204" s="207"/>
      <c r="J204" s="178">
        <v>43727</v>
      </c>
      <c r="K204" s="65" t="str">
        <f t="shared" si="62"/>
        <v>NO</v>
      </c>
      <c r="L204" s="139">
        <f t="shared" si="63"/>
        <v>0</v>
      </c>
      <c r="M204" s="205">
        <f>650000*0</f>
        <v>0</v>
      </c>
      <c r="N204" s="205">
        <f>650000*0</f>
        <v>0</v>
      </c>
      <c r="O204" s="139">
        <f t="shared" si="64"/>
        <v>0</v>
      </c>
      <c r="P204" s="212">
        <v>15921000</v>
      </c>
      <c r="Q204" s="213" t="s">
        <v>27</v>
      </c>
      <c r="R204" s="205">
        <v>0</v>
      </c>
      <c r="S204" s="205">
        <v>0</v>
      </c>
      <c r="T204" s="139">
        <f t="shared" si="65"/>
        <v>0</v>
      </c>
      <c r="U204" s="191">
        <f t="shared" si="66"/>
        <v>0</v>
      </c>
      <c r="V204" s="181">
        <v>25</v>
      </c>
      <c r="W204" s="116">
        <f>IF(ROUND(($W$27-J204)/30,0)&gt;(V204*12),(V204*12),(ROUND(($W$27-J204)/30,0)))</f>
        <v>16</v>
      </c>
      <c r="X204" s="116">
        <f t="shared" si="56"/>
        <v>284</v>
      </c>
      <c r="Y204" s="38">
        <f t="shared" si="57"/>
        <v>0</v>
      </c>
      <c r="Z204" s="38">
        <f t="shared" si="58"/>
        <v>0</v>
      </c>
      <c r="AA204" s="38">
        <f t="shared" si="59"/>
        <v>0</v>
      </c>
      <c r="AB204" s="38">
        <f t="shared" si="60"/>
        <v>0</v>
      </c>
      <c r="AC204" s="38">
        <f t="shared" si="61"/>
        <v>0</v>
      </c>
      <c r="AD204" s="67"/>
      <c r="AE204" s="73"/>
      <c r="AF204" s="73"/>
      <c r="AG204" s="73"/>
      <c r="AH204" s="73"/>
      <c r="AI204" s="73"/>
      <c r="AJ204" s="73"/>
      <c r="AK204" s="180"/>
    </row>
    <row r="205" spans="1:37" s="66" customFormat="1">
      <c r="A205" s="72">
        <v>15200000</v>
      </c>
      <c r="B205" s="73" t="s">
        <v>20</v>
      </c>
      <c r="C205" s="201" t="s">
        <v>995</v>
      </c>
      <c r="D205" s="208">
        <v>1</v>
      </c>
      <c r="E205" s="36" t="s">
        <v>364</v>
      </c>
      <c r="F205" s="209"/>
      <c r="G205" s="209"/>
      <c r="H205" s="209"/>
      <c r="I205" s="209"/>
      <c r="J205" s="210">
        <v>43727</v>
      </c>
      <c r="K205" s="214" t="str">
        <f t="shared" si="62"/>
        <v>NO</v>
      </c>
      <c r="L205" s="193">
        <f t="shared" si="63"/>
        <v>0</v>
      </c>
      <c r="M205" s="208">
        <f>2128752*0</f>
        <v>0</v>
      </c>
      <c r="N205" s="208">
        <f>2128752*0</f>
        <v>0</v>
      </c>
      <c r="O205" s="193">
        <f t="shared" si="64"/>
        <v>0</v>
      </c>
      <c r="P205" s="162">
        <v>15921000</v>
      </c>
      <c r="Q205" s="158" t="s">
        <v>27</v>
      </c>
      <c r="R205" s="208">
        <v>0</v>
      </c>
      <c r="S205" s="208">
        <v>0</v>
      </c>
      <c r="T205" s="193">
        <f t="shared" si="65"/>
        <v>0</v>
      </c>
      <c r="U205" s="194">
        <f t="shared" si="66"/>
        <v>0</v>
      </c>
      <c r="V205" s="181">
        <v>25</v>
      </c>
      <c r="W205" s="116">
        <f>IF(ROUND(($W$27-J205)/30,0)&gt;(V205*12),(V205*12),(ROUND(($W$27-J205)/30,0)))</f>
        <v>16</v>
      </c>
      <c r="X205" s="116">
        <f t="shared" si="56"/>
        <v>284</v>
      </c>
      <c r="Y205" s="38">
        <f t="shared" si="57"/>
        <v>0</v>
      </c>
      <c r="Z205" s="38">
        <f t="shared" si="58"/>
        <v>0</v>
      </c>
      <c r="AA205" s="38">
        <f t="shared" si="59"/>
        <v>0</v>
      </c>
      <c r="AB205" s="38">
        <f t="shared" si="60"/>
        <v>0</v>
      </c>
      <c r="AC205" s="38">
        <f t="shared" si="61"/>
        <v>0</v>
      </c>
      <c r="AD205" s="67"/>
      <c r="AE205" s="73"/>
      <c r="AF205" s="73"/>
      <c r="AG205" s="73"/>
      <c r="AH205" s="73"/>
      <c r="AI205" s="73"/>
      <c r="AJ205" s="73"/>
      <c r="AK205" s="180"/>
    </row>
    <row r="206" spans="1:37" s="66" customFormat="1">
      <c r="A206" s="72">
        <v>15200000</v>
      </c>
      <c r="B206" s="73" t="s">
        <v>20</v>
      </c>
      <c r="C206" s="68" t="s">
        <v>995</v>
      </c>
      <c r="D206" s="67">
        <v>1</v>
      </c>
      <c r="E206" s="36" t="s">
        <v>364</v>
      </c>
      <c r="F206" s="177"/>
      <c r="G206" s="177"/>
      <c r="H206" s="177"/>
      <c r="I206" s="177"/>
      <c r="J206" s="178">
        <v>43721</v>
      </c>
      <c r="K206" s="184" t="str">
        <f t="shared" si="62"/>
        <v>SI</v>
      </c>
      <c r="L206" s="196">
        <f>M206/D206</f>
        <v>4510100</v>
      </c>
      <c r="M206" s="67">
        <v>4510100</v>
      </c>
      <c r="N206" s="67">
        <v>4510100</v>
      </c>
      <c r="O206" s="196">
        <f>IF(K206="SI",N206,0)</f>
        <v>4510100</v>
      </c>
      <c r="P206" s="72">
        <v>15921000</v>
      </c>
      <c r="Q206" s="73" t="s">
        <v>27</v>
      </c>
      <c r="R206" s="67">
        <v>0</v>
      </c>
      <c r="S206" s="67">
        <v>0</v>
      </c>
      <c r="T206" s="196">
        <f>IF(O206&gt;0,S206,0)</f>
        <v>0</v>
      </c>
      <c r="U206" s="197">
        <f>IF(O206&gt;0,N206-S206,0)</f>
        <v>4510100</v>
      </c>
      <c r="V206" s="181">
        <v>25</v>
      </c>
      <c r="W206" s="116">
        <f>IF(ROUND(($W$27-J206)/30,0)&gt;(V206*12),(V206*12),(ROUND(($W$27-J206)/30,0)))-1</f>
        <v>15</v>
      </c>
      <c r="X206" s="116">
        <f t="shared" si="56"/>
        <v>285</v>
      </c>
      <c r="Y206" s="38">
        <f t="shared" si="57"/>
        <v>15033.666666666666</v>
      </c>
      <c r="Z206" s="38">
        <f t="shared" si="58"/>
        <v>225505</v>
      </c>
      <c r="AA206" s="38">
        <f t="shared" si="59"/>
        <v>4510100</v>
      </c>
      <c r="AB206" s="38">
        <f t="shared" si="60"/>
        <v>225505</v>
      </c>
      <c r="AC206" s="38">
        <f t="shared" si="61"/>
        <v>4284595</v>
      </c>
      <c r="AD206" s="67"/>
      <c r="AE206" s="73"/>
      <c r="AF206" s="73"/>
      <c r="AG206" s="73"/>
      <c r="AH206" s="73"/>
      <c r="AI206" s="73"/>
      <c r="AJ206" s="73"/>
      <c r="AK206" s="180"/>
    </row>
    <row r="207" spans="1:37" s="66" customFormat="1">
      <c r="A207" s="72">
        <v>15200000</v>
      </c>
      <c r="B207" s="73" t="s">
        <v>20</v>
      </c>
      <c r="C207" s="68" t="s">
        <v>995</v>
      </c>
      <c r="D207" s="67">
        <v>1</v>
      </c>
      <c r="E207" s="36" t="s">
        <v>364</v>
      </c>
      <c r="F207" s="177"/>
      <c r="G207" s="177"/>
      <c r="H207" s="177"/>
      <c r="I207" s="177"/>
      <c r="J207" s="178">
        <v>43733</v>
      </c>
      <c r="K207" s="65" t="str">
        <f t="shared" si="62"/>
        <v>SI</v>
      </c>
      <c r="L207" s="139">
        <f t="shared" si="63"/>
        <v>4685268</v>
      </c>
      <c r="M207" s="67">
        <v>4685268</v>
      </c>
      <c r="N207" s="67">
        <v>4685268</v>
      </c>
      <c r="O207" s="139">
        <f t="shared" si="64"/>
        <v>4685268</v>
      </c>
      <c r="P207" s="72">
        <v>15921000</v>
      </c>
      <c r="Q207" s="73" t="s">
        <v>27</v>
      </c>
      <c r="R207" s="67">
        <v>0</v>
      </c>
      <c r="S207" s="67">
        <v>0</v>
      </c>
      <c r="T207" s="139">
        <f t="shared" si="65"/>
        <v>0</v>
      </c>
      <c r="U207" s="175">
        <f t="shared" si="66"/>
        <v>4685268</v>
      </c>
      <c r="V207" s="181">
        <v>20</v>
      </c>
      <c r="W207" s="116">
        <f t="shared" si="52"/>
        <v>15</v>
      </c>
      <c r="X207" s="116">
        <f t="shared" si="56"/>
        <v>225</v>
      </c>
      <c r="Y207" s="38">
        <f t="shared" si="57"/>
        <v>19521.95</v>
      </c>
      <c r="Z207" s="38">
        <f t="shared" si="58"/>
        <v>292829.25</v>
      </c>
      <c r="AA207" s="38">
        <f t="shared" si="59"/>
        <v>4685268</v>
      </c>
      <c r="AB207" s="38">
        <f t="shared" si="60"/>
        <v>292829</v>
      </c>
      <c r="AC207" s="38">
        <f t="shared" si="61"/>
        <v>4392439</v>
      </c>
      <c r="AD207" s="67"/>
      <c r="AE207" s="73"/>
      <c r="AF207" s="73"/>
      <c r="AG207" s="73"/>
      <c r="AH207" s="73"/>
      <c r="AI207" s="73"/>
      <c r="AJ207" s="73"/>
      <c r="AK207" s="180"/>
    </row>
    <row r="208" spans="1:37" s="66" customFormat="1">
      <c r="A208" s="72">
        <v>15200000</v>
      </c>
      <c r="B208" s="73" t="s">
        <v>20</v>
      </c>
      <c r="C208" s="68" t="s">
        <v>995</v>
      </c>
      <c r="D208" s="67">
        <v>1</v>
      </c>
      <c r="E208" s="36" t="s">
        <v>364</v>
      </c>
      <c r="F208" s="177"/>
      <c r="G208" s="177"/>
      <c r="H208" s="177"/>
      <c r="I208" s="177"/>
      <c r="J208" s="178">
        <v>43738</v>
      </c>
      <c r="K208" s="65" t="str">
        <f t="shared" si="62"/>
        <v>SI</v>
      </c>
      <c r="L208" s="139">
        <f t="shared" si="63"/>
        <v>301423390.14999998</v>
      </c>
      <c r="M208" s="67">
        <f>298367790.15+3055600</f>
        <v>301423390.14999998</v>
      </c>
      <c r="N208" s="67">
        <f>298367790.15+3055600</f>
        <v>301423390.14999998</v>
      </c>
      <c r="O208" s="139">
        <f t="shared" si="64"/>
        <v>301423390.14999998</v>
      </c>
      <c r="P208" s="72">
        <v>15921000</v>
      </c>
      <c r="Q208" s="73" t="s">
        <v>27</v>
      </c>
      <c r="R208" s="67">
        <v>0</v>
      </c>
      <c r="S208" s="67">
        <v>0</v>
      </c>
      <c r="T208" s="139">
        <f t="shared" si="65"/>
        <v>0</v>
      </c>
      <c r="U208" s="175">
        <f t="shared" si="66"/>
        <v>301423390.14999998</v>
      </c>
      <c r="V208" s="181">
        <v>20</v>
      </c>
      <c r="W208" s="116">
        <f t="shared" si="52"/>
        <v>15</v>
      </c>
      <c r="X208" s="116">
        <f t="shared" si="56"/>
        <v>225</v>
      </c>
      <c r="Y208" s="38">
        <f t="shared" si="57"/>
        <v>1255930.7922916666</v>
      </c>
      <c r="Z208" s="38">
        <f t="shared" si="58"/>
        <v>18838961.884374999</v>
      </c>
      <c r="AA208" s="38">
        <f t="shared" si="59"/>
        <v>301423390</v>
      </c>
      <c r="AB208" s="38">
        <f t="shared" si="60"/>
        <v>18838962</v>
      </c>
      <c r="AC208" s="38">
        <f t="shared" si="61"/>
        <v>282584428</v>
      </c>
      <c r="AD208" s="67"/>
      <c r="AE208" s="73"/>
      <c r="AF208" s="73"/>
      <c r="AG208" s="73"/>
      <c r="AH208" s="73"/>
      <c r="AI208" s="73"/>
      <c r="AJ208" s="73"/>
      <c r="AK208" s="180"/>
    </row>
    <row r="209" spans="1:37" s="66" customFormat="1">
      <c r="A209" s="72">
        <v>15200000</v>
      </c>
      <c r="B209" s="73" t="s">
        <v>20</v>
      </c>
      <c r="C209" s="176" t="s">
        <v>995</v>
      </c>
      <c r="D209" s="67">
        <v>1</v>
      </c>
      <c r="E209" s="36" t="s">
        <v>364</v>
      </c>
      <c r="F209" s="177"/>
      <c r="G209" s="177"/>
      <c r="H209" s="177"/>
      <c r="I209" s="177"/>
      <c r="J209" s="178">
        <v>43770</v>
      </c>
      <c r="K209" s="65" t="str">
        <f t="shared" si="62"/>
        <v>SI</v>
      </c>
      <c r="L209" s="139">
        <f t="shared" si="27"/>
        <v>9477200</v>
      </c>
      <c r="M209" s="67">
        <v>9477200</v>
      </c>
      <c r="N209" s="67">
        <v>9477200</v>
      </c>
      <c r="O209" s="139">
        <f t="shared" si="28"/>
        <v>9477200</v>
      </c>
      <c r="P209" s="72">
        <v>15921000</v>
      </c>
      <c r="Q209" s="73" t="s">
        <v>27</v>
      </c>
      <c r="R209" s="67">
        <v>0</v>
      </c>
      <c r="S209" s="67">
        <v>0</v>
      </c>
      <c r="T209" s="139">
        <f t="shared" si="29"/>
        <v>0</v>
      </c>
      <c r="U209" s="38">
        <f t="shared" si="30"/>
        <v>9477200</v>
      </c>
      <c r="V209" s="179">
        <v>20</v>
      </c>
      <c r="W209" s="116">
        <f t="shared" si="52"/>
        <v>14</v>
      </c>
      <c r="X209" s="116">
        <f t="shared" si="56"/>
        <v>226</v>
      </c>
      <c r="Y209" s="38">
        <f t="shared" si="57"/>
        <v>39488.333333333336</v>
      </c>
      <c r="Z209" s="38">
        <f t="shared" si="58"/>
        <v>552836.66666666674</v>
      </c>
      <c r="AA209" s="38">
        <f t="shared" si="59"/>
        <v>9477200</v>
      </c>
      <c r="AB209" s="38">
        <f t="shared" si="60"/>
        <v>552837</v>
      </c>
      <c r="AC209" s="38">
        <f t="shared" si="61"/>
        <v>8924363</v>
      </c>
      <c r="AD209" s="67"/>
      <c r="AE209" s="73"/>
      <c r="AF209" s="73"/>
      <c r="AG209" s="73"/>
      <c r="AH209" s="67"/>
      <c r="AI209" s="180"/>
      <c r="AJ209" s="67"/>
      <c r="AK209" s="180"/>
    </row>
    <row r="210" spans="1:37" s="66" customFormat="1">
      <c r="A210" s="72">
        <v>15200000</v>
      </c>
      <c r="B210" s="73" t="s">
        <v>20</v>
      </c>
      <c r="C210" s="176" t="s">
        <v>995</v>
      </c>
      <c r="D210" s="67">
        <v>1</v>
      </c>
      <c r="E210" s="36" t="s">
        <v>364</v>
      </c>
      <c r="F210" s="177"/>
      <c r="G210" s="177"/>
      <c r="H210" s="177"/>
      <c r="I210" s="177"/>
      <c r="J210" s="178">
        <v>43770</v>
      </c>
      <c r="K210" s="65" t="str">
        <f t="shared" si="62"/>
        <v>SI</v>
      </c>
      <c r="L210" s="139">
        <f t="shared" si="27"/>
        <v>4510100</v>
      </c>
      <c r="M210" s="67">
        <v>4510100</v>
      </c>
      <c r="N210" s="67">
        <v>4510100</v>
      </c>
      <c r="O210" s="139">
        <f t="shared" si="28"/>
        <v>4510100</v>
      </c>
      <c r="P210" s="72">
        <v>15921000</v>
      </c>
      <c r="Q210" s="73" t="s">
        <v>27</v>
      </c>
      <c r="R210" s="67">
        <v>0</v>
      </c>
      <c r="S210" s="67">
        <v>0</v>
      </c>
      <c r="T210" s="139">
        <f t="shared" si="29"/>
        <v>0</v>
      </c>
      <c r="U210" s="38">
        <f t="shared" si="30"/>
        <v>4510100</v>
      </c>
      <c r="V210" s="179">
        <v>25</v>
      </c>
      <c r="W210" s="116">
        <f t="shared" si="52"/>
        <v>14</v>
      </c>
      <c r="X210" s="116">
        <f t="shared" si="56"/>
        <v>286</v>
      </c>
      <c r="Y210" s="38">
        <f t="shared" si="57"/>
        <v>15033.666666666666</v>
      </c>
      <c r="Z210" s="38">
        <f t="shared" si="58"/>
        <v>210471.33333333331</v>
      </c>
      <c r="AA210" s="38">
        <f t="shared" si="59"/>
        <v>4510100</v>
      </c>
      <c r="AB210" s="38">
        <f t="shared" si="60"/>
        <v>210471</v>
      </c>
      <c r="AC210" s="38">
        <f t="shared" si="61"/>
        <v>4299629</v>
      </c>
      <c r="AD210" s="67"/>
      <c r="AE210" s="73"/>
      <c r="AF210" s="73"/>
      <c r="AG210" s="73"/>
      <c r="AH210" s="67"/>
      <c r="AI210" s="180"/>
      <c r="AJ210" s="67"/>
      <c r="AK210" s="180"/>
    </row>
    <row r="211" spans="1:37" s="66" customFormat="1">
      <c r="A211" s="72">
        <v>15200000</v>
      </c>
      <c r="B211" s="73" t="s">
        <v>20</v>
      </c>
      <c r="C211" s="176" t="s">
        <v>995</v>
      </c>
      <c r="D211" s="67">
        <v>1</v>
      </c>
      <c r="E211" s="36" t="s">
        <v>364</v>
      </c>
      <c r="F211" s="177"/>
      <c r="G211" s="177"/>
      <c r="H211" s="177"/>
      <c r="I211" s="177"/>
      <c r="J211" s="178">
        <v>43770</v>
      </c>
      <c r="K211" s="65" t="str">
        <f t="shared" si="62"/>
        <v>SI</v>
      </c>
      <c r="L211" s="139">
        <f t="shared" si="27"/>
        <v>150054990</v>
      </c>
      <c r="M211" s="67">
        <v>150054990</v>
      </c>
      <c r="N211" s="67">
        <v>150054990</v>
      </c>
      <c r="O211" s="139">
        <f t="shared" si="28"/>
        <v>150054990</v>
      </c>
      <c r="P211" s="72">
        <v>15921000</v>
      </c>
      <c r="Q211" s="73" t="s">
        <v>27</v>
      </c>
      <c r="R211" s="67">
        <v>0</v>
      </c>
      <c r="S211" s="67">
        <v>0</v>
      </c>
      <c r="T211" s="139">
        <f t="shared" si="29"/>
        <v>0</v>
      </c>
      <c r="U211" s="38">
        <f t="shared" si="30"/>
        <v>150054990</v>
      </c>
      <c r="V211" s="179">
        <v>20</v>
      </c>
      <c r="W211" s="116">
        <f t="shared" si="52"/>
        <v>14</v>
      </c>
      <c r="X211" s="116">
        <f t="shared" si="56"/>
        <v>226</v>
      </c>
      <c r="Y211" s="38">
        <f t="shared" si="57"/>
        <v>625229.125</v>
      </c>
      <c r="Z211" s="38">
        <f t="shared" si="58"/>
        <v>8753207.75</v>
      </c>
      <c r="AA211" s="38">
        <f t="shared" si="59"/>
        <v>150054990</v>
      </c>
      <c r="AB211" s="38">
        <f t="shared" si="60"/>
        <v>8753208</v>
      </c>
      <c r="AC211" s="38">
        <f t="shared" si="61"/>
        <v>141301782</v>
      </c>
      <c r="AD211" s="67"/>
      <c r="AE211" s="73"/>
      <c r="AF211" s="73"/>
      <c r="AG211" s="73"/>
      <c r="AH211" s="67"/>
      <c r="AI211" s="180"/>
      <c r="AJ211" s="67"/>
      <c r="AK211" s="180"/>
    </row>
    <row r="212" spans="1:37" s="66" customFormat="1">
      <c r="A212" s="72">
        <v>15200000</v>
      </c>
      <c r="B212" s="73" t="s">
        <v>20</v>
      </c>
      <c r="C212" s="176" t="s">
        <v>995</v>
      </c>
      <c r="D212" s="67">
        <v>1</v>
      </c>
      <c r="E212" s="36" t="s">
        <v>364</v>
      </c>
      <c r="F212" s="177"/>
      <c r="G212" s="177"/>
      <c r="H212" s="177"/>
      <c r="I212" s="177"/>
      <c r="J212" s="178">
        <v>43739</v>
      </c>
      <c r="K212" s="65" t="str">
        <f t="shared" si="62"/>
        <v>SI</v>
      </c>
      <c r="L212" s="139">
        <f t="shared" si="27"/>
        <v>38841600</v>
      </c>
      <c r="M212" s="67">
        <v>38841600</v>
      </c>
      <c r="N212" s="67">
        <v>38841600</v>
      </c>
      <c r="O212" s="139">
        <f t="shared" si="28"/>
        <v>38841600</v>
      </c>
      <c r="P212" s="72">
        <v>15921000</v>
      </c>
      <c r="Q212" s="73" t="s">
        <v>27</v>
      </c>
      <c r="R212" s="67">
        <v>0</v>
      </c>
      <c r="S212" s="67">
        <v>0</v>
      </c>
      <c r="T212" s="139">
        <f t="shared" si="29"/>
        <v>0</v>
      </c>
      <c r="U212" s="38">
        <f t="shared" si="30"/>
        <v>38841600</v>
      </c>
      <c r="V212" s="179">
        <v>25</v>
      </c>
      <c r="W212" s="116">
        <f t="shared" si="52"/>
        <v>15</v>
      </c>
      <c r="X212" s="116">
        <f t="shared" si="56"/>
        <v>285</v>
      </c>
      <c r="Y212" s="38">
        <f t="shared" si="57"/>
        <v>129472</v>
      </c>
      <c r="Z212" s="38">
        <f t="shared" si="58"/>
        <v>1942080</v>
      </c>
      <c r="AA212" s="38">
        <f t="shared" si="59"/>
        <v>38841600</v>
      </c>
      <c r="AB212" s="38">
        <f t="shared" si="60"/>
        <v>1942080</v>
      </c>
      <c r="AC212" s="38">
        <f t="shared" si="61"/>
        <v>36899520</v>
      </c>
      <c r="AD212" s="67"/>
      <c r="AE212" s="73"/>
      <c r="AF212" s="73"/>
      <c r="AG212" s="73"/>
      <c r="AH212" s="67"/>
      <c r="AI212" s="180"/>
      <c r="AJ212" s="67"/>
      <c r="AK212" s="180"/>
    </row>
    <row r="213" spans="1:37" s="66" customFormat="1">
      <c r="A213" s="72">
        <v>15200000</v>
      </c>
      <c r="B213" s="73" t="s">
        <v>20</v>
      </c>
      <c r="C213" s="176" t="s">
        <v>995</v>
      </c>
      <c r="D213" s="67">
        <v>1</v>
      </c>
      <c r="E213" s="36" t="s">
        <v>364</v>
      </c>
      <c r="F213" s="177"/>
      <c r="G213" s="177"/>
      <c r="H213" s="177"/>
      <c r="I213" s="177"/>
      <c r="J213" s="178">
        <v>43769</v>
      </c>
      <c r="K213" s="65" t="str">
        <f t="shared" si="62"/>
        <v>SI</v>
      </c>
      <c r="L213" s="139">
        <f t="shared" si="27"/>
        <v>14640285.6</v>
      </c>
      <c r="M213" s="67">
        <v>14640285.6</v>
      </c>
      <c r="N213" s="67">
        <v>14640285.6</v>
      </c>
      <c r="O213" s="139">
        <f t="shared" si="28"/>
        <v>14640285.6</v>
      </c>
      <c r="P213" s="72">
        <v>15921000</v>
      </c>
      <c r="Q213" s="73" t="s">
        <v>27</v>
      </c>
      <c r="R213" s="67">
        <v>0</v>
      </c>
      <c r="S213" s="67">
        <v>0</v>
      </c>
      <c r="T213" s="139">
        <f t="shared" si="29"/>
        <v>0</v>
      </c>
      <c r="U213" s="38">
        <f t="shared" si="30"/>
        <v>14640285.6</v>
      </c>
      <c r="V213" s="179">
        <v>25</v>
      </c>
      <c r="W213" s="116">
        <f t="shared" si="52"/>
        <v>14</v>
      </c>
      <c r="X213" s="116">
        <f t="shared" si="56"/>
        <v>286</v>
      </c>
      <c r="Y213" s="38">
        <f t="shared" si="57"/>
        <v>48800.951999999997</v>
      </c>
      <c r="Z213" s="38">
        <f t="shared" si="58"/>
        <v>683213.32799999998</v>
      </c>
      <c r="AA213" s="38">
        <f t="shared" si="59"/>
        <v>14640286</v>
      </c>
      <c r="AB213" s="38">
        <f t="shared" si="60"/>
        <v>683213</v>
      </c>
      <c r="AC213" s="38">
        <f t="shared" si="61"/>
        <v>13957073</v>
      </c>
      <c r="AD213" s="67"/>
      <c r="AE213" s="73"/>
      <c r="AF213" s="73"/>
      <c r="AG213" s="73"/>
      <c r="AH213" s="67"/>
      <c r="AI213" s="180"/>
      <c r="AJ213" s="67"/>
      <c r="AK213" s="180"/>
    </row>
    <row r="214" spans="1:37" s="66" customFormat="1">
      <c r="A214" s="72">
        <v>15200000</v>
      </c>
      <c r="B214" s="73" t="s">
        <v>20</v>
      </c>
      <c r="C214" s="176" t="s">
        <v>995</v>
      </c>
      <c r="D214" s="67">
        <v>1</v>
      </c>
      <c r="E214" s="36" t="s">
        <v>364</v>
      </c>
      <c r="F214" s="177"/>
      <c r="G214" s="177"/>
      <c r="H214" s="177"/>
      <c r="I214" s="177"/>
      <c r="J214" s="178">
        <v>43769</v>
      </c>
      <c r="K214" s="65" t="str">
        <f t="shared" si="62"/>
        <v>SI</v>
      </c>
      <c r="L214" s="139">
        <f t="shared" si="27"/>
        <v>14640285.6</v>
      </c>
      <c r="M214" s="67">
        <v>14640285.6</v>
      </c>
      <c r="N214" s="67">
        <v>14640285.6</v>
      </c>
      <c r="O214" s="139">
        <f t="shared" si="28"/>
        <v>14640285.6</v>
      </c>
      <c r="P214" s="72">
        <v>15921000</v>
      </c>
      <c r="Q214" s="73" t="s">
        <v>27</v>
      </c>
      <c r="R214" s="67">
        <v>0</v>
      </c>
      <c r="S214" s="67">
        <v>0</v>
      </c>
      <c r="T214" s="139">
        <f t="shared" si="29"/>
        <v>0</v>
      </c>
      <c r="U214" s="38">
        <f t="shared" si="30"/>
        <v>14640285.6</v>
      </c>
      <c r="V214" s="179">
        <v>25</v>
      </c>
      <c r="W214" s="116">
        <f t="shared" si="52"/>
        <v>14</v>
      </c>
      <c r="X214" s="116">
        <f t="shared" si="56"/>
        <v>286</v>
      </c>
      <c r="Y214" s="38">
        <f t="shared" si="57"/>
        <v>48800.951999999997</v>
      </c>
      <c r="Z214" s="38">
        <f t="shared" si="58"/>
        <v>683213.32799999998</v>
      </c>
      <c r="AA214" s="38">
        <f t="shared" si="59"/>
        <v>14640286</v>
      </c>
      <c r="AB214" s="38">
        <f t="shared" si="60"/>
        <v>683213</v>
      </c>
      <c r="AC214" s="38">
        <f t="shared" si="61"/>
        <v>13957073</v>
      </c>
      <c r="AD214" s="67"/>
      <c r="AE214" s="73"/>
      <c r="AF214" s="73"/>
      <c r="AG214" s="73"/>
      <c r="AH214" s="67"/>
      <c r="AI214" s="180"/>
      <c r="AJ214" s="67"/>
      <c r="AK214" s="180"/>
    </row>
    <row r="215" spans="1:37" s="66" customFormat="1">
      <c r="A215" s="72">
        <v>15200000</v>
      </c>
      <c r="B215" s="73" t="s">
        <v>20</v>
      </c>
      <c r="C215" s="176" t="s">
        <v>995</v>
      </c>
      <c r="D215" s="67">
        <v>1</v>
      </c>
      <c r="E215" s="36" t="s">
        <v>364</v>
      </c>
      <c r="F215" s="177"/>
      <c r="G215" s="177"/>
      <c r="H215" s="177"/>
      <c r="I215" s="177"/>
      <c r="J215" s="178">
        <v>43769</v>
      </c>
      <c r="K215" s="65" t="str">
        <f t="shared" si="62"/>
        <v>SI</v>
      </c>
      <c r="L215" s="139">
        <f t="shared" si="27"/>
        <v>14640285.6</v>
      </c>
      <c r="M215" s="67">
        <v>14640285.6</v>
      </c>
      <c r="N215" s="67">
        <v>14640285.6</v>
      </c>
      <c r="O215" s="139">
        <f t="shared" si="28"/>
        <v>14640285.6</v>
      </c>
      <c r="P215" s="72">
        <v>15921000</v>
      </c>
      <c r="Q215" s="73" t="s">
        <v>27</v>
      </c>
      <c r="R215" s="67">
        <v>0</v>
      </c>
      <c r="S215" s="67">
        <v>0</v>
      </c>
      <c r="T215" s="139">
        <f t="shared" si="29"/>
        <v>0</v>
      </c>
      <c r="U215" s="38">
        <f t="shared" si="30"/>
        <v>14640285.6</v>
      </c>
      <c r="V215" s="179">
        <v>25</v>
      </c>
      <c r="W215" s="116">
        <f t="shared" si="52"/>
        <v>14</v>
      </c>
      <c r="X215" s="116">
        <f t="shared" si="56"/>
        <v>286</v>
      </c>
      <c r="Y215" s="38">
        <f t="shared" si="57"/>
        <v>48800.951999999997</v>
      </c>
      <c r="Z215" s="38">
        <f t="shared" si="58"/>
        <v>683213.32799999998</v>
      </c>
      <c r="AA215" s="38">
        <f t="shared" si="59"/>
        <v>14640286</v>
      </c>
      <c r="AB215" s="38">
        <f t="shared" si="60"/>
        <v>683213</v>
      </c>
      <c r="AC215" s="38">
        <f t="shared" si="61"/>
        <v>13957073</v>
      </c>
      <c r="AD215" s="67"/>
      <c r="AE215" s="73"/>
      <c r="AF215" s="73"/>
      <c r="AG215" s="73"/>
      <c r="AH215" s="67"/>
      <c r="AI215" s="180"/>
      <c r="AJ215" s="67"/>
      <c r="AK215" s="180"/>
    </row>
    <row r="216" spans="1:37" s="66" customFormat="1">
      <c r="A216" s="72">
        <v>15200000</v>
      </c>
      <c r="B216" s="73" t="s">
        <v>20</v>
      </c>
      <c r="C216" s="176" t="s">
        <v>995</v>
      </c>
      <c r="D216" s="67">
        <v>1</v>
      </c>
      <c r="E216" s="36" t="s">
        <v>364</v>
      </c>
      <c r="F216" s="177"/>
      <c r="G216" s="177"/>
      <c r="H216" s="177"/>
      <c r="I216" s="177"/>
      <c r="J216" s="178">
        <v>43769</v>
      </c>
      <c r="K216" s="65" t="str">
        <f t="shared" si="62"/>
        <v>SI</v>
      </c>
      <c r="L216" s="139">
        <f t="shared" si="27"/>
        <v>14640285.6</v>
      </c>
      <c r="M216" s="67">
        <v>14640285.6</v>
      </c>
      <c r="N216" s="67">
        <v>14640285.6</v>
      </c>
      <c r="O216" s="139">
        <f t="shared" si="28"/>
        <v>14640285.6</v>
      </c>
      <c r="P216" s="72">
        <v>15921000</v>
      </c>
      <c r="Q216" s="73" t="s">
        <v>27</v>
      </c>
      <c r="R216" s="67">
        <v>0</v>
      </c>
      <c r="S216" s="67">
        <v>0</v>
      </c>
      <c r="T216" s="139">
        <f t="shared" si="29"/>
        <v>0</v>
      </c>
      <c r="U216" s="38">
        <f t="shared" si="30"/>
        <v>14640285.6</v>
      </c>
      <c r="V216" s="179">
        <v>25</v>
      </c>
      <c r="W216" s="116">
        <f t="shared" si="52"/>
        <v>14</v>
      </c>
      <c r="X216" s="116">
        <f t="shared" si="56"/>
        <v>286</v>
      </c>
      <c r="Y216" s="38">
        <f t="shared" si="57"/>
        <v>48800.951999999997</v>
      </c>
      <c r="Z216" s="38">
        <f t="shared" si="58"/>
        <v>683213.32799999998</v>
      </c>
      <c r="AA216" s="38">
        <f t="shared" si="59"/>
        <v>14640286</v>
      </c>
      <c r="AB216" s="38">
        <f t="shared" si="60"/>
        <v>683213</v>
      </c>
      <c r="AC216" s="38">
        <f t="shared" si="61"/>
        <v>13957073</v>
      </c>
      <c r="AD216" s="67"/>
      <c r="AE216" s="73"/>
      <c r="AF216" s="73"/>
      <c r="AG216" s="73"/>
      <c r="AH216" s="67"/>
      <c r="AI216" s="180"/>
      <c r="AJ216" s="67"/>
      <c r="AK216" s="180"/>
    </row>
    <row r="217" spans="1:37" s="66" customFormat="1">
      <c r="A217" s="72">
        <v>15200000</v>
      </c>
      <c r="B217" s="73" t="s">
        <v>20</v>
      </c>
      <c r="C217" s="176" t="s">
        <v>995</v>
      </c>
      <c r="D217" s="67">
        <v>1</v>
      </c>
      <c r="E217" s="36" t="s">
        <v>364</v>
      </c>
      <c r="F217" s="177"/>
      <c r="G217" s="177"/>
      <c r="H217" s="177"/>
      <c r="I217" s="177"/>
      <c r="J217" s="178">
        <v>43769</v>
      </c>
      <c r="K217" s="65" t="str">
        <f t="shared" si="62"/>
        <v>SI</v>
      </c>
      <c r="L217" s="139">
        <f t="shared" si="27"/>
        <v>7320143.2999999998</v>
      </c>
      <c r="M217" s="67">
        <v>7320143.2999999998</v>
      </c>
      <c r="N217" s="67">
        <v>7320143.2999999998</v>
      </c>
      <c r="O217" s="139">
        <f t="shared" si="28"/>
        <v>7320143.2999999998</v>
      </c>
      <c r="P217" s="72">
        <v>15921000</v>
      </c>
      <c r="Q217" s="73" t="s">
        <v>27</v>
      </c>
      <c r="R217" s="67">
        <v>0</v>
      </c>
      <c r="S217" s="67">
        <v>0</v>
      </c>
      <c r="T217" s="139">
        <f t="shared" si="29"/>
        <v>0</v>
      </c>
      <c r="U217" s="38">
        <f t="shared" si="30"/>
        <v>7320143.2999999998</v>
      </c>
      <c r="V217" s="179">
        <v>25</v>
      </c>
      <c r="W217" s="116">
        <f t="shared" si="52"/>
        <v>14</v>
      </c>
      <c r="X217" s="116">
        <f t="shared" si="56"/>
        <v>286</v>
      </c>
      <c r="Y217" s="38">
        <f t="shared" si="57"/>
        <v>24400.477666666666</v>
      </c>
      <c r="Z217" s="38">
        <f t="shared" si="58"/>
        <v>341606.68733333331</v>
      </c>
      <c r="AA217" s="38">
        <f t="shared" si="59"/>
        <v>7320143</v>
      </c>
      <c r="AB217" s="38">
        <f t="shared" si="60"/>
        <v>341607</v>
      </c>
      <c r="AC217" s="38">
        <f t="shared" si="61"/>
        <v>6978536</v>
      </c>
      <c r="AD217" s="67"/>
      <c r="AE217" s="73"/>
      <c r="AF217" s="73"/>
      <c r="AG217" s="73"/>
      <c r="AH217" s="67"/>
      <c r="AI217" s="180"/>
      <c r="AJ217" s="67"/>
      <c r="AK217" s="180"/>
    </row>
    <row r="218" spans="1:37" s="66" customFormat="1">
      <c r="A218" s="72">
        <v>15200000</v>
      </c>
      <c r="B218" s="73" t="s">
        <v>20</v>
      </c>
      <c r="C218" s="176" t="s">
        <v>995</v>
      </c>
      <c r="D218" s="67">
        <v>1</v>
      </c>
      <c r="E218" s="36" t="s">
        <v>364</v>
      </c>
      <c r="F218" s="177"/>
      <c r="G218" s="177"/>
      <c r="H218" s="177"/>
      <c r="I218" s="177"/>
      <c r="J218" s="178">
        <v>43769</v>
      </c>
      <c r="K218" s="65" t="str">
        <f t="shared" si="62"/>
        <v>SI</v>
      </c>
      <c r="L218" s="139">
        <f t="shared" si="27"/>
        <v>7320143.0700000003</v>
      </c>
      <c r="M218" s="67">
        <v>7320143.0700000003</v>
      </c>
      <c r="N218" s="67">
        <v>7320143.0700000003</v>
      </c>
      <c r="O218" s="139">
        <f t="shared" si="28"/>
        <v>7320143.0700000003</v>
      </c>
      <c r="P218" s="72">
        <v>15921000</v>
      </c>
      <c r="Q218" s="73" t="s">
        <v>27</v>
      </c>
      <c r="R218" s="67">
        <v>0</v>
      </c>
      <c r="S218" s="67">
        <v>0</v>
      </c>
      <c r="T218" s="139">
        <f t="shared" si="29"/>
        <v>0</v>
      </c>
      <c r="U218" s="38">
        <f t="shared" si="30"/>
        <v>7320143.0700000003</v>
      </c>
      <c r="V218" s="179">
        <v>25</v>
      </c>
      <c r="W218" s="116">
        <f t="shared" si="52"/>
        <v>14</v>
      </c>
      <c r="X218" s="116">
        <f t="shared" si="56"/>
        <v>286</v>
      </c>
      <c r="Y218" s="38">
        <f t="shared" si="57"/>
        <v>24400.476900000001</v>
      </c>
      <c r="Z218" s="38">
        <f t="shared" si="58"/>
        <v>341606.67660000001</v>
      </c>
      <c r="AA218" s="38">
        <f t="shared" si="59"/>
        <v>7320143</v>
      </c>
      <c r="AB218" s="38">
        <f t="shared" si="60"/>
        <v>341607</v>
      </c>
      <c r="AC218" s="38">
        <f t="shared" si="61"/>
        <v>6978536</v>
      </c>
      <c r="AD218" s="67"/>
      <c r="AE218" s="73"/>
      <c r="AF218" s="73"/>
      <c r="AG218" s="73"/>
      <c r="AH218" s="67"/>
      <c r="AI218" s="180"/>
      <c r="AJ218" s="67"/>
      <c r="AK218" s="180"/>
    </row>
    <row r="219" spans="1:37" s="66" customFormat="1">
      <c r="A219" s="72">
        <v>15200000</v>
      </c>
      <c r="B219" s="73" t="s">
        <v>20</v>
      </c>
      <c r="C219" s="176" t="s">
        <v>995</v>
      </c>
      <c r="D219" s="67">
        <v>1</v>
      </c>
      <c r="E219" s="36" t="s">
        <v>364</v>
      </c>
      <c r="F219" s="177"/>
      <c r="G219" s="177"/>
      <c r="H219" s="177"/>
      <c r="I219" s="177"/>
      <c r="J219" s="178">
        <v>43800</v>
      </c>
      <c r="K219" s="65" t="str">
        <f t="shared" si="62"/>
        <v>SI</v>
      </c>
      <c r="L219" s="139">
        <f t="shared" si="27"/>
        <v>25800000</v>
      </c>
      <c r="M219" s="67">
        <v>25800000</v>
      </c>
      <c r="N219" s="67">
        <v>25800000</v>
      </c>
      <c r="O219" s="139">
        <f t="shared" si="28"/>
        <v>25800000</v>
      </c>
      <c r="P219" s="72">
        <v>15921000</v>
      </c>
      <c r="Q219" s="73" t="s">
        <v>27</v>
      </c>
      <c r="R219" s="67">
        <v>0</v>
      </c>
      <c r="S219" s="67">
        <v>0</v>
      </c>
      <c r="T219" s="139">
        <f t="shared" si="29"/>
        <v>0</v>
      </c>
      <c r="U219" s="38">
        <f t="shared" si="30"/>
        <v>25800000</v>
      </c>
      <c r="V219" s="179">
        <v>10</v>
      </c>
      <c r="W219" s="116">
        <f t="shared" si="52"/>
        <v>13</v>
      </c>
      <c r="X219" s="116">
        <f t="shared" si="56"/>
        <v>107</v>
      </c>
      <c r="Y219" s="38">
        <f t="shared" si="57"/>
        <v>215000</v>
      </c>
      <c r="Z219" s="38">
        <f t="shared" si="58"/>
        <v>2795000</v>
      </c>
      <c r="AA219" s="38">
        <f t="shared" si="59"/>
        <v>25800000</v>
      </c>
      <c r="AB219" s="38">
        <f t="shared" si="60"/>
        <v>2795000</v>
      </c>
      <c r="AC219" s="38">
        <f t="shared" si="61"/>
        <v>23005000</v>
      </c>
      <c r="AD219" s="67"/>
      <c r="AE219" s="73"/>
      <c r="AF219" s="73"/>
      <c r="AG219" s="73"/>
      <c r="AH219" s="67"/>
      <c r="AI219" s="180"/>
      <c r="AJ219" s="67"/>
      <c r="AK219" s="180"/>
    </row>
    <row r="220" spans="1:37" s="66" customFormat="1">
      <c r="A220" s="72">
        <v>15200000</v>
      </c>
      <c r="B220" s="73" t="s">
        <v>20</v>
      </c>
      <c r="C220" s="176" t="s">
        <v>995</v>
      </c>
      <c r="D220" s="67">
        <v>1</v>
      </c>
      <c r="E220" s="36" t="s">
        <v>364</v>
      </c>
      <c r="F220" s="177"/>
      <c r="G220" s="177"/>
      <c r="H220" s="177"/>
      <c r="I220" s="177"/>
      <c r="J220" s="178">
        <v>43792</v>
      </c>
      <c r="K220" s="65" t="str">
        <f t="shared" si="62"/>
        <v>SI</v>
      </c>
      <c r="L220" s="139">
        <f t="shared" si="27"/>
        <v>32209720</v>
      </c>
      <c r="M220" s="67">
        <v>32209720</v>
      </c>
      <c r="N220" s="67">
        <v>32209720</v>
      </c>
      <c r="O220" s="139">
        <f t="shared" si="28"/>
        <v>32209720</v>
      </c>
      <c r="P220" s="72">
        <v>15921000</v>
      </c>
      <c r="Q220" s="73" t="s">
        <v>27</v>
      </c>
      <c r="R220" s="67">
        <v>0</v>
      </c>
      <c r="S220" s="67">
        <v>0</v>
      </c>
      <c r="T220" s="139">
        <f t="shared" si="29"/>
        <v>0</v>
      </c>
      <c r="U220" s="38">
        <f t="shared" si="30"/>
        <v>32209720</v>
      </c>
      <c r="V220" s="179">
        <v>25</v>
      </c>
      <c r="W220" s="116">
        <f t="shared" si="52"/>
        <v>13</v>
      </c>
      <c r="X220" s="116">
        <f t="shared" si="56"/>
        <v>287</v>
      </c>
      <c r="Y220" s="38">
        <f t="shared" si="57"/>
        <v>107365.73333333334</v>
      </c>
      <c r="Z220" s="38">
        <f t="shared" si="58"/>
        <v>1395754.5333333334</v>
      </c>
      <c r="AA220" s="38">
        <f t="shared" si="59"/>
        <v>32209720</v>
      </c>
      <c r="AB220" s="38">
        <f t="shared" si="60"/>
        <v>1395755</v>
      </c>
      <c r="AC220" s="38">
        <f t="shared" si="61"/>
        <v>30813965</v>
      </c>
      <c r="AD220" s="67"/>
      <c r="AE220" s="73"/>
      <c r="AF220" s="73"/>
      <c r="AG220" s="73"/>
      <c r="AH220" s="67"/>
      <c r="AI220" s="180"/>
      <c r="AJ220" s="67"/>
      <c r="AK220" s="180"/>
    </row>
    <row r="221" spans="1:37" s="66" customFormat="1">
      <c r="A221" s="72">
        <v>15200000</v>
      </c>
      <c r="B221" s="73" t="s">
        <v>20</v>
      </c>
      <c r="C221" s="176" t="s">
        <v>995</v>
      </c>
      <c r="D221" s="67">
        <v>1</v>
      </c>
      <c r="E221" s="36" t="s">
        <v>364</v>
      </c>
      <c r="F221" s="177"/>
      <c r="G221" s="177"/>
      <c r="H221" s="177"/>
      <c r="I221" s="177"/>
      <c r="J221" s="178">
        <v>43792</v>
      </c>
      <c r="K221" s="65" t="str">
        <f t="shared" si="62"/>
        <v>SI</v>
      </c>
      <c r="L221" s="139">
        <f t="shared" ref="L221:L239" si="67">M221/D221</f>
        <v>19066920</v>
      </c>
      <c r="M221" s="67">
        <v>19066920</v>
      </c>
      <c r="N221" s="67">
        <v>19066920</v>
      </c>
      <c r="O221" s="139">
        <f t="shared" ref="O221:O238" si="68">IF(K221="SI",N221,0)</f>
        <v>19066920</v>
      </c>
      <c r="P221" s="72">
        <v>15921000</v>
      </c>
      <c r="Q221" s="73" t="s">
        <v>27</v>
      </c>
      <c r="R221" s="67">
        <v>0</v>
      </c>
      <c r="S221" s="67">
        <v>0</v>
      </c>
      <c r="T221" s="139">
        <f t="shared" ref="T221:T238" si="69">IF(O221&gt;0,S221,0)</f>
        <v>0</v>
      </c>
      <c r="U221" s="38">
        <f t="shared" ref="U221:U238" si="70">IF(O221&gt;0,N221-S221,0)</f>
        <v>19066920</v>
      </c>
      <c r="V221" s="179">
        <v>25</v>
      </c>
      <c r="W221" s="116">
        <f t="shared" si="52"/>
        <v>13</v>
      </c>
      <c r="X221" s="116">
        <f t="shared" si="56"/>
        <v>287</v>
      </c>
      <c r="Y221" s="38">
        <f t="shared" si="57"/>
        <v>63556.4</v>
      </c>
      <c r="Z221" s="38">
        <f t="shared" si="58"/>
        <v>826233.20000000007</v>
      </c>
      <c r="AA221" s="38">
        <f t="shared" si="59"/>
        <v>19066920</v>
      </c>
      <c r="AB221" s="38">
        <f t="shared" si="60"/>
        <v>826233</v>
      </c>
      <c r="AC221" s="38">
        <f t="shared" si="61"/>
        <v>18240687</v>
      </c>
      <c r="AD221" s="67"/>
      <c r="AE221" s="73"/>
      <c r="AF221" s="73"/>
      <c r="AG221" s="73"/>
      <c r="AH221" s="67"/>
      <c r="AI221" s="180"/>
      <c r="AJ221" s="67"/>
      <c r="AK221" s="180"/>
    </row>
    <row r="222" spans="1:37" s="66" customFormat="1">
      <c r="A222" s="72">
        <v>15200000</v>
      </c>
      <c r="B222" s="73" t="s">
        <v>20</v>
      </c>
      <c r="C222" s="176" t="s">
        <v>995</v>
      </c>
      <c r="D222" s="67">
        <v>1</v>
      </c>
      <c r="E222" s="36" t="s">
        <v>364</v>
      </c>
      <c r="F222" s="177"/>
      <c r="G222" s="177"/>
      <c r="H222" s="177"/>
      <c r="I222" s="177"/>
      <c r="J222" s="178">
        <v>43819</v>
      </c>
      <c r="K222" s="65" t="str">
        <f t="shared" si="62"/>
        <v>SI</v>
      </c>
      <c r="L222" s="139">
        <f t="shared" si="67"/>
        <v>17226000</v>
      </c>
      <c r="M222" s="67">
        <v>17226000</v>
      </c>
      <c r="N222" s="67">
        <v>17226000</v>
      </c>
      <c r="O222" s="139">
        <f t="shared" si="68"/>
        <v>17226000</v>
      </c>
      <c r="P222" s="72">
        <v>15921000</v>
      </c>
      <c r="Q222" s="73" t="s">
        <v>27</v>
      </c>
      <c r="R222" s="67">
        <v>0</v>
      </c>
      <c r="S222" s="67">
        <v>0</v>
      </c>
      <c r="T222" s="139">
        <f t="shared" si="69"/>
        <v>0</v>
      </c>
      <c r="U222" s="38">
        <f t="shared" si="70"/>
        <v>17226000</v>
      </c>
      <c r="V222" s="179">
        <v>25</v>
      </c>
      <c r="W222" s="116">
        <f>IF(ROUND(($W$27-J222)/30,0)&gt;(V222*12),(V222*12),(ROUND(($W$27-J222)/30,0)))-1</f>
        <v>12</v>
      </c>
      <c r="X222" s="116">
        <f t="shared" si="56"/>
        <v>288</v>
      </c>
      <c r="Y222" s="38">
        <f t="shared" si="57"/>
        <v>57420</v>
      </c>
      <c r="Z222" s="38">
        <f t="shared" si="58"/>
        <v>689040</v>
      </c>
      <c r="AA222" s="38">
        <f t="shared" si="59"/>
        <v>17226000</v>
      </c>
      <c r="AB222" s="38">
        <f t="shared" si="60"/>
        <v>689040</v>
      </c>
      <c r="AC222" s="38">
        <f t="shared" si="61"/>
        <v>16536960</v>
      </c>
      <c r="AD222" s="67"/>
      <c r="AE222" s="73"/>
      <c r="AF222" s="73"/>
      <c r="AG222" s="73"/>
      <c r="AH222" s="67"/>
      <c r="AI222" s="180"/>
      <c r="AJ222" s="67"/>
      <c r="AK222" s="180"/>
    </row>
    <row r="223" spans="1:37" s="66" customFormat="1">
      <c r="A223" s="72">
        <v>15200000</v>
      </c>
      <c r="B223" s="73" t="s">
        <v>20</v>
      </c>
      <c r="C223" s="176" t="s">
        <v>995</v>
      </c>
      <c r="D223" s="67">
        <v>1</v>
      </c>
      <c r="E223" s="36" t="s">
        <v>364</v>
      </c>
      <c r="F223" s="177"/>
      <c r="G223" s="177"/>
      <c r="H223" s="177"/>
      <c r="I223" s="177"/>
      <c r="J223" s="178">
        <v>43819</v>
      </c>
      <c r="K223" s="65" t="str">
        <f t="shared" si="62"/>
        <v>SI</v>
      </c>
      <c r="L223" s="139">
        <f t="shared" si="67"/>
        <v>28710000</v>
      </c>
      <c r="M223" s="67">
        <v>28710000</v>
      </c>
      <c r="N223" s="67">
        <v>28710000</v>
      </c>
      <c r="O223" s="139">
        <f t="shared" si="68"/>
        <v>28710000</v>
      </c>
      <c r="P223" s="72">
        <v>15921000</v>
      </c>
      <c r="Q223" s="73" t="s">
        <v>27</v>
      </c>
      <c r="R223" s="67">
        <v>0</v>
      </c>
      <c r="S223" s="67">
        <v>0</v>
      </c>
      <c r="T223" s="139">
        <f t="shared" si="69"/>
        <v>0</v>
      </c>
      <c r="U223" s="38">
        <f t="shared" si="70"/>
        <v>28710000</v>
      </c>
      <c r="V223" s="179">
        <v>25</v>
      </c>
      <c r="W223" s="116">
        <f t="shared" ref="W223:W224" si="71">IF(ROUND(($W$27-J223)/30,0)&gt;(V223*12),(V223*12),(ROUND(($W$27-J223)/30,0)))-1</f>
        <v>12</v>
      </c>
      <c r="X223" s="116">
        <f t="shared" si="56"/>
        <v>288</v>
      </c>
      <c r="Y223" s="38">
        <f t="shared" si="57"/>
        <v>95700</v>
      </c>
      <c r="Z223" s="38">
        <f t="shared" si="58"/>
        <v>1148400</v>
      </c>
      <c r="AA223" s="38">
        <f t="shared" si="59"/>
        <v>28710000</v>
      </c>
      <c r="AB223" s="38">
        <f t="shared" si="60"/>
        <v>1148400</v>
      </c>
      <c r="AC223" s="38">
        <f t="shared" si="61"/>
        <v>27561600</v>
      </c>
      <c r="AD223" s="67"/>
      <c r="AE223" s="73"/>
      <c r="AF223" s="73"/>
      <c r="AG223" s="73"/>
      <c r="AH223" s="67"/>
      <c r="AI223" s="180"/>
      <c r="AJ223" s="67"/>
      <c r="AK223" s="180"/>
    </row>
    <row r="224" spans="1:37" s="66" customFormat="1">
      <c r="A224" s="72">
        <v>15200000</v>
      </c>
      <c r="B224" s="73" t="s">
        <v>20</v>
      </c>
      <c r="C224" s="176" t="s">
        <v>995</v>
      </c>
      <c r="D224" s="67">
        <v>1</v>
      </c>
      <c r="E224" s="36" t="s">
        <v>364</v>
      </c>
      <c r="F224" s="177"/>
      <c r="G224" s="177"/>
      <c r="H224" s="177"/>
      <c r="I224" s="177"/>
      <c r="J224" s="178">
        <v>43817</v>
      </c>
      <c r="K224" s="65" t="str">
        <f t="shared" si="62"/>
        <v>SI</v>
      </c>
      <c r="L224" s="139">
        <f t="shared" si="67"/>
        <v>8092000</v>
      </c>
      <c r="M224" s="67">
        <v>8092000</v>
      </c>
      <c r="N224" s="67">
        <v>8092000</v>
      </c>
      <c r="O224" s="139">
        <f t="shared" si="68"/>
        <v>8092000</v>
      </c>
      <c r="P224" s="72">
        <v>15921000</v>
      </c>
      <c r="Q224" s="73" t="s">
        <v>27</v>
      </c>
      <c r="R224" s="67">
        <v>0</v>
      </c>
      <c r="S224" s="67">
        <v>0</v>
      </c>
      <c r="T224" s="139">
        <f t="shared" si="69"/>
        <v>0</v>
      </c>
      <c r="U224" s="38">
        <f t="shared" si="70"/>
        <v>8092000</v>
      </c>
      <c r="V224" s="179">
        <v>25</v>
      </c>
      <c r="W224" s="116">
        <f t="shared" si="71"/>
        <v>12</v>
      </c>
      <c r="X224" s="116">
        <f t="shared" si="56"/>
        <v>288</v>
      </c>
      <c r="Y224" s="38">
        <f t="shared" si="57"/>
        <v>26973.333333333332</v>
      </c>
      <c r="Z224" s="38">
        <f t="shared" si="58"/>
        <v>323680</v>
      </c>
      <c r="AA224" s="38">
        <f t="shared" si="59"/>
        <v>8092000</v>
      </c>
      <c r="AB224" s="38">
        <f t="shared" si="60"/>
        <v>323680</v>
      </c>
      <c r="AC224" s="38">
        <f t="shared" si="61"/>
        <v>7768320</v>
      </c>
      <c r="AD224" s="67"/>
      <c r="AE224" s="73"/>
      <c r="AF224" s="73"/>
      <c r="AG224" s="73"/>
      <c r="AH224" s="67"/>
      <c r="AI224" s="180"/>
      <c r="AJ224" s="67"/>
      <c r="AK224" s="180"/>
    </row>
    <row r="225" spans="1:37" s="66" customFormat="1">
      <c r="A225" s="72">
        <v>15200000</v>
      </c>
      <c r="B225" s="73" t="s">
        <v>20</v>
      </c>
      <c r="C225" s="176" t="s">
        <v>995</v>
      </c>
      <c r="D225" s="67">
        <v>1</v>
      </c>
      <c r="E225" s="36" t="s">
        <v>364</v>
      </c>
      <c r="F225" s="177"/>
      <c r="G225" s="177"/>
      <c r="H225" s="177"/>
      <c r="I225" s="177"/>
      <c r="J225" s="178">
        <v>43830</v>
      </c>
      <c r="K225" s="65" t="str">
        <f t="shared" ref="K225:K238" si="72">IF(L225&gt;($M$26*50),"SI","NO")</f>
        <v>SI</v>
      </c>
      <c r="L225" s="139">
        <f t="shared" si="67"/>
        <v>1863024.78</v>
      </c>
      <c r="M225" s="67">
        <v>1863024.78</v>
      </c>
      <c r="N225" s="67">
        <v>1863024.78</v>
      </c>
      <c r="O225" s="139">
        <f t="shared" si="68"/>
        <v>1863024.78</v>
      </c>
      <c r="P225" s="72">
        <v>15921000</v>
      </c>
      <c r="Q225" s="73" t="s">
        <v>27</v>
      </c>
      <c r="R225" s="67">
        <v>0</v>
      </c>
      <c r="S225" s="67">
        <v>0</v>
      </c>
      <c r="T225" s="139">
        <f t="shared" si="69"/>
        <v>0</v>
      </c>
      <c r="U225" s="38">
        <f t="shared" si="70"/>
        <v>1863024.78</v>
      </c>
      <c r="V225" s="179">
        <v>20</v>
      </c>
      <c r="W225" s="116">
        <f t="shared" ref="W225:W238" si="73">IF(ROUND(($W$27-J225)/30,0)&gt;(V225*12),(V225*12),(ROUND(($W$27-J225)/30,0)))</f>
        <v>12</v>
      </c>
      <c r="X225" s="116">
        <f t="shared" si="56"/>
        <v>228</v>
      </c>
      <c r="Y225" s="38">
        <f t="shared" si="57"/>
        <v>7762.6032500000001</v>
      </c>
      <c r="Z225" s="38">
        <f t="shared" si="58"/>
        <v>93151.239000000001</v>
      </c>
      <c r="AA225" s="38">
        <f t="shared" si="59"/>
        <v>1863025</v>
      </c>
      <c r="AB225" s="38">
        <f t="shared" si="60"/>
        <v>93151</v>
      </c>
      <c r="AC225" s="38">
        <f t="shared" si="61"/>
        <v>1769874</v>
      </c>
      <c r="AD225" s="67"/>
      <c r="AE225" s="73"/>
      <c r="AF225" s="73"/>
      <c r="AG225" s="73"/>
      <c r="AH225" s="67"/>
      <c r="AI225" s="180"/>
      <c r="AJ225" s="67"/>
      <c r="AK225" s="180"/>
    </row>
    <row r="226" spans="1:37" s="66" customFormat="1">
      <c r="A226" s="72">
        <v>15200000</v>
      </c>
      <c r="B226" s="73" t="s">
        <v>20</v>
      </c>
      <c r="C226" s="176" t="s">
        <v>995</v>
      </c>
      <c r="D226" s="67">
        <v>1</v>
      </c>
      <c r="E226" s="36" t="s">
        <v>364</v>
      </c>
      <c r="F226" s="177"/>
      <c r="G226" s="177"/>
      <c r="H226" s="177"/>
      <c r="I226" s="177"/>
      <c r="J226" s="178">
        <v>43830</v>
      </c>
      <c r="K226" s="65" t="str">
        <f t="shared" si="72"/>
        <v>SI</v>
      </c>
      <c r="L226" s="139">
        <f t="shared" si="67"/>
        <v>1863024.79</v>
      </c>
      <c r="M226" s="67">
        <v>1863024.79</v>
      </c>
      <c r="N226" s="67">
        <v>1863024.79</v>
      </c>
      <c r="O226" s="139">
        <f t="shared" si="68"/>
        <v>1863024.79</v>
      </c>
      <c r="P226" s="72">
        <v>15921000</v>
      </c>
      <c r="Q226" s="73" t="s">
        <v>27</v>
      </c>
      <c r="R226" s="67">
        <v>0</v>
      </c>
      <c r="S226" s="67">
        <v>0</v>
      </c>
      <c r="T226" s="139">
        <f t="shared" si="69"/>
        <v>0</v>
      </c>
      <c r="U226" s="38">
        <f t="shared" si="70"/>
        <v>1863024.79</v>
      </c>
      <c r="V226" s="179">
        <v>20</v>
      </c>
      <c r="W226" s="116">
        <f t="shared" si="73"/>
        <v>12</v>
      </c>
      <c r="X226" s="116">
        <f t="shared" si="56"/>
        <v>228</v>
      </c>
      <c r="Y226" s="38">
        <f t="shared" si="57"/>
        <v>7762.6032916666672</v>
      </c>
      <c r="Z226" s="38">
        <f t="shared" si="58"/>
        <v>93151.239500000011</v>
      </c>
      <c r="AA226" s="38">
        <f t="shared" si="59"/>
        <v>1863025</v>
      </c>
      <c r="AB226" s="38">
        <f t="shared" si="60"/>
        <v>93151</v>
      </c>
      <c r="AC226" s="38">
        <f t="shared" si="61"/>
        <v>1769874</v>
      </c>
      <c r="AD226" s="67"/>
      <c r="AE226" s="73"/>
      <c r="AF226" s="73"/>
      <c r="AG226" s="73"/>
      <c r="AH226" s="67"/>
      <c r="AI226" s="180"/>
      <c r="AJ226" s="67"/>
      <c r="AK226" s="180"/>
    </row>
    <row r="227" spans="1:37" s="66" customFormat="1">
      <c r="A227" s="72">
        <v>15200000</v>
      </c>
      <c r="B227" s="73" t="s">
        <v>20</v>
      </c>
      <c r="C227" s="176" t="s">
        <v>995</v>
      </c>
      <c r="D227" s="67">
        <v>1</v>
      </c>
      <c r="E227" s="36" t="s">
        <v>364</v>
      </c>
      <c r="F227" s="177"/>
      <c r="G227" s="177"/>
      <c r="H227" s="177"/>
      <c r="I227" s="177"/>
      <c r="J227" s="178">
        <v>43830</v>
      </c>
      <c r="K227" s="65" t="str">
        <f t="shared" si="72"/>
        <v>SI</v>
      </c>
      <c r="L227" s="139">
        <f t="shared" si="67"/>
        <v>1863024.79</v>
      </c>
      <c r="M227" s="67">
        <v>1863024.79</v>
      </c>
      <c r="N227" s="67">
        <v>1863024.79</v>
      </c>
      <c r="O227" s="139">
        <f t="shared" si="68"/>
        <v>1863024.79</v>
      </c>
      <c r="P227" s="72">
        <v>15921000</v>
      </c>
      <c r="Q227" s="73" t="s">
        <v>27</v>
      </c>
      <c r="R227" s="67">
        <v>0</v>
      </c>
      <c r="S227" s="67">
        <v>0</v>
      </c>
      <c r="T227" s="139">
        <f t="shared" si="69"/>
        <v>0</v>
      </c>
      <c r="U227" s="38">
        <f t="shared" si="70"/>
        <v>1863024.79</v>
      </c>
      <c r="V227" s="179">
        <v>20</v>
      </c>
      <c r="W227" s="116">
        <f t="shared" si="73"/>
        <v>12</v>
      </c>
      <c r="X227" s="116">
        <f t="shared" si="56"/>
        <v>228</v>
      </c>
      <c r="Y227" s="38">
        <f t="shared" si="57"/>
        <v>7762.6032916666672</v>
      </c>
      <c r="Z227" s="38">
        <f t="shared" si="58"/>
        <v>93151.239500000011</v>
      </c>
      <c r="AA227" s="38">
        <f t="shared" si="59"/>
        <v>1863025</v>
      </c>
      <c r="AB227" s="38">
        <f t="shared" si="60"/>
        <v>93151</v>
      </c>
      <c r="AC227" s="38">
        <f t="shared" si="61"/>
        <v>1769874</v>
      </c>
      <c r="AD227" s="67"/>
      <c r="AE227" s="73"/>
      <c r="AF227" s="73"/>
      <c r="AG227" s="73"/>
      <c r="AH227" s="67"/>
      <c r="AI227" s="180"/>
      <c r="AJ227" s="67"/>
      <c r="AK227" s="180"/>
    </row>
    <row r="228" spans="1:37" s="66" customFormat="1">
      <c r="A228" s="72">
        <v>15200000</v>
      </c>
      <c r="B228" s="73" t="s">
        <v>20</v>
      </c>
      <c r="C228" s="176" t="s">
        <v>995</v>
      </c>
      <c r="D228" s="67">
        <v>1</v>
      </c>
      <c r="E228" s="36" t="s">
        <v>364</v>
      </c>
      <c r="F228" s="177"/>
      <c r="G228" s="177"/>
      <c r="H228" s="177"/>
      <c r="I228" s="177"/>
      <c r="J228" s="178">
        <v>43830</v>
      </c>
      <c r="K228" s="65" t="str">
        <f t="shared" si="72"/>
        <v>SI</v>
      </c>
      <c r="L228" s="139">
        <f t="shared" si="67"/>
        <v>1863024.79</v>
      </c>
      <c r="M228" s="67">
        <v>1863024.79</v>
      </c>
      <c r="N228" s="67">
        <v>1863024.79</v>
      </c>
      <c r="O228" s="139">
        <f t="shared" si="68"/>
        <v>1863024.79</v>
      </c>
      <c r="P228" s="72">
        <v>15921000</v>
      </c>
      <c r="Q228" s="73" t="s">
        <v>27</v>
      </c>
      <c r="R228" s="67">
        <v>0</v>
      </c>
      <c r="S228" s="67">
        <v>0</v>
      </c>
      <c r="T228" s="139">
        <f t="shared" si="69"/>
        <v>0</v>
      </c>
      <c r="U228" s="38">
        <f t="shared" si="70"/>
        <v>1863024.79</v>
      </c>
      <c r="V228" s="179">
        <v>20</v>
      </c>
      <c r="W228" s="116">
        <f t="shared" si="73"/>
        <v>12</v>
      </c>
      <c r="X228" s="116">
        <f t="shared" si="56"/>
        <v>228</v>
      </c>
      <c r="Y228" s="38">
        <f t="shared" si="57"/>
        <v>7762.6032916666672</v>
      </c>
      <c r="Z228" s="38">
        <f t="shared" si="58"/>
        <v>93151.239500000011</v>
      </c>
      <c r="AA228" s="38">
        <f t="shared" si="59"/>
        <v>1863025</v>
      </c>
      <c r="AB228" s="38">
        <f t="shared" si="60"/>
        <v>93151</v>
      </c>
      <c r="AC228" s="38">
        <f t="shared" si="61"/>
        <v>1769874</v>
      </c>
      <c r="AD228" s="67"/>
      <c r="AE228" s="73"/>
      <c r="AF228" s="73"/>
      <c r="AG228" s="73"/>
      <c r="AH228" s="67"/>
      <c r="AI228" s="180"/>
      <c r="AJ228" s="67"/>
      <c r="AK228" s="180"/>
    </row>
    <row r="229" spans="1:37" s="66" customFormat="1">
      <c r="A229" s="72">
        <v>15200000</v>
      </c>
      <c r="B229" s="73" t="s">
        <v>20</v>
      </c>
      <c r="C229" s="176" t="s">
        <v>995</v>
      </c>
      <c r="D229" s="67">
        <v>1</v>
      </c>
      <c r="E229" s="36" t="s">
        <v>364</v>
      </c>
      <c r="F229" s="177"/>
      <c r="G229" s="177"/>
      <c r="H229" s="177"/>
      <c r="I229" s="177"/>
      <c r="J229" s="178">
        <v>43830</v>
      </c>
      <c r="K229" s="65" t="str">
        <f t="shared" si="72"/>
        <v>SI</v>
      </c>
      <c r="L229" s="139">
        <f t="shared" si="67"/>
        <v>1863024.79</v>
      </c>
      <c r="M229" s="67">
        <v>1863024.79</v>
      </c>
      <c r="N229" s="67">
        <v>1863024.79</v>
      </c>
      <c r="O229" s="139">
        <f t="shared" si="68"/>
        <v>1863024.79</v>
      </c>
      <c r="P229" s="72">
        <v>15921000</v>
      </c>
      <c r="Q229" s="73" t="s">
        <v>27</v>
      </c>
      <c r="R229" s="67">
        <v>0</v>
      </c>
      <c r="S229" s="67">
        <v>0</v>
      </c>
      <c r="T229" s="139">
        <f t="shared" si="69"/>
        <v>0</v>
      </c>
      <c r="U229" s="38">
        <f t="shared" si="70"/>
        <v>1863024.79</v>
      </c>
      <c r="V229" s="179">
        <v>20</v>
      </c>
      <c r="W229" s="116">
        <f t="shared" si="73"/>
        <v>12</v>
      </c>
      <c r="X229" s="116">
        <f t="shared" si="56"/>
        <v>228</v>
      </c>
      <c r="Y229" s="38">
        <f t="shared" si="57"/>
        <v>7762.6032916666672</v>
      </c>
      <c r="Z229" s="38">
        <f t="shared" si="58"/>
        <v>93151.239500000011</v>
      </c>
      <c r="AA229" s="38">
        <f t="shared" si="59"/>
        <v>1863025</v>
      </c>
      <c r="AB229" s="38">
        <f t="shared" si="60"/>
        <v>93151</v>
      </c>
      <c r="AC229" s="38">
        <f t="shared" si="61"/>
        <v>1769874</v>
      </c>
      <c r="AD229" s="67"/>
      <c r="AE229" s="73"/>
      <c r="AF229" s="73"/>
      <c r="AG229" s="73"/>
      <c r="AH229" s="67"/>
      <c r="AI229" s="180"/>
      <c r="AJ229" s="67"/>
      <c r="AK229" s="180"/>
    </row>
    <row r="230" spans="1:37" s="66" customFormat="1">
      <c r="A230" s="72">
        <v>15200000</v>
      </c>
      <c r="B230" s="73" t="s">
        <v>20</v>
      </c>
      <c r="C230" s="176" t="s">
        <v>995</v>
      </c>
      <c r="D230" s="67">
        <v>1</v>
      </c>
      <c r="E230" s="36" t="s">
        <v>364</v>
      </c>
      <c r="F230" s="177"/>
      <c r="G230" s="177"/>
      <c r="H230" s="177"/>
      <c r="I230" s="177"/>
      <c r="J230" s="178">
        <v>43830</v>
      </c>
      <c r="K230" s="65" t="str">
        <f t="shared" si="72"/>
        <v>SI</v>
      </c>
      <c r="L230" s="139">
        <f t="shared" si="67"/>
        <v>1863024.79</v>
      </c>
      <c r="M230" s="67">
        <v>1863024.79</v>
      </c>
      <c r="N230" s="67">
        <v>1863024.79</v>
      </c>
      <c r="O230" s="139">
        <f t="shared" si="68"/>
        <v>1863024.79</v>
      </c>
      <c r="P230" s="72">
        <v>15921000</v>
      </c>
      <c r="Q230" s="73" t="s">
        <v>27</v>
      </c>
      <c r="R230" s="67">
        <v>0</v>
      </c>
      <c r="S230" s="67">
        <v>0</v>
      </c>
      <c r="T230" s="139">
        <f t="shared" si="69"/>
        <v>0</v>
      </c>
      <c r="U230" s="38">
        <f t="shared" si="70"/>
        <v>1863024.79</v>
      </c>
      <c r="V230" s="179">
        <v>20</v>
      </c>
      <c r="W230" s="116">
        <f t="shared" si="73"/>
        <v>12</v>
      </c>
      <c r="X230" s="116">
        <f t="shared" si="56"/>
        <v>228</v>
      </c>
      <c r="Y230" s="38">
        <f t="shared" si="57"/>
        <v>7762.6032916666672</v>
      </c>
      <c r="Z230" s="38">
        <f t="shared" si="58"/>
        <v>93151.239500000011</v>
      </c>
      <c r="AA230" s="38">
        <f t="shared" si="59"/>
        <v>1863025</v>
      </c>
      <c r="AB230" s="38">
        <f t="shared" si="60"/>
        <v>93151</v>
      </c>
      <c r="AC230" s="38">
        <f t="shared" si="61"/>
        <v>1769874</v>
      </c>
      <c r="AD230" s="67"/>
      <c r="AE230" s="73"/>
      <c r="AF230" s="73"/>
      <c r="AG230" s="73"/>
      <c r="AH230" s="67"/>
      <c r="AI230" s="180"/>
      <c r="AJ230" s="67"/>
      <c r="AK230" s="180"/>
    </row>
    <row r="231" spans="1:37" s="66" customFormat="1">
      <c r="A231" s="72">
        <v>15200000</v>
      </c>
      <c r="B231" s="73" t="s">
        <v>20</v>
      </c>
      <c r="C231" s="176" t="s">
        <v>995</v>
      </c>
      <c r="D231" s="67">
        <v>1</v>
      </c>
      <c r="E231" s="36" t="s">
        <v>364</v>
      </c>
      <c r="F231" s="177"/>
      <c r="G231" s="177"/>
      <c r="H231" s="177"/>
      <c r="I231" s="177"/>
      <c r="J231" s="178">
        <v>43830</v>
      </c>
      <c r="K231" s="65" t="str">
        <f t="shared" si="72"/>
        <v>SI</v>
      </c>
      <c r="L231" s="139">
        <f t="shared" si="67"/>
        <v>1863024.79</v>
      </c>
      <c r="M231" s="67">
        <v>1863024.79</v>
      </c>
      <c r="N231" s="67">
        <v>1863024.79</v>
      </c>
      <c r="O231" s="139">
        <f t="shared" si="68"/>
        <v>1863024.79</v>
      </c>
      <c r="P231" s="72">
        <v>15921000</v>
      </c>
      <c r="Q231" s="73" t="s">
        <v>27</v>
      </c>
      <c r="R231" s="67">
        <v>0</v>
      </c>
      <c r="S231" s="67">
        <v>0</v>
      </c>
      <c r="T231" s="139">
        <f t="shared" si="69"/>
        <v>0</v>
      </c>
      <c r="U231" s="38">
        <f t="shared" si="70"/>
        <v>1863024.79</v>
      </c>
      <c r="V231" s="179">
        <v>20</v>
      </c>
      <c r="W231" s="116">
        <f t="shared" si="73"/>
        <v>12</v>
      </c>
      <c r="X231" s="116">
        <f t="shared" si="56"/>
        <v>228</v>
      </c>
      <c r="Y231" s="38">
        <f t="shared" si="57"/>
        <v>7762.6032916666672</v>
      </c>
      <c r="Z231" s="38">
        <f t="shared" si="58"/>
        <v>93151.239500000011</v>
      </c>
      <c r="AA231" s="38">
        <f t="shared" si="59"/>
        <v>1863025</v>
      </c>
      <c r="AB231" s="38">
        <f t="shared" si="60"/>
        <v>93151</v>
      </c>
      <c r="AC231" s="38">
        <f t="shared" si="61"/>
        <v>1769874</v>
      </c>
      <c r="AD231" s="67"/>
      <c r="AE231" s="73"/>
      <c r="AF231" s="73"/>
      <c r="AG231" s="73"/>
      <c r="AH231" s="67"/>
      <c r="AI231" s="180"/>
      <c r="AJ231" s="67"/>
      <c r="AK231" s="180"/>
    </row>
    <row r="232" spans="1:37" s="66" customFormat="1">
      <c r="A232" s="72">
        <v>15200000</v>
      </c>
      <c r="B232" s="73" t="s">
        <v>20</v>
      </c>
      <c r="C232" s="176" t="s">
        <v>995</v>
      </c>
      <c r="D232" s="67">
        <v>1</v>
      </c>
      <c r="E232" s="36" t="s">
        <v>364</v>
      </c>
      <c r="F232" s="177"/>
      <c r="G232" s="177"/>
      <c r="H232" s="177"/>
      <c r="I232" s="177"/>
      <c r="J232" s="178">
        <v>43830</v>
      </c>
      <c r="K232" s="65" t="str">
        <f t="shared" si="72"/>
        <v>SI</v>
      </c>
      <c r="L232" s="139">
        <f t="shared" si="67"/>
        <v>1863024.79</v>
      </c>
      <c r="M232" s="67">
        <v>1863024.79</v>
      </c>
      <c r="N232" s="67">
        <v>1863024.79</v>
      </c>
      <c r="O232" s="139">
        <f t="shared" si="68"/>
        <v>1863024.79</v>
      </c>
      <c r="P232" s="72">
        <v>15921000</v>
      </c>
      <c r="Q232" s="73" t="s">
        <v>27</v>
      </c>
      <c r="R232" s="67">
        <v>0</v>
      </c>
      <c r="S232" s="67">
        <v>0</v>
      </c>
      <c r="T232" s="139">
        <f t="shared" si="69"/>
        <v>0</v>
      </c>
      <c r="U232" s="38">
        <f t="shared" si="70"/>
        <v>1863024.79</v>
      </c>
      <c r="V232" s="179">
        <v>20</v>
      </c>
      <c r="W232" s="116">
        <f t="shared" si="73"/>
        <v>12</v>
      </c>
      <c r="X232" s="116">
        <f t="shared" si="56"/>
        <v>228</v>
      </c>
      <c r="Y232" s="38">
        <f t="shared" si="57"/>
        <v>7762.6032916666672</v>
      </c>
      <c r="Z232" s="38">
        <f t="shared" si="58"/>
        <v>93151.239500000011</v>
      </c>
      <c r="AA232" s="38">
        <f t="shared" si="59"/>
        <v>1863025</v>
      </c>
      <c r="AB232" s="38">
        <f t="shared" si="60"/>
        <v>93151</v>
      </c>
      <c r="AC232" s="38">
        <f t="shared" si="61"/>
        <v>1769874</v>
      </c>
      <c r="AD232" s="67"/>
      <c r="AE232" s="73"/>
      <c r="AF232" s="73"/>
      <c r="AG232" s="73"/>
      <c r="AH232" s="67"/>
      <c r="AI232" s="180"/>
      <c r="AJ232" s="67"/>
      <c r="AK232" s="180"/>
    </row>
    <row r="233" spans="1:37" s="66" customFormat="1">
      <c r="A233" s="72">
        <v>15200000</v>
      </c>
      <c r="B233" s="73" t="s">
        <v>20</v>
      </c>
      <c r="C233" s="176" t="s">
        <v>995</v>
      </c>
      <c r="D233" s="67">
        <v>1</v>
      </c>
      <c r="E233" s="36" t="s">
        <v>364</v>
      </c>
      <c r="F233" s="177"/>
      <c r="G233" s="177"/>
      <c r="H233" s="177"/>
      <c r="I233" s="177"/>
      <c r="J233" s="178">
        <v>43830</v>
      </c>
      <c r="K233" s="65" t="str">
        <f t="shared" si="72"/>
        <v>SI</v>
      </c>
      <c r="L233" s="139">
        <f t="shared" si="67"/>
        <v>1863024.79</v>
      </c>
      <c r="M233" s="67">
        <v>1863024.79</v>
      </c>
      <c r="N233" s="67">
        <v>1863024.79</v>
      </c>
      <c r="O233" s="139">
        <f t="shared" si="68"/>
        <v>1863024.79</v>
      </c>
      <c r="P233" s="72">
        <v>15921000</v>
      </c>
      <c r="Q233" s="73" t="s">
        <v>27</v>
      </c>
      <c r="R233" s="67">
        <v>0</v>
      </c>
      <c r="S233" s="67">
        <v>0</v>
      </c>
      <c r="T233" s="139">
        <f t="shared" si="69"/>
        <v>0</v>
      </c>
      <c r="U233" s="38">
        <f t="shared" si="70"/>
        <v>1863024.79</v>
      </c>
      <c r="V233" s="179">
        <v>20</v>
      </c>
      <c r="W233" s="116">
        <f t="shared" si="73"/>
        <v>12</v>
      </c>
      <c r="X233" s="116">
        <f t="shared" si="56"/>
        <v>228</v>
      </c>
      <c r="Y233" s="38">
        <f t="shared" si="57"/>
        <v>7762.6032916666672</v>
      </c>
      <c r="Z233" s="38">
        <f t="shared" si="58"/>
        <v>93151.239500000011</v>
      </c>
      <c r="AA233" s="38">
        <f t="shared" si="59"/>
        <v>1863025</v>
      </c>
      <c r="AB233" s="38">
        <f t="shared" si="60"/>
        <v>93151</v>
      </c>
      <c r="AC233" s="38">
        <f t="shared" si="61"/>
        <v>1769874</v>
      </c>
      <c r="AD233" s="67"/>
      <c r="AE233" s="73"/>
      <c r="AF233" s="73"/>
      <c r="AG233" s="73"/>
      <c r="AH233" s="67"/>
      <c r="AI233" s="180"/>
      <c r="AJ233" s="67"/>
      <c r="AK233" s="180"/>
    </row>
    <row r="234" spans="1:37" s="66" customFormat="1">
      <c r="A234" s="72">
        <v>15200000</v>
      </c>
      <c r="B234" s="73" t="s">
        <v>20</v>
      </c>
      <c r="C234" s="176" t="s">
        <v>995</v>
      </c>
      <c r="D234" s="67">
        <v>1</v>
      </c>
      <c r="E234" s="36" t="s">
        <v>364</v>
      </c>
      <c r="F234" s="177"/>
      <c r="G234" s="177"/>
      <c r="H234" s="177"/>
      <c r="I234" s="177"/>
      <c r="J234" s="178">
        <v>43830</v>
      </c>
      <c r="K234" s="65" t="str">
        <f t="shared" si="72"/>
        <v>SI</v>
      </c>
      <c r="L234" s="139">
        <f t="shared" si="67"/>
        <v>1863024.69</v>
      </c>
      <c r="M234" s="67">
        <v>1863024.69</v>
      </c>
      <c r="N234" s="67">
        <v>1863024.69</v>
      </c>
      <c r="O234" s="139">
        <f t="shared" si="68"/>
        <v>1863024.69</v>
      </c>
      <c r="P234" s="72">
        <v>15921000</v>
      </c>
      <c r="Q234" s="73" t="s">
        <v>27</v>
      </c>
      <c r="R234" s="67">
        <v>0</v>
      </c>
      <c r="S234" s="67">
        <v>0</v>
      </c>
      <c r="T234" s="139">
        <f t="shared" si="69"/>
        <v>0</v>
      </c>
      <c r="U234" s="38">
        <f t="shared" si="70"/>
        <v>1863024.69</v>
      </c>
      <c r="V234" s="179">
        <v>20</v>
      </c>
      <c r="W234" s="116">
        <f t="shared" si="73"/>
        <v>12</v>
      </c>
      <c r="X234" s="116">
        <f t="shared" si="56"/>
        <v>228</v>
      </c>
      <c r="Y234" s="38">
        <f t="shared" si="57"/>
        <v>7762.6028749999996</v>
      </c>
      <c r="Z234" s="38">
        <f t="shared" si="58"/>
        <v>93151.234499999991</v>
      </c>
      <c r="AA234" s="38">
        <f t="shared" si="59"/>
        <v>1863025</v>
      </c>
      <c r="AB234" s="38">
        <f t="shared" si="60"/>
        <v>93151</v>
      </c>
      <c r="AC234" s="38">
        <f t="shared" si="61"/>
        <v>1769874</v>
      </c>
      <c r="AD234" s="67"/>
      <c r="AE234" s="73"/>
      <c r="AF234" s="73"/>
      <c r="AG234" s="73"/>
      <c r="AH234" s="67"/>
      <c r="AI234" s="180"/>
      <c r="AJ234" s="67"/>
      <c r="AK234" s="180"/>
    </row>
    <row r="235" spans="1:37" s="66" customFormat="1">
      <c r="A235" s="72">
        <v>15200000</v>
      </c>
      <c r="B235" s="73" t="s">
        <v>20</v>
      </c>
      <c r="C235" s="176" t="s">
        <v>995</v>
      </c>
      <c r="D235" s="67">
        <v>1</v>
      </c>
      <c r="E235" s="36" t="s">
        <v>364</v>
      </c>
      <c r="F235" s="177"/>
      <c r="G235" s="177"/>
      <c r="H235" s="177"/>
      <c r="I235" s="177"/>
      <c r="J235" s="178">
        <v>43830</v>
      </c>
      <c r="K235" s="65" t="str">
        <f t="shared" si="72"/>
        <v>SI</v>
      </c>
      <c r="L235" s="139">
        <f t="shared" si="67"/>
        <v>128430635.14</v>
      </c>
      <c r="M235" s="67">
        <v>128430635.14</v>
      </c>
      <c r="N235" s="67">
        <v>128430635.14</v>
      </c>
      <c r="O235" s="139">
        <f t="shared" si="68"/>
        <v>128430635.14</v>
      </c>
      <c r="P235" s="72">
        <v>15921000</v>
      </c>
      <c r="Q235" s="73" t="s">
        <v>27</v>
      </c>
      <c r="R235" s="67">
        <v>0</v>
      </c>
      <c r="S235" s="67">
        <v>0</v>
      </c>
      <c r="T235" s="139">
        <f t="shared" si="69"/>
        <v>0</v>
      </c>
      <c r="U235" s="38">
        <f t="shared" si="70"/>
        <v>128430635.14</v>
      </c>
      <c r="V235" s="179">
        <v>25</v>
      </c>
      <c r="W235" s="116">
        <f t="shared" si="73"/>
        <v>12</v>
      </c>
      <c r="X235" s="116">
        <f t="shared" si="56"/>
        <v>288</v>
      </c>
      <c r="Y235" s="38">
        <f t="shared" si="57"/>
        <v>428102.11713333335</v>
      </c>
      <c r="Z235" s="38">
        <f t="shared" si="58"/>
        <v>5137225.4056000002</v>
      </c>
      <c r="AA235" s="38">
        <f t="shared" si="59"/>
        <v>128430635</v>
      </c>
      <c r="AB235" s="38">
        <f t="shared" si="60"/>
        <v>5137225</v>
      </c>
      <c r="AC235" s="38">
        <f t="shared" si="61"/>
        <v>123293410</v>
      </c>
      <c r="AD235" s="67"/>
      <c r="AE235" s="73"/>
      <c r="AF235" s="73"/>
      <c r="AG235" s="73"/>
      <c r="AH235" s="67"/>
      <c r="AI235" s="180"/>
      <c r="AJ235" s="67"/>
      <c r="AK235" s="180"/>
    </row>
    <row r="236" spans="1:37" s="66" customFormat="1">
      <c r="A236" s="72">
        <v>15200000</v>
      </c>
      <c r="B236" s="73" t="s">
        <v>20</v>
      </c>
      <c r="C236" s="176" t="s">
        <v>995</v>
      </c>
      <c r="D236" s="67">
        <v>1</v>
      </c>
      <c r="E236" s="36" t="s">
        <v>364</v>
      </c>
      <c r="F236" s="177"/>
      <c r="G236" s="177"/>
      <c r="H236" s="177"/>
      <c r="I236" s="177"/>
      <c r="J236" s="178">
        <v>43830</v>
      </c>
      <c r="K236" s="65" t="str">
        <f t="shared" si="72"/>
        <v>SI</v>
      </c>
      <c r="L236" s="139">
        <f t="shared" si="67"/>
        <v>27616026</v>
      </c>
      <c r="M236" s="67">
        <v>27616026</v>
      </c>
      <c r="N236" s="67">
        <v>27616026</v>
      </c>
      <c r="O236" s="139">
        <f t="shared" si="68"/>
        <v>27616026</v>
      </c>
      <c r="P236" s="72">
        <v>15921000</v>
      </c>
      <c r="Q236" s="73" t="s">
        <v>27</v>
      </c>
      <c r="R236" s="67">
        <v>0</v>
      </c>
      <c r="S236" s="67">
        <v>0</v>
      </c>
      <c r="T236" s="139">
        <f t="shared" si="69"/>
        <v>0</v>
      </c>
      <c r="U236" s="38">
        <f t="shared" si="70"/>
        <v>27616026</v>
      </c>
      <c r="V236" s="179">
        <v>25</v>
      </c>
      <c r="W236" s="116">
        <f t="shared" si="73"/>
        <v>12</v>
      </c>
      <c r="X236" s="116">
        <f t="shared" si="56"/>
        <v>288</v>
      </c>
      <c r="Y236" s="38">
        <f t="shared" si="57"/>
        <v>92053.42</v>
      </c>
      <c r="Z236" s="38">
        <f t="shared" si="58"/>
        <v>1104641.04</v>
      </c>
      <c r="AA236" s="38">
        <f t="shared" si="59"/>
        <v>27616026</v>
      </c>
      <c r="AB236" s="38">
        <f t="shared" si="60"/>
        <v>1104641</v>
      </c>
      <c r="AC236" s="38">
        <f t="shared" si="61"/>
        <v>26511385</v>
      </c>
      <c r="AD236" s="67"/>
      <c r="AE236" s="73"/>
      <c r="AF236" s="73"/>
      <c r="AG236" s="73"/>
      <c r="AH236" s="67"/>
      <c r="AI236" s="180"/>
      <c r="AJ236" s="67"/>
      <c r="AK236" s="180"/>
    </row>
    <row r="237" spans="1:37" s="66" customFormat="1">
      <c r="A237" s="72">
        <v>15200000</v>
      </c>
      <c r="B237" s="73" t="s">
        <v>20</v>
      </c>
      <c r="C237" s="176" t="s">
        <v>995</v>
      </c>
      <c r="D237" s="67">
        <v>1</v>
      </c>
      <c r="E237" s="36" t="s">
        <v>364</v>
      </c>
      <c r="F237" s="177"/>
      <c r="G237" s="177"/>
      <c r="H237" s="177"/>
      <c r="I237" s="177"/>
      <c r="J237" s="178">
        <v>43830</v>
      </c>
      <c r="K237" s="65" t="str">
        <f t="shared" si="72"/>
        <v>SI</v>
      </c>
      <c r="L237" s="139">
        <f t="shared" si="67"/>
        <v>342868581.23000002</v>
      </c>
      <c r="M237" s="67">
        <v>342868581.23000002</v>
      </c>
      <c r="N237" s="67">
        <v>342868581.23000002</v>
      </c>
      <c r="O237" s="139">
        <f t="shared" si="68"/>
        <v>342868581.23000002</v>
      </c>
      <c r="P237" s="72">
        <v>15921000</v>
      </c>
      <c r="Q237" s="73" t="s">
        <v>27</v>
      </c>
      <c r="R237" s="67">
        <v>0</v>
      </c>
      <c r="S237" s="67">
        <v>0</v>
      </c>
      <c r="T237" s="139">
        <f t="shared" si="69"/>
        <v>0</v>
      </c>
      <c r="U237" s="38">
        <f t="shared" si="70"/>
        <v>342868581.23000002</v>
      </c>
      <c r="V237" s="179">
        <v>25</v>
      </c>
      <c r="W237" s="116">
        <f t="shared" si="73"/>
        <v>12</v>
      </c>
      <c r="X237" s="116">
        <f t="shared" ref="X237:X238" si="74">(V237*12)-W237</f>
        <v>288</v>
      </c>
      <c r="Y237" s="38">
        <f t="shared" ref="Y237:Y238" si="75">N237/(V237*12)</f>
        <v>1142895.2707666666</v>
      </c>
      <c r="Z237" s="38">
        <f t="shared" ref="Z237:Z238" si="76">IF(U237&gt;0,W237*Y237,0)</f>
        <v>13714743.249199999</v>
      </c>
      <c r="AA237" s="38">
        <f t="shared" ref="AA237:AA238" si="77">ROUND(IF(U237&gt;0,N237,0),0)</f>
        <v>342868581</v>
      </c>
      <c r="AB237" s="38">
        <f t="shared" ref="AB237:AB238" si="78">ROUND(IF(U237&gt;0,Z237,0),0)</f>
        <v>13714743</v>
      </c>
      <c r="AC237" s="38">
        <f t="shared" ref="AC237:AC238" si="79">AA237-AB237</f>
        <v>329153838</v>
      </c>
      <c r="AD237" s="67"/>
      <c r="AE237" s="73"/>
      <c r="AF237" s="73"/>
      <c r="AG237" s="73"/>
      <c r="AH237" s="67"/>
      <c r="AI237" s="180"/>
      <c r="AJ237" s="67"/>
      <c r="AK237" s="180"/>
    </row>
    <row r="238" spans="1:37" s="66" customFormat="1">
      <c r="A238" s="72">
        <v>15200000</v>
      </c>
      <c r="B238" s="73" t="s">
        <v>20</v>
      </c>
      <c r="C238" s="176" t="s">
        <v>995</v>
      </c>
      <c r="D238" s="67">
        <v>1</v>
      </c>
      <c r="E238" s="36" t="s">
        <v>364</v>
      </c>
      <c r="F238" s="177"/>
      <c r="G238" s="177"/>
      <c r="H238" s="177"/>
      <c r="I238" s="177"/>
      <c r="J238" s="178">
        <v>43830</v>
      </c>
      <c r="K238" s="65" t="str">
        <f t="shared" si="72"/>
        <v>SI</v>
      </c>
      <c r="L238" s="139">
        <f t="shared" si="67"/>
        <v>242153315.53999999</v>
      </c>
      <c r="M238" s="67">
        <v>242153315.53999999</v>
      </c>
      <c r="N238" s="67">
        <v>242153315.53999999</v>
      </c>
      <c r="O238" s="139">
        <f t="shared" si="68"/>
        <v>242153315.53999999</v>
      </c>
      <c r="P238" s="72">
        <v>15921000</v>
      </c>
      <c r="Q238" s="73" t="s">
        <v>27</v>
      </c>
      <c r="R238" s="67">
        <v>0</v>
      </c>
      <c r="S238" s="67">
        <v>0</v>
      </c>
      <c r="T238" s="139">
        <f t="shared" si="69"/>
        <v>0</v>
      </c>
      <c r="U238" s="38">
        <f t="shared" si="70"/>
        <v>242153315.53999999</v>
      </c>
      <c r="V238" s="179">
        <v>25</v>
      </c>
      <c r="W238" s="116">
        <f t="shared" si="73"/>
        <v>12</v>
      </c>
      <c r="X238" s="116">
        <f t="shared" si="74"/>
        <v>288</v>
      </c>
      <c r="Y238" s="38">
        <f t="shared" si="75"/>
        <v>807177.71846666664</v>
      </c>
      <c r="Z238" s="38">
        <f t="shared" si="76"/>
        <v>9686132.6216000002</v>
      </c>
      <c r="AA238" s="38">
        <f t="shared" si="77"/>
        <v>242153316</v>
      </c>
      <c r="AB238" s="38">
        <f t="shared" si="78"/>
        <v>9686133</v>
      </c>
      <c r="AC238" s="38">
        <f t="shared" si="79"/>
        <v>232467183</v>
      </c>
      <c r="AD238" s="67"/>
      <c r="AE238" s="73"/>
      <c r="AF238" s="73"/>
      <c r="AG238" s="73"/>
      <c r="AH238" s="67"/>
      <c r="AI238" s="180"/>
      <c r="AJ238" s="67"/>
      <c r="AK238" s="180"/>
    </row>
    <row r="239" spans="1:37" s="72" customFormat="1">
      <c r="A239" s="72">
        <v>15200000</v>
      </c>
      <c r="B239" s="73" t="s">
        <v>20</v>
      </c>
      <c r="C239" s="68" t="s">
        <v>995</v>
      </c>
      <c r="D239" s="67">
        <v>1</v>
      </c>
      <c r="E239" s="36" t="s">
        <v>364</v>
      </c>
      <c r="F239" s="177"/>
      <c r="G239" s="177"/>
      <c r="H239" s="177"/>
      <c r="J239" s="258">
        <v>44196</v>
      </c>
      <c r="K239" s="65" t="str">
        <f>IF(L239&gt;($M$27*50),"SI","NO")</f>
        <v>SI</v>
      </c>
      <c r="L239" s="139">
        <f t="shared" si="67"/>
        <v>51765000</v>
      </c>
      <c r="M239" s="67">
        <v>51765000</v>
      </c>
      <c r="N239" s="67">
        <v>51765000</v>
      </c>
      <c r="O239" s="139">
        <f t="shared" ref="O239:O240" si="80">IF(K239="SI",N239,0)</f>
        <v>51765000</v>
      </c>
      <c r="P239" s="72">
        <v>15921000</v>
      </c>
      <c r="Q239" s="73" t="s">
        <v>27</v>
      </c>
      <c r="R239" s="67">
        <v>0</v>
      </c>
      <c r="S239" s="67">
        <v>0</v>
      </c>
      <c r="T239" s="139">
        <f t="shared" ref="T239:T240" si="81">IF(O239&gt;0,S239,0)</f>
        <v>0</v>
      </c>
      <c r="U239" s="38">
        <f t="shared" ref="U239:U240" si="82">IF(O239&gt;0,N239-S239,0)</f>
        <v>51765000</v>
      </c>
      <c r="V239" s="179">
        <v>20</v>
      </c>
      <c r="W239" s="116">
        <f t="shared" ref="W239:W240" si="83">IF(ROUND(($W$27-J239)/30,0)&gt;(V239*12),(V239*12),(ROUND(($W$27-J239)/30,0)))</f>
        <v>0</v>
      </c>
      <c r="X239" s="116">
        <f t="shared" ref="X239:X240" si="84">(V239*12)-W239</f>
        <v>240</v>
      </c>
      <c r="Y239" s="38">
        <f t="shared" ref="Y239:Y240" si="85">N239/(V239*12)</f>
        <v>215687.5</v>
      </c>
      <c r="Z239" s="38">
        <f t="shared" ref="Z239:Z240" si="86">IF(U239&gt;0,W239*Y239,0)</f>
        <v>0</v>
      </c>
      <c r="AA239" s="38">
        <f t="shared" ref="AA239:AA240" si="87">ROUND(IF(U239&gt;0,N239,0),0)</f>
        <v>51765000</v>
      </c>
      <c r="AB239" s="38">
        <f t="shared" ref="AB239:AB240" si="88">ROUND(IF(U239&gt;0,Z239,0),0)</f>
        <v>0</v>
      </c>
      <c r="AC239" s="38">
        <f t="shared" ref="AC239:AC240" si="89">AA239-AB239</f>
        <v>51765000</v>
      </c>
      <c r="AD239" s="67"/>
      <c r="AE239" s="73"/>
      <c r="AG239" s="73"/>
    </row>
    <row r="240" spans="1:37" s="72" customFormat="1">
      <c r="A240" s="72">
        <v>15200000</v>
      </c>
      <c r="B240" s="73" t="s">
        <v>20</v>
      </c>
      <c r="C240" s="68" t="s">
        <v>995</v>
      </c>
      <c r="D240" s="67">
        <v>1</v>
      </c>
      <c r="E240" s="36" t="s">
        <v>364</v>
      </c>
      <c r="F240" s="177"/>
      <c r="G240" s="177"/>
      <c r="H240" s="177"/>
      <c r="J240" s="258">
        <v>43831</v>
      </c>
      <c r="K240" s="65" t="str">
        <f t="shared" ref="K240:K256" si="90">IF(L240&gt;($M$27*50),"SI","NO")</f>
        <v>SI</v>
      </c>
      <c r="L240" s="139">
        <f t="shared" ref="L240:L256" si="91">M240/D240</f>
        <v>57678110</v>
      </c>
      <c r="M240" s="67">
        <v>57678110</v>
      </c>
      <c r="N240" s="67">
        <v>57678110</v>
      </c>
      <c r="O240" s="139">
        <f t="shared" si="80"/>
        <v>57678110</v>
      </c>
      <c r="P240" s="72">
        <v>15921000</v>
      </c>
      <c r="Q240" s="73" t="s">
        <v>27</v>
      </c>
      <c r="R240" s="67">
        <v>0</v>
      </c>
      <c r="S240" s="67">
        <v>0</v>
      </c>
      <c r="T240" s="139">
        <f t="shared" si="81"/>
        <v>0</v>
      </c>
      <c r="U240" s="38">
        <f t="shared" si="82"/>
        <v>57678110</v>
      </c>
      <c r="V240" s="179">
        <v>25</v>
      </c>
      <c r="W240" s="116">
        <f t="shared" si="83"/>
        <v>12</v>
      </c>
      <c r="X240" s="116">
        <f t="shared" si="84"/>
        <v>288</v>
      </c>
      <c r="Y240" s="38">
        <f t="shared" si="85"/>
        <v>192260.36666666667</v>
      </c>
      <c r="Z240" s="38">
        <f t="shared" si="86"/>
        <v>2307124.4</v>
      </c>
      <c r="AA240" s="38">
        <f t="shared" si="87"/>
        <v>57678110</v>
      </c>
      <c r="AB240" s="38">
        <f t="shared" si="88"/>
        <v>2307124</v>
      </c>
      <c r="AC240" s="38">
        <f t="shared" si="89"/>
        <v>55370986</v>
      </c>
      <c r="AD240" s="67"/>
      <c r="AE240" s="73"/>
      <c r="AG240" s="73"/>
    </row>
    <row r="241" spans="1:33" s="72" customFormat="1">
      <c r="A241" s="72">
        <v>15200000</v>
      </c>
      <c r="B241" s="73" t="s">
        <v>20</v>
      </c>
      <c r="C241" s="68" t="s">
        <v>995</v>
      </c>
      <c r="D241" s="67">
        <v>1</v>
      </c>
      <c r="E241" s="36" t="s">
        <v>364</v>
      </c>
      <c r="F241" s="177"/>
      <c r="G241" s="177"/>
      <c r="H241" s="177"/>
      <c r="J241" s="258">
        <v>43831</v>
      </c>
      <c r="K241" s="65" t="str">
        <f t="shared" si="90"/>
        <v>SI</v>
      </c>
      <c r="L241" s="139">
        <f t="shared" si="91"/>
        <v>9467164</v>
      </c>
      <c r="M241" s="67">
        <v>9467164</v>
      </c>
      <c r="N241" s="67">
        <v>9467164</v>
      </c>
      <c r="O241" s="139">
        <f t="shared" ref="O241" si="92">IF(K241="SI",N241,0)</f>
        <v>9467164</v>
      </c>
      <c r="P241" s="72">
        <v>15921000</v>
      </c>
      <c r="Q241" s="73" t="s">
        <v>27</v>
      </c>
      <c r="R241" s="67">
        <v>0</v>
      </c>
      <c r="S241" s="67">
        <v>0</v>
      </c>
      <c r="T241" s="139">
        <f t="shared" ref="T241" si="93">IF(O241&gt;0,S241,0)</f>
        <v>0</v>
      </c>
      <c r="U241" s="38">
        <f t="shared" ref="U241" si="94">IF(O241&gt;0,N241-S241,0)</f>
        <v>9467164</v>
      </c>
      <c r="V241" s="179">
        <v>25</v>
      </c>
      <c r="W241" s="116">
        <f t="shared" ref="W241" si="95">IF(ROUND(($W$27-J241)/30,0)&gt;(V241*12),(V241*12),(ROUND(($W$27-J241)/30,0)))</f>
        <v>12</v>
      </c>
      <c r="X241" s="116">
        <f t="shared" ref="X241" si="96">(V241*12)-W241</f>
        <v>288</v>
      </c>
      <c r="Y241" s="38">
        <f t="shared" ref="Y241" si="97">N241/(V241*12)</f>
        <v>31557.213333333333</v>
      </c>
      <c r="Z241" s="38">
        <f t="shared" ref="Z241" si="98">IF(U241&gt;0,W241*Y241,0)</f>
        <v>378686.56</v>
      </c>
      <c r="AA241" s="38">
        <f t="shared" ref="AA241" si="99">ROUND(IF(U241&gt;0,N241,0),0)</f>
        <v>9467164</v>
      </c>
      <c r="AB241" s="38">
        <f t="shared" ref="AB241" si="100">ROUND(IF(U241&gt;0,Z241,0),0)</f>
        <v>378687</v>
      </c>
      <c r="AC241" s="38">
        <f t="shared" ref="AC241" si="101">AA241-AB241</f>
        <v>9088477</v>
      </c>
      <c r="AD241" s="67"/>
      <c r="AE241" s="73"/>
      <c r="AG241" s="73"/>
    </row>
    <row r="242" spans="1:33" s="72" customFormat="1">
      <c r="A242" s="72">
        <v>15200000</v>
      </c>
      <c r="B242" s="73" t="s">
        <v>20</v>
      </c>
      <c r="C242" s="68" t="s">
        <v>995</v>
      </c>
      <c r="D242" s="67">
        <v>1</v>
      </c>
      <c r="E242" s="36" t="s">
        <v>364</v>
      </c>
      <c r="F242" s="177"/>
      <c r="G242" s="177"/>
      <c r="H242" s="177"/>
      <c r="J242" s="258">
        <v>43831</v>
      </c>
      <c r="K242" s="65" t="str">
        <f t="shared" si="90"/>
        <v>SI</v>
      </c>
      <c r="L242" s="139">
        <f t="shared" si="91"/>
        <v>5559680</v>
      </c>
      <c r="M242" s="67">
        <v>5559680</v>
      </c>
      <c r="N242" s="67">
        <v>5559680</v>
      </c>
      <c r="O242" s="139">
        <f t="shared" ref="O242:O256" si="102">IF(K242="SI",N242,0)</f>
        <v>5559680</v>
      </c>
      <c r="P242" s="72">
        <v>15921000</v>
      </c>
      <c r="Q242" s="73" t="s">
        <v>27</v>
      </c>
      <c r="R242" s="67">
        <v>0</v>
      </c>
      <c r="S242" s="67">
        <v>0</v>
      </c>
      <c r="T242" s="139">
        <f t="shared" ref="T242:T256" si="103">IF(O242&gt;0,S242,0)</f>
        <v>0</v>
      </c>
      <c r="U242" s="38">
        <f t="shared" ref="U242:U256" si="104">IF(O242&gt;0,N242-S242,0)</f>
        <v>5559680</v>
      </c>
      <c r="V242" s="179">
        <v>25</v>
      </c>
      <c r="W242" s="116">
        <f t="shared" ref="W242:W256" si="105">IF(ROUND(($W$27-J242)/30,0)&gt;(V242*12),(V242*12),(ROUND(($W$27-J242)/30,0)))</f>
        <v>12</v>
      </c>
      <c r="X242" s="116">
        <f t="shared" ref="X242:X256" si="106">(V242*12)-W242</f>
        <v>288</v>
      </c>
      <c r="Y242" s="38">
        <f t="shared" ref="Y242:Y256" si="107">N242/(V242*12)</f>
        <v>18532.266666666666</v>
      </c>
      <c r="Z242" s="38">
        <f t="shared" ref="Z242:Z256" si="108">IF(U242&gt;0,W242*Y242,0)</f>
        <v>222387.20000000001</v>
      </c>
      <c r="AA242" s="38">
        <f t="shared" ref="AA242:AA256" si="109">ROUND(IF(U242&gt;0,N242,0),0)</f>
        <v>5559680</v>
      </c>
      <c r="AB242" s="38">
        <f t="shared" ref="AB242:AB256" si="110">ROUND(IF(U242&gt;0,Z242,0),0)</f>
        <v>222387</v>
      </c>
      <c r="AC242" s="38">
        <f t="shared" ref="AC242:AC256" si="111">AA242-AB242</f>
        <v>5337293</v>
      </c>
      <c r="AD242" s="67"/>
      <c r="AE242" s="73"/>
      <c r="AG242" s="73"/>
    </row>
    <row r="243" spans="1:33" s="72" customFormat="1">
      <c r="A243" s="72">
        <v>15200000</v>
      </c>
      <c r="B243" s="73" t="s">
        <v>20</v>
      </c>
      <c r="C243" s="68" t="s">
        <v>995</v>
      </c>
      <c r="D243" s="67">
        <v>1</v>
      </c>
      <c r="E243" s="36" t="s">
        <v>364</v>
      </c>
      <c r="F243" s="177"/>
      <c r="G243" s="177"/>
      <c r="H243" s="177"/>
      <c r="J243" s="258">
        <v>43862</v>
      </c>
      <c r="K243" s="65" t="str">
        <f t="shared" si="90"/>
        <v>SI</v>
      </c>
      <c r="L243" s="139">
        <f t="shared" si="91"/>
        <v>20575100</v>
      </c>
      <c r="M243" s="67">
        <v>20575100</v>
      </c>
      <c r="N243" s="67">
        <v>20575100</v>
      </c>
      <c r="O243" s="139">
        <f t="shared" si="102"/>
        <v>20575100</v>
      </c>
      <c r="P243" s="72">
        <v>15921000</v>
      </c>
      <c r="Q243" s="73" t="s">
        <v>27</v>
      </c>
      <c r="R243" s="67">
        <v>0</v>
      </c>
      <c r="S243" s="67">
        <v>0</v>
      </c>
      <c r="T243" s="139">
        <f t="shared" si="103"/>
        <v>0</v>
      </c>
      <c r="U243" s="38">
        <f t="shared" si="104"/>
        <v>20575100</v>
      </c>
      <c r="V243" s="179">
        <v>20</v>
      </c>
      <c r="W243" s="116">
        <f t="shared" si="105"/>
        <v>11</v>
      </c>
      <c r="X243" s="116">
        <f t="shared" si="106"/>
        <v>229</v>
      </c>
      <c r="Y243" s="38">
        <f t="shared" si="107"/>
        <v>85729.583333333328</v>
      </c>
      <c r="Z243" s="38">
        <f t="shared" si="108"/>
        <v>943025.41666666663</v>
      </c>
      <c r="AA243" s="38">
        <f t="shared" si="109"/>
        <v>20575100</v>
      </c>
      <c r="AB243" s="38">
        <f t="shared" si="110"/>
        <v>943025</v>
      </c>
      <c r="AC243" s="38">
        <f t="shared" si="111"/>
        <v>19632075</v>
      </c>
      <c r="AD243" s="67"/>
      <c r="AE243" s="73"/>
      <c r="AG243" s="73"/>
    </row>
    <row r="244" spans="1:33" s="72" customFormat="1">
      <c r="A244" s="72">
        <v>15200000</v>
      </c>
      <c r="B244" s="73" t="s">
        <v>20</v>
      </c>
      <c r="C244" s="68" t="s">
        <v>995</v>
      </c>
      <c r="D244" s="67">
        <v>1</v>
      </c>
      <c r="E244" s="36" t="s">
        <v>364</v>
      </c>
      <c r="F244" s="177"/>
      <c r="G244" s="177"/>
      <c r="H244" s="177"/>
      <c r="J244" s="258">
        <v>43891</v>
      </c>
      <c r="K244" s="65" t="str">
        <f t="shared" si="90"/>
        <v>SI</v>
      </c>
      <c r="L244" s="139">
        <f t="shared" si="91"/>
        <v>18802000</v>
      </c>
      <c r="M244" s="67">
        <v>18802000</v>
      </c>
      <c r="N244" s="67">
        <v>18802000</v>
      </c>
      <c r="O244" s="139">
        <f t="shared" si="102"/>
        <v>18802000</v>
      </c>
      <c r="P244" s="72">
        <v>15921000</v>
      </c>
      <c r="Q244" s="73" t="s">
        <v>27</v>
      </c>
      <c r="R244" s="67">
        <v>0</v>
      </c>
      <c r="S244" s="67">
        <v>0</v>
      </c>
      <c r="T244" s="139">
        <f t="shared" si="103"/>
        <v>0</v>
      </c>
      <c r="U244" s="38">
        <f t="shared" si="104"/>
        <v>18802000</v>
      </c>
      <c r="V244" s="179">
        <v>10</v>
      </c>
      <c r="W244" s="116">
        <f t="shared" si="105"/>
        <v>10</v>
      </c>
      <c r="X244" s="116">
        <f t="shared" si="106"/>
        <v>110</v>
      </c>
      <c r="Y244" s="38">
        <f t="shared" si="107"/>
        <v>156683.33333333334</v>
      </c>
      <c r="Z244" s="38">
        <f t="shared" si="108"/>
        <v>1566833.3333333335</v>
      </c>
      <c r="AA244" s="38">
        <f t="shared" si="109"/>
        <v>18802000</v>
      </c>
      <c r="AB244" s="38">
        <f t="shared" si="110"/>
        <v>1566833</v>
      </c>
      <c r="AC244" s="38">
        <f t="shared" si="111"/>
        <v>17235167</v>
      </c>
      <c r="AD244" s="67"/>
      <c r="AE244" s="73"/>
      <c r="AG244" s="73"/>
    </row>
    <row r="245" spans="1:33" s="72" customFormat="1">
      <c r="A245" s="72">
        <v>15200000</v>
      </c>
      <c r="B245" s="73" t="s">
        <v>20</v>
      </c>
      <c r="C245" s="68" t="s">
        <v>995</v>
      </c>
      <c r="D245" s="67">
        <v>1</v>
      </c>
      <c r="E245" s="36" t="s">
        <v>364</v>
      </c>
      <c r="F245" s="177"/>
      <c r="G245" s="177"/>
      <c r="H245" s="177"/>
      <c r="J245" s="258">
        <v>43891</v>
      </c>
      <c r="K245" s="65" t="str">
        <f t="shared" si="90"/>
        <v>SI</v>
      </c>
      <c r="L245" s="139">
        <f t="shared" si="91"/>
        <v>38011304</v>
      </c>
      <c r="M245" s="67">
        <v>38011304</v>
      </c>
      <c r="N245" s="67">
        <v>38011304</v>
      </c>
      <c r="O245" s="139">
        <f t="shared" si="102"/>
        <v>38011304</v>
      </c>
      <c r="P245" s="72">
        <v>15921000</v>
      </c>
      <c r="Q245" s="73" t="s">
        <v>27</v>
      </c>
      <c r="R245" s="67">
        <v>0</v>
      </c>
      <c r="S245" s="67">
        <v>0</v>
      </c>
      <c r="T245" s="139">
        <f t="shared" si="103"/>
        <v>0</v>
      </c>
      <c r="U245" s="38">
        <f t="shared" si="104"/>
        <v>38011304</v>
      </c>
      <c r="V245" s="179">
        <v>25</v>
      </c>
      <c r="W245" s="116">
        <f t="shared" si="105"/>
        <v>10</v>
      </c>
      <c r="X245" s="116">
        <f t="shared" si="106"/>
        <v>290</v>
      </c>
      <c r="Y245" s="38">
        <f t="shared" si="107"/>
        <v>126704.34666666666</v>
      </c>
      <c r="Z245" s="38">
        <f t="shared" si="108"/>
        <v>1267043.4666666666</v>
      </c>
      <c r="AA245" s="38">
        <f t="shared" si="109"/>
        <v>38011304</v>
      </c>
      <c r="AB245" s="38">
        <f t="shared" si="110"/>
        <v>1267043</v>
      </c>
      <c r="AC245" s="38">
        <f t="shared" si="111"/>
        <v>36744261</v>
      </c>
      <c r="AD245" s="67"/>
      <c r="AE245" s="73"/>
      <c r="AG245" s="73"/>
    </row>
    <row r="246" spans="1:33" s="72" customFormat="1">
      <c r="A246" s="72">
        <v>15200000</v>
      </c>
      <c r="B246" s="73" t="s">
        <v>20</v>
      </c>
      <c r="C246" s="68" t="s">
        <v>995</v>
      </c>
      <c r="D246" s="67">
        <v>1</v>
      </c>
      <c r="E246" s="36" t="s">
        <v>364</v>
      </c>
      <c r="F246" s="177"/>
      <c r="G246" s="177"/>
      <c r="H246" s="177"/>
      <c r="J246" s="258">
        <v>43952</v>
      </c>
      <c r="K246" s="65" t="str">
        <f t="shared" si="90"/>
        <v>SI</v>
      </c>
      <c r="L246" s="139">
        <f t="shared" si="91"/>
        <v>8459363</v>
      </c>
      <c r="M246" s="67">
        <v>8459363</v>
      </c>
      <c r="N246" s="67">
        <v>8459363</v>
      </c>
      <c r="O246" s="139">
        <f t="shared" si="102"/>
        <v>8459363</v>
      </c>
      <c r="P246" s="72">
        <v>15921000</v>
      </c>
      <c r="Q246" s="73" t="s">
        <v>27</v>
      </c>
      <c r="R246" s="67">
        <v>0</v>
      </c>
      <c r="S246" s="67">
        <v>0</v>
      </c>
      <c r="T246" s="139">
        <f t="shared" si="103"/>
        <v>0</v>
      </c>
      <c r="U246" s="38">
        <f t="shared" si="104"/>
        <v>8459363</v>
      </c>
      <c r="V246" s="179">
        <v>10</v>
      </c>
      <c r="W246" s="116">
        <f t="shared" si="105"/>
        <v>8</v>
      </c>
      <c r="X246" s="116">
        <f t="shared" si="106"/>
        <v>112</v>
      </c>
      <c r="Y246" s="38">
        <f t="shared" si="107"/>
        <v>70494.691666666666</v>
      </c>
      <c r="Z246" s="38">
        <f t="shared" si="108"/>
        <v>563957.53333333333</v>
      </c>
      <c r="AA246" s="38">
        <f t="shared" si="109"/>
        <v>8459363</v>
      </c>
      <c r="AB246" s="38">
        <f t="shared" si="110"/>
        <v>563958</v>
      </c>
      <c r="AC246" s="38">
        <f t="shared" si="111"/>
        <v>7895405</v>
      </c>
      <c r="AD246" s="67"/>
      <c r="AE246" s="73"/>
      <c r="AG246" s="73"/>
    </row>
    <row r="247" spans="1:33" s="72" customFormat="1">
      <c r="A247" s="72">
        <v>15200000</v>
      </c>
      <c r="B247" s="73" t="s">
        <v>20</v>
      </c>
      <c r="C247" s="68" t="s">
        <v>995</v>
      </c>
      <c r="D247" s="67">
        <v>1</v>
      </c>
      <c r="E247" s="36" t="s">
        <v>364</v>
      </c>
      <c r="F247" s="177"/>
      <c r="G247" s="177"/>
      <c r="H247" s="177"/>
      <c r="J247" s="258">
        <v>43952</v>
      </c>
      <c r="K247" s="65" t="str">
        <f t="shared" si="90"/>
        <v>SI</v>
      </c>
      <c r="L247" s="139">
        <f t="shared" si="91"/>
        <v>49459732</v>
      </c>
      <c r="M247" s="67">
        <v>49459732</v>
      </c>
      <c r="N247" s="67">
        <v>49459732</v>
      </c>
      <c r="O247" s="139">
        <f t="shared" si="102"/>
        <v>49459732</v>
      </c>
      <c r="P247" s="72">
        <v>15921000</v>
      </c>
      <c r="Q247" s="73" t="s">
        <v>27</v>
      </c>
      <c r="R247" s="67">
        <v>0</v>
      </c>
      <c r="S247" s="67">
        <v>0</v>
      </c>
      <c r="T247" s="139">
        <f t="shared" si="103"/>
        <v>0</v>
      </c>
      <c r="U247" s="38">
        <f t="shared" si="104"/>
        <v>49459732</v>
      </c>
      <c r="V247" s="179">
        <v>25</v>
      </c>
      <c r="W247" s="116">
        <f t="shared" si="105"/>
        <v>8</v>
      </c>
      <c r="X247" s="116">
        <f t="shared" si="106"/>
        <v>292</v>
      </c>
      <c r="Y247" s="38">
        <f t="shared" si="107"/>
        <v>164865.77333333335</v>
      </c>
      <c r="Z247" s="38">
        <f t="shared" si="108"/>
        <v>1318926.1866666668</v>
      </c>
      <c r="AA247" s="38">
        <f t="shared" si="109"/>
        <v>49459732</v>
      </c>
      <c r="AB247" s="38">
        <f t="shared" si="110"/>
        <v>1318926</v>
      </c>
      <c r="AC247" s="38">
        <f t="shared" si="111"/>
        <v>48140806</v>
      </c>
      <c r="AD247" s="67"/>
      <c r="AE247" s="73"/>
      <c r="AG247" s="73"/>
    </row>
    <row r="248" spans="1:33" s="72" customFormat="1">
      <c r="A248" s="72">
        <v>15200000</v>
      </c>
      <c r="B248" s="73" t="s">
        <v>20</v>
      </c>
      <c r="C248" s="68" t="s">
        <v>995</v>
      </c>
      <c r="D248" s="67">
        <v>1</v>
      </c>
      <c r="E248" s="36" t="s">
        <v>364</v>
      </c>
      <c r="F248" s="177"/>
      <c r="G248" s="177"/>
      <c r="H248" s="177"/>
      <c r="J248" s="258">
        <v>43952</v>
      </c>
      <c r="K248" s="65" t="str">
        <f t="shared" si="90"/>
        <v>SI</v>
      </c>
      <c r="L248" s="139">
        <f t="shared" si="91"/>
        <v>6536000</v>
      </c>
      <c r="M248" s="67">
        <v>6536000</v>
      </c>
      <c r="N248" s="67">
        <v>6536000</v>
      </c>
      <c r="O248" s="139">
        <f t="shared" si="102"/>
        <v>6536000</v>
      </c>
      <c r="P248" s="72">
        <v>15921000</v>
      </c>
      <c r="Q248" s="73" t="s">
        <v>27</v>
      </c>
      <c r="R248" s="67">
        <v>0</v>
      </c>
      <c r="S248" s="67">
        <v>0</v>
      </c>
      <c r="T248" s="139">
        <f t="shared" si="103"/>
        <v>0</v>
      </c>
      <c r="U248" s="38">
        <f t="shared" si="104"/>
        <v>6536000</v>
      </c>
      <c r="V248" s="179">
        <v>25</v>
      </c>
      <c r="W248" s="116">
        <f t="shared" si="105"/>
        <v>8</v>
      </c>
      <c r="X248" s="116">
        <f t="shared" si="106"/>
        <v>292</v>
      </c>
      <c r="Y248" s="38">
        <f t="shared" si="107"/>
        <v>21786.666666666668</v>
      </c>
      <c r="Z248" s="38">
        <f t="shared" si="108"/>
        <v>174293.33333333334</v>
      </c>
      <c r="AA248" s="38">
        <f t="shared" si="109"/>
        <v>6536000</v>
      </c>
      <c r="AB248" s="38">
        <f t="shared" si="110"/>
        <v>174293</v>
      </c>
      <c r="AC248" s="38">
        <f t="shared" si="111"/>
        <v>6361707</v>
      </c>
      <c r="AD248" s="67"/>
      <c r="AE248" s="73"/>
      <c r="AG248" s="73"/>
    </row>
    <row r="249" spans="1:33" s="72" customFormat="1">
      <c r="A249" s="72">
        <v>15200000</v>
      </c>
      <c r="B249" s="73" t="s">
        <v>20</v>
      </c>
      <c r="C249" s="68" t="s">
        <v>995</v>
      </c>
      <c r="D249" s="67">
        <v>1</v>
      </c>
      <c r="E249" s="36" t="s">
        <v>364</v>
      </c>
      <c r="F249" s="177"/>
      <c r="G249" s="177"/>
      <c r="H249" s="177"/>
      <c r="J249" s="258">
        <v>44136</v>
      </c>
      <c r="K249" s="65" t="str">
        <f t="shared" si="90"/>
        <v>SI</v>
      </c>
      <c r="L249" s="139">
        <f t="shared" si="91"/>
        <v>16105483</v>
      </c>
      <c r="M249" s="67">
        <v>16105483</v>
      </c>
      <c r="N249" s="67">
        <v>16105483</v>
      </c>
      <c r="O249" s="139">
        <f t="shared" si="102"/>
        <v>16105483</v>
      </c>
      <c r="P249" s="72">
        <v>15921000</v>
      </c>
      <c r="Q249" s="73" t="s">
        <v>27</v>
      </c>
      <c r="R249" s="67">
        <v>0</v>
      </c>
      <c r="S249" s="67">
        <v>0</v>
      </c>
      <c r="T249" s="139">
        <f t="shared" si="103"/>
        <v>0</v>
      </c>
      <c r="U249" s="38">
        <f t="shared" si="104"/>
        <v>16105483</v>
      </c>
      <c r="V249" s="179">
        <v>10</v>
      </c>
      <c r="W249" s="116">
        <f t="shared" si="105"/>
        <v>2</v>
      </c>
      <c r="X249" s="116">
        <f t="shared" si="106"/>
        <v>118</v>
      </c>
      <c r="Y249" s="38">
        <f t="shared" si="107"/>
        <v>134212.35833333334</v>
      </c>
      <c r="Z249" s="38">
        <f t="shared" si="108"/>
        <v>268424.71666666667</v>
      </c>
      <c r="AA249" s="38">
        <f t="shared" si="109"/>
        <v>16105483</v>
      </c>
      <c r="AB249" s="38">
        <f t="shared" si="110"/>
        <v>268425</v>
      </c>
      <c r="AC249" s="38">
        <f t="shared" si="111"/>
        <v>15837058</v>
      </c>
      <c r="AD249" s="67"/>
      <c r="AE249" s="73"/>
      <c r="AG249" s="73"/>
    </row>
    <row r="250" spans="1:33" s="72" customFormat="1">
      <c r="A250" s="72">
        <v>15200000</v>
      </c>
      <c r="B250" s="73" t="s">
        <v>20</v>
      </c>
      <c r="C250" s="68" t="s">
        <v>995</v>
      </c>
      <c r="D250" s="67">
        <v>1</v>
      </c>
      <c r="E250" s="36" t="s">
        <v>364</v>
      </c>
      <c r="F250" s="177"/>
      <c r="G250" s="177"/>
      <c r="H250" s="177"/>
      <c r="J250" s="258">
        <v>44197</v>
      </c>
      <c r="K250" s="65" t="str">
        <f t="shared" si="90"/>
        <v>SI</v>
      </c>
      <c r="L250" s="139">
        <f t="shared" si="91"/>
        <v>87570704.730000004</v>
      </c>
      <c r="M250" s="67">
        <v>87570704.730000004</v>
      </c>
      <c r="N250" s="67">
        <v>87570704.730000004</v>
      </c>
      <c r="O250" s="139">
        <f t="shared" si="102"/>
        <v>87570704.730000004</v>
      </c>
      <c r="P250" s="72">
        <v>15921000</v>
      </c>
      <c r="Q250" s="73" t="s">
        <v>27</v>
      </c>
      <c r="R250" s="67">
        <v>0</v>
      </c>
      <c r="S250" s="67">
        <v>0</v>
      </c>
      <c r="T250" s="139">
        <f t="shared" si="103"/>
        <v>0</v>
      </c>
      <c r="U250" s="38">
        <f t="shared" si="104"/>
        <v>87570704.730000004</v>
      </c>
      <c r="V250" s="179">
        <v>25</v>
      </c>
      <c r="W250" s="116">
        <f t="shared" si="105"/>
        <v>0</v>
      </c>
      <c r="X250" s="116">
        <f t="shared" si="106"/>
        <v>300</v>
      </c>
      <c r="Y250" s="38">
        <f t="shared" si="107"/>
        <v>291902.34909999999</v>
      </c>
      <c r="Z250" s="38">
        <f t="shared" si="108"/>
        <v>0</v>
      </c>
      <c r="AA250" s="38">
        <f t="shared" si="109"/>
        <v>87570705</v>
      </c>
      <c r="AB250" s="38">
        <f t="shared" si="110"/>
        <v>0</v>
      </c>
      <c r="AC250" s="38">
        <f t="shared" si="111"/>
        <v>87570705</v>
      </c>
      <c r="AD250" s="67"/>
      <c r="AE250" s="73"/>
      <c r="AG250" s="73"/>
    </row>
    <row r="251" spans="1:33" s="72" customFormat="1">
      <c r="A251" s="72">
        <v>15200000</v>
      </c>
      <c r="B251" s="73" t="s">
        <v>20</v>
      </c>
      <c r="C251" s="68" t="s">
        <v>995</v>
      </c>
      <c r="D251" s="67">
        <v>1</v>
      </c>
      <c r="E251" s="36" t="s">
        <v>364</v>
      </c>
      <c r="F251" s="177"/>
      <c r="G251" s="177"/>
      <c r="H251" s="177"/>
      <c r="J251" s="258">
        <v>44197</v>
      </c>
      <c r="K251" s="65" t="str">
        <f t="shared" si="90"/>
        <v>SI</v>
      </c>
      <c r="L251" s="139">
        <f t="shared" si="91"/>
        <v>166867688</v>
      </c>
      <c r="M251" s="67">
        <v>166867688</v>
      </c>
      <c r="N251" s="67">
        <v>166867688</v>
      </c>
      <c r="O251" s="139">
        <f t="shared" si="102"/>
        <v>166867688</v>
      </c>
      <c r="P251" s="72">
        <v>15921000</v>
      </c>
      <c r="Q251" s="73" t="s">
        <v>27</v>
      </c>
      <c r="R251" s="67">
        <v>0</v>
      </c>
      <c r="S251" s="67">
        <v>0</v>
      </c>
      <c r="T251" s="139">
        <f t="shared" si="103"/>
        <v>0</v>
      </c>
      <c r="U251" s="38">
        <f t="shared" si="104"/>
        <v>166867688</v>
      </c>
      <c r="V251" s="179">
        <v>25</v>
      </c>
      <c r="W251" s="116">
        <f t="shared" si="105"/>
        <v>0</v>
      </c>
      <c r="X251" s="116">
        <f t="shared" si="106"/>
        <v>300</v>
      </c>
      <c r="Y251" s="38">
        <f t="shared" si="107"/>
        <v>556225.62666666671</v>
      </c>
      <c r="Z251" s="38">
        <f t="shared" si="108"/>
        <v>0</v>
      </c>
      <c r="AA251" s="38">
        <f t="shared" si="109"/>
        <v>166867688</v>
      </c>
      <c r="AB251" s="38">
        <f t="shared" si="110"/>
        <v>0</v>
      </c>
      <c r="AC251" s="38">
        <f t="shared" si="111"/>
        <v>166867688</v>
      </c>
      <c r="AD251" s="67"/>
      <c r="AE251" s="73"/>
      <c r="AG251" s="73"/>
    </row>
    <row r="252" spans="1:33" s="72" customFormat="1">
      <c r="A252" s="72">
        <v>15200000</v>
      </c>
      <c r="B252" s="73" t="s">
        <v>20</v>
      </c>
      <c r="C252" s="68" t="s">
        <v>995</v>
      </c>
      <c r="D252" s="67">
        <v>1</v>
      </c>
      <c r="E252" s="36" t="s">
        <v>364</v>
      </c>
      <c r="F252" s="177"/>
      <c r="G252" s="177"/>
      <c r="H252" s="177"/>
      <c r="J252" s="258">
        <v>44197</v>
      </c>
      <c r="K252" s="65" t="str">
        <f t="shared" si="90"/>
        <v>SI</v>
      </c>
      <c r="L252" s="139">
        <f t="shared" si="91"/>
        <v>17661980</v>
      </c>
      <c r="M252" s="67">
        <v>17661980</v>
      </c>
      <c r="N252" s="67">
        <v>17661980</v>
      </c>
      <c r="O252" s="139">
        <f t="shared" si="102"/>
        <v>17661980</v>
      </c>
      <c r="P252" s="72">
        <v>15921000</v>
      </c>
      <c r="Q252" s="73" t="s">
        <v>27</v>
      </c>
      <c r="R252" s="67">
        <v>0</v>
      </c>
      <c r="S252" s="67">
        <v>0</v>
      </c>
      <c r="T252" s="139">
        <f t="shared" si="103"/>
        <v>0</v>
      </c>
      <c r="U252" s="38">
        <f t="shared" si="104"/>
        <v>17661980</v>
      </c>
      <c r="V252" s="179">
        <v>10</v>
      </c>
      <c r="W252" s="116">
        <f t="shared" si="105"/>
        <v>0</v>
      </c>
      <c r="X252" s="116">
        <f t="shared" si="106"/>
        <v>120</v>
      </c>
      <c r="Y252" s="38">
        <f t="shared" si="107"/>
        <v>147183.16666666666</v>
      </c>
      <c r="Z252" s="38">
        <f t="shared" si="108"/>
        <v>0</v>
      </c>
      <c r="AA252" s="38">
        <f t="shared" si="109"/>
        <v>17661980</v>
      </c>
      <c r="AB252" s="38">
        <f t="shared" si="110"/>
        <v>0</v>
      </c>
      <c r="AC252" s="38">
        <f t="shared" si="111"/>
        <v>17661980</v>
      </c>
      <c r="AD252" s="67"/>
      <c r="AE252" s="73"/>
      <c r="AG252" s="73"/>
    </row>
    <row r="253" spans="1:33" s="72" customFormat="1">
      <c r="A253" s="72">
        <v>15200000</v>
      </c>
      <c r="B253" s="73" t="s">
        <v>20</v>
      </c>
      <c r="C253" s="68" t="s">
        <v>995</v>
      </c>
      <c r="D253" s="67">
        <v>1</v>
      </c>
      <c r="E253" s="36" t="s">
        <v>364</v>
      </c>
      <c r="F253" s="177"/>
      <c r="G253" s="177"/>
      <c r="H253" s="177"/>
      <c r="J253" s="258">
        <v>44197</v>
      </c>
      <c r="K253" s="65" t="str">
        <f t="shared" si="90"/>
        <v>SI</v>
      </c>
      <c r="L253" s="139">
        <f t="shared" si="91"/>
        <v>44738050</v>
      </c>
      <c r="M253" s="67">
        <v>44738050</v>
      </c>
      <c r="N253" s="67">
        <v>44738050</v>
      </c>
      <c r="O253" s="139">
        <f t="shared" si="102"/>
        <v>44738050</v>
      </c>
      <c r="P253" s="72">
        <v>15921000</v>
      </c>
      <c r="Q253" s="73" t="s">
        <v>27</v>
      </c>
      <c r="R253" s="67">
        <v>0</v>
      </c>
      <c r="S253" s="67">
        <v>0</v>
      </c>
      <c r="T253" s="139">
        <f t="shared" si="103"/>
        <v>0</v>
      </c>
      <c r="U253" s="38">
        <f t="shared" si="104"/>
        <v>44738050</v>
      </c>
      <c r="V253" s="179">
        <v>10</v>
      </c>
      <c r="W253" s="116">
        <f t="shared" si="105"/>
        <v>0</v>
      </c>
      <c r="X253" s="116">
        <f t="shared" si="106"/>
        <v>120</v>
      </c>
      <c r="Y253" s="38">
        <f t="shared" si="107"/>
        <v>372817.08333333331</v>
      </c>
      <c r="Z253" s="38">
        <f t="shared" si="108"/>
        <v>0</v>
      </c>
      <c r="AA253" s="38">
        <f t="shared" si="109"/>
        <v>44738050</v>
      </c>
      <c r="AB253" s="38">
        <f t="shared" si="110"/>
        <v>0</v>
      </c>
      <c r="AC253" s="38">
        <f t="shared" si="111"/>
        <v>44738050</v>
      </c>
      <c r="AD253" s="67"/>
      <c r="AE253" s="73"/>
      <c r="AG253" s="73"/>
    </row>
    <row r="254" spans="1:33" s="72" customFormat="1">
      <c r="A254" s="72">
        <v>15200000</v>
      </c>
      <c r="B254" s="73" t="s">
        <v>20</v>
      </c>
      <c r="C254" s="68" t="s">
        <v>995</v>
      </c>
      <c r="D254" s="67">
        <v>1</v>
      </c>
      <c r="E254" s="36" t="s">
        <v>364</v>
      </c>
      <c r="F254" s="177"/>
      <c r="G254" s="177"/>
      <c r="H254" s="177"/>
      <c r="J254" s="258">
        <v>44197</v>
      </c>
      <c r="K254" s="65" t="str">
        <f t="shared" si="90"/>
        <v>SI</v>
      </c>
      <c r="L254" s="139">
        <f t="shared" si="91"/>
        <v>41196610</v>
      </c>
      <c r="M254" s="67">
        <v>41196610</v>
      </c>
      <c r="N254" s="67">
        <v>41196610</v>
      </c>
      <c r="O254" s="139">
        <f t="shared" si="102"/>
        <v>41196610</v>
      </c>
      <c r="P254" s="72">
        <v>15921000</v>
      </c>
      <c r="Q254" s="73" t="s">
        <v>27</v>
      </c>
      <c r="R254" s="67">
        <v>0</v>
      </c>
      <c r="S254" s="67">
        <v>0</v>
      </c>
      <c r="T254" s="139">
        <f t="shared" si="103"/>
        <v>0</v>
      </c>
      <c r="U254" s="38">
        <f t="shared" si="104"/>
        <v>41196610</v>
      </c>
      <c r="V254" s="179">
        <v>10</v>
      </c>
      <c r="W254" s="116">
        <f t="shared" si="105"/>
        <v>0</v>
      </c>
      <c r="X254" s="116">
        <f t="shared" si="106"/>
        <v>120</v>
      </c>
      <c r="Y254" s="38">
        <f t="shared" si="107"/>
        <v>343305.08333333331</v>
      </c>
      <c r="Z254" s="38">
        <f t="shared" si="108"/>
        <v>0</v>
      </c>
      <c r="AA254" s="38">
        <f t="shared" si="109"/>
        <v>41196610</v>
      </c>
      <c r="AB254" s="38">
        <f t="shared" si="110"/>
        <v>0</v>
      </c>
      <c r="AC254" s="38">
        <f t="shared" si="111"/>
        <v>41196610</v>
      </c>
      <c r="AD254" s="67"/>
      <c r="AE254" s="73"/>
      <c r="AG254" s="73"/>
    </row>
    <row r="255" spans="1:33" s="72" customFormat="1">
      <c r="A255" s="72">
        <v>15200000</v>
      </c>
      <c r="B255" s="73" t="s">
        <v>20</v>
      </c>
      <c r="C255" s="68" t="s">
        <v>995</v>
      </c>
      <c r="D255" s="67">
        <v>1</v>
      </c>
      <c r="E255" s="36" t="s">
        <v>364</v>
      </c>
      <c r="F255" s="177"/>
      <c r="G255" s="177"/>
      <c r="H255" s="177"/>
      <c r="J255" s="258">
        <v>44197</v>
      </c>
      <c r="K255" s="65" t="str">
        <f t="shared" si="90"/>
        <v>SI</v>
      </c>
      <c r="L255" s="139">
        <f t="shared" si="91"/>
        <v>38617880</v>
      </c>
      <c r="M255" s="67">
        <v>38617880</v>
      </c>
      <c r="N255" s="67">
        <v>38617880</v>
      </c>
      <c r="O255" s="139">
        <f t="shared" si="102"/>
        <v>38617880</v>
      </c>
      <c r="P255" s="72">
        <v>15921000</v>
      </c>
      <c r="Q255" s="73" t="s">
        <v>27</v>
      </c>
      <c r="R255" s="67">
        <v>0</v>
      </c>
      <c r="S255" s="67">
        <v>0</v>
      </c>
      <c r="T255" s="139">
        <f t="shared" si="103"/>
        <v>0</v>
      </c>
      <c r="U255" s="38">
        <f t="shared" si="104"/>
        <v>38617880</v>
      </c>
      <c r="V255" s="179">
        <v>10</v>
      </c>
      <c r="W255" s="116">
        <f t="shared" si="105"/>
        <v>0</v>
      </c>
      <c r="X255" s="116">
        <f t="shared" si="106"/>
        <v>120</v>
      </c>
      <c r="Y255" s="38">
        <f t="shared" si="107"/>
        <v>321815.66666666669</v>
      </c>
      <c r="Z255" s="38">
        <f t="shared" si="108"/>
        <v>0</v>
      </c>
      <c r="AA255" s="38">
        <f t="shared" si="109"/>
        <v>38617880</v>
      </c>
      <c r="AB255" s="38">
        <f t="shared" si="110"/>
        <v>0</v>
      </c>
      <c r="AC255" s="38">
        <f t="shared" si="111"/>
        <v>38617880</v>
      </c>
      <c r="AD255" s="67"/>
      <c r="AE255" s="73"/>
      <c r="AG255" s="73"/>
    </row>
    <row r="256" spans="1:33" s="72" customFormat="1">
      <c r="A256" s="72">
        <v>15200000</v>
      </c>
      <c r="B256" s="73" t="s">
        <v>20</v>
      </c>
      <c r="C256" s="68" t="s">
        <v>995</v>
      </c>
      <c r="D256" s="67">
        <v>1</v>
      </c>
      <c r="E256" s="36" t="s">
        <v>364</v>
      </c>
      <c r="F256" s="177"/>
      <c r="G256" s="177"/>
      <c r="H256" s="177"/>
      <c r="J256" s="258">
        <v>44197</v>
      </c>
      <c r="K256" s="65" t="str">
        <f t="shared" si="90"/>
        <v>SI</v>
      </c>
      <c r="L256" s="139">
        <f t="shared" si="91"/>
        <v>60339659.079999998</v>
      </c>
      <c r="M256" s="67">
        <v>60339659.079999998</v>
      </c>
      <c r="N256" s="67">
        <v>60339659.079999998</v>
      </c>
      <c r="O256" s="139">
        <f t="shared" si="102"/>
        <v>60339659.079999998</v>
      </c>
      <c r="P256" s="72">
        <v>15921000</v>
      </c>
      <c r="Q256" s="73" t="s">
        <v>27</v>
      </c>
      <c r="R256" s="67">
        <v>0</v>
      </c>
      <c r="S256" s="67">
        <v>0</v>
      </c>
      <c r="T256" s="139">
        <f t="shared" si="103"/>
        <v>0</v>
      </c>
      <c r="U256" s="38">
        <f t="shared" si="104"/>
        <v>60339659.079999998</v>
      </c>
      <c r="V256" s="179">
        <v>10</v>
      </c>
      <c r="W256" s="116">
        <f t="shared" si="105"/>
        <v>0</v>
      </c>
      <c r="X256" s="116">
        <f t="shared" si="106"/>
        <v>120</v>
      </c>
      <c r="Y256" s="38">
        <f t="shared" si="107"/>
        <v>502830.4923333333</v>
      </c>
      <c r="Z256" s="38">
        <f t="shared" si="108"/>
        <v>0</v>
      </c>
      <c r="AA256" s="38">
        <f t="shared" si="109"/>
        <v>60339659</v>
      </c>
      <c r="AB256" s="38">
        <f t="shared" si="110"/>
        <v>0</v>
      </c>
      <c r="AC256" s="38">
        <f t="shared" si="111"/>
        <v>60339659</v>
      </c>
      <c r="AD256" s="67"/>
      <c r="AE256" s="73"/>
      <c r="AG256" s="73"/>
    </row>
    <row r="257" spans="1:36" s="72" customFormat="1">
      <c r="AG257" s="73"/>
    </row>
    <row r="258" spans="1:36" s="73" customFormat="1">
      <c r="A258" s="72">
        <v>15240000</v>
      </c>
      <c r="B258" s="73" t="s">
        <v>21</v>
      </c>
      <c r="C258" s="74" t="s">
        <v>996</v>
      </c>
      <c r="D258" s="73">
        <v>1</v>
      </c>
      <c r="E258" s="36" t="s">
        <v>21</v>
      </c>
      <c r="F258" s="144"/>
      <c r="G258" s="144"/>
      <c r="H258" s="144"/>
      <c r="I258" s="144"/>
      <c r="J258" s="77">
        <v>42522</v>
      </c>
      <c r="K258" s="52" t="str">
        <f>IF(L258&gt;($M$23*50),"SI","NO")</f>
        <v>SI</v>
      </c>
      <c r="L258" s="113">
        <f t="shared" ref="L258:L261" si="112">M258/D258</f>
        <v>12326508</v>
      </c>
      <c r="M258" s="133">
        <v>12326508</v>
      </c>
      <c r="N258" s="145">
        <v>12326508</v>
      </c>
      <c r="O258" s="113">
        <f t="shared" ref="O258:O261" si="113">IF(K258="SI",N258,0)</f>
        <v>12326508</v>
      </c>
      <c r="P258" s="72">
        <v>15921500</v>
      </c>
      <c r="Q258" s="73" t="s">
        <v>28</v>
      </c>
      <c r="R258" s="73">
        <v>3184348</v>
      </c>
      <c r="S258" s="73">
        <v>3184348</v>
      </c>
      <c r="T258" s="113">
        <f t="shared" ref="T258:T261" si="114">IF(O258&gt;0,S258,0)</f>
        <v>3184348</v>
      </c>
      <c r="U258" s="38">
        <f t="shared" ref="U258:U261" si="115">IF(O258&gt;0,N258-S258,0)</f>
        <v>9142160</v>
      </c>
      <c r="V258" s="148">
        <v>10</v>
      </c>
      <c r="W258" s="116">
        <f>IF(ROUND(($W$27-J258)/30,0)&gt;(V258*12),(V258*12),(ROUND(($W$27-J258)/30,0)))-1</f>
        <v>55</v>
      </c>
      <c r="X258" s="116">
        <f t="shared" ref="X258:X261" si="116">(V258*12)-W258</f>
        <v>65</v>
      </c>
      <c r="Y258" s="38">
        <f t="shared" ref="Y258:Y261" si="117">N258/(V258*12)</f>
        <v>102720.9</v>
      </c>
      <c r="Z258" s="38">
        <f t="shared" ref="Z258:Z261" si="118">IF(U258&gt;0,W258*Y258,0)</f>
        <v>5649649.5</v>
      </c>
      <c r="AA258" s="38">
        <f t="shared" ref="AA258:AA261" si="119">ROUND(IF(U258&gt;0,N258,0),0)</f>
        <v>12326508</v>
      </c>
      <c r="AB258" s="38">
        <f t="shared" ref="AB258:AB261" si="120">ROUND(IF(U258&gt;0,Z258,0),0)</f>
        <v>5649650</v>
      </c>
      <c r="AC258" s="38">
        <f t="shared" ref="AC258:AC261" si="121">AA258-AB258</f>
        <v>6676858</v>
      </c>
    </row>
    <row r="259" spans="1:36" s="73" customFormat="1">
      <c r="A259" s="72">
        <v>15240000</v>
      </c>
      <c r="B259" s="73" t="s">
        <v>21</v>
      </c>
      <c r="C259" s="74" t="s">
        <v>996</v>
      </c>
      <c r="D259" s="73">
        <v>1</v>
      </c>
      <c r="E259" s="36" t="s">
        <v>21</v>
      </c>
      <c r="F259" s="144"/>
      <c r="G259" s="144"/>
      <c r="H259" s="144"/>
      <c r="I259" s="144"/>
      <c r="J259" s="77">
        <v>42767</v>
      </c>
      <c r="K259" s="52" t="str">
        <f>IF(L259&gt;($M$24*50),"SI","NO")</f>
        <v>SI</v>
      </c>
      <c r="L259" s="113">
        <f t="shared" si="112"/>
        <v>4803217</v>
      </c>
      <c r="M259" s="73">
        <v>4803217</v>
      </c>
      <c r="N259" s="145">
        <v>4803217</v>
      </c>
      <c r="O259" s="113">
        <f t="shared" si="113"/>
        <v>4803217</v>
      </c>
      <c r="P259" s="72">
        <v>15921500</v>
      </c>
      <c r="Q259" s="73" t="s">
        <v>28</v>
      </c>
      <c r="R259" s="73">
        <v>920617</v>
      </c>
      <c r="S259" s="73">
        <v>920617</v>
      </c>
      <c r="T259" s="113">
        <f t="shared" si="114"/>
        <v>920617</v>
      </c>
      <c r="U259" s="38">
        <f t="shared" si="115"/>
        <v>3882600</v>
      </c>
      <c r="V259" s="148">
        <v>10</v>
      </c>
      <c r="W259" s="116">
        <f>IF(ROUND(($W$27-J259)/30,0)&gt;(V259*12),(V259*12),(ROUND(($W$27-J259)/30,0)))-1</f>
        <v>47</v>
      </c>
      <c r="X259" s="116">
        <f t="shared" si="116"/>
        <v>73</v>
      </c>
      <c r="Y259" s="38">
        <f t="shared" si="117"/>
        <v>40026.808333333334</v>
      </c>
      <c r="Z259" s="38">
        <f t="shared" si="118"/>
        <v>1881259.9916666667</v>
      </c>
      <c r="AA259" s="38">
        <f t="shared" si="119"/>
        <v>4803217</v>
      </c>
      <c r="AB259" s="38">
        <f t="shared" si="120"/>
        <v>1881260</v>
      </c>
      <c r="AC259" s="38">
        <f t="shared" si="121"/>
        <v>2921957</v>
      </c>
    </row>
    <row r="260" spans="1:36" s="73" customFormat="1">
      <c r="A260" s="72">
        <v>15240000</v>
      </c>
      <c r="B260" s="73" t="s">
        <v>21</v>
      </c>
      <c r="C260" s="74" t="s">
        <v>996</v>
      </c>
      <c r="D260" s="73">
        <v>1</v>
      </c>
      <c r="E260" s="36" t="s">
        <v>21</v>
      </c>
      <c r="F260" s="144"/>
      <c r="G260" s="144"/>
      <c r="H260" s="144"/>
      <c r="I260" s="144"/>
      <c r="J260" s="77">
        <v>43069</v>
      </c>
      <c r="K260" s="52" t="str">
        <f>IF(L260&gt;($M$24*50),"SI","NO")</f>
        <v>SI</v>
      </c>
      <c r="L260" s="113">
        <f t="shared" si="112"/>
        <v>23192568</v>
      </c>
      <c r="M260" s="73">
        <v>23192568</v>
      </c>
      <c r="N260" s="145">
        <v>23192568</v>
      </c>
      <c r="O260" s="113">
        <f t="shared" si="113"/>
        <v>23192568</v>
      </c>
      <c r="P260" s="72">
        <v>15921500</v>
      </c>
      <c r="Q260" s="73" t="s">
        <v>28</v>
      </c>
      <c r="R260" s="73">
        <v>2512528</v>
      </c>
      <c r="S260" s="73">
        <v>2512528</v>
      </c>
      <c r="T260" s="113">
        <f t="shared" si="114"/>
        <v>2512528</v>
      </c>
      <c r="U260" s="38">
        <f t="shared" si="115"/>
        <v>20680040</v>
      </c>
      <c r="V260" s="148">
        <v>10</v>
      </c>
      <c r="W260" s="116">
        <f>IF(ROUND(($W$27-J260)/30,0)&gt;(V260*12),(V260*12),(ROUND(($W$27-J260)/30,0)))-1</f>
        <v>37</v>
      </c>
      <c r="X260" s="116">
        <f t="shared" si="116"/>
        <v>83</v>
      </c>
      <c r="Y260" s="38">
        <f t="shared" si="117"/>
        <v>193271.4</v>
      </c>
      <c r="Z260" s="38">
        <f t="shared" si="118"/>
        <v>7151041.7999999998</v>
      </c>
      <c r="AA260" s="38">
        <f t="shared" si="119"/>
        <v>23192568</v>
      </c>
      <c r="AB260" s="38">
        <f t="shared" si="120"/>
        <v>7151042</v>
      </c>
      <c r="AC260" s="38">
        <f t="shared" si="121"/>
        <v>16041526</v>
      </c>
    </row>
    <row r="261" spans="1:36" s="72" customFormat="1">
      <c r="A261" s="72">
        <v>15240000</v>
      </c>
      <c r="B261" s="73" t="s">
        <v>21</v>
      </c>
      <c r="C261" s="222" t="s">
        <v>996</v>
      </c>
      <c r="D261" s="67">
        <v>1</v>
      </c>
      <c r="E261" s="36" t="s">
        <v>21</v>
      </c>
      <c r="F261" s="177"/>
      <c r="G261" s="177"/>
      <c r="H261" s="177"/>
      <c r="I261" s="222"/>
      <c r="J261" s="223">
        <v>43959</v>
      </c>
      <c r="K261" s="65" t="str">
        <f t="shared" ref="K261" si="122">IF(L261&gt;($M$27*50),"SI","NO")</f>
        <v>SI</v>
      </c>
      <c r="L261" s="139">
        <f t="shared" si="112"/>
        <v>7731695</v>
      </c>
      <c r="M261" s="67">
        <v>7731695</v>
      </c>
      <c r="N261" s="67">
        <v>7731695</v>
      </c>
      <c r="O261" s="139">
        <f t="shared" si="113"/>
        <v>7731695</v>
      </c>
      <c r="P261" s="72">
        <v>15921500</v>
      </c>
      <c r="Q261" s="73" t="s">
        <v>28</v>
      </c>
      <c r="R261" s="67">
        <v>0</v>
      </c>
      <c r="S261" s="67">
        <v>0</v>
      </c>
      <c r="T261" s="139">
        <f t="shared" si="114"/>
        <v>0</v>
      </c>
      <c r="U261" s="38">
        <f t="shared" si="115"/>
        <v>7731695</v>
      </c>
      <c r="V261" s="148">
        <v>10</v>
      </c>
      <c r="W261" s="116">
        <f>IF(ROUND(($W$27-J261)/30,0)&gt;(V261*12),(V261*12),(ROUND(($W$27-J261)/30,0)))-1</f>
        <v>7</v>
      </c>
      <c r="X261" s="116">
        <f t="shared" si="116"/>
        <v>113</v>
      </c>
      <c r="Y261" s="38">
        <f t="shared" si="117"/>
        <v>64430.791666666664</v>
      </c>
      <c r="Z261" s="38">
        <f t="shared" si="118"/>
        <v>451015.54166666663</v>
      </c>
      <c r="AA261" s="38">
        <f t="shared" si="119"/>
        <v>7731695</v>
      </c>
      <c r="AB261" s="38">
        <f t="shared" si="120"/>
        <v>451016</v>
      </c>
      <c r="AC261" s="38">
        <f t="shared" si="121"/>
        <v>7280679</v>
      </c>
      <c r="AG261" s="73"/>
    </row>
    <row r="262" spans="1:36" s="72" customFormat="1">
      <c r="AG262" s="73"/>
    </row>
    <row r="263" spans="1:36" s="217" customFormat="1">
      <c r="A263" s="72">
        <v>15280000</v>
      </c>
      <c r="B263" s="73" t="s">
        <v>22</v>
      </c>
      <c r="C263" s="217" t="s">
        <v>997</v>
      </c>
      <c r="D263" s="217">
        <v>1</v>
      </c>
      <c r="E263" s="36" t="s">
        <v>365</v>
      </c>
      <c r="F263" s="218"/>
      <c r="G263" s="218"/>
      <c r="H263" s="218"/>
      <c r="I263" s="218"/>
      <c r="J263" s="219">
        <v>42369</v>
      </c>
      <c r="K263" s="52" t="str">
        <f>IF(L263&gt;($M$23*50),"SI","NO")</f>
        <v>NO</v>
      </c>
      <c r="L263" s="139">
        <f t="shared" ref="L263:L282" si="123">M263/D263</f>
        <v>0</v>
      </c>
      <c r="M263" s="217">
        <f>3159800*0</f>
        <v>0</v>
      </c>
      <c r="N263" s="217">
        <f>3159800*0</f>
        <v>0</v>
      </c>
      <c r="O263" s="139">
        <f t="shared" ref="O263:O282" si="124">IF(K263="SI",N263,0)</f>
        <v>0</v>
      </c>
      <c r="P263" s="72">
        <v>15922000</v>
      </c>
      <c r="Q263" s="73" t="s">
        <v>29</v>
      </c>
      <c r="R263" s="217">
        <v>0</v>
      </c>
      <c r="S263" s="217">
        <v>0</v>
      </c>
      <c r="T263" s="139">
        <f t="shared" ref="T263:T282" si="125">IF(O263&gt;0,S263,0)</f>
        <v>0</v>
      </c>
      <c r="U263" s="60">
        <f t="shared" ref="U263:U282" si="126">IF(O263&gt;0,N263-S263,0)</f>
        <v>0</v>
      </c>
      <c r="V263" s="220">
        <v>1</v>
      </c>
      <c r="W263" s="116">
        <f>IF(ROUND(($W$27-J263)/30,0)&gt;(V263*12),(V263*12),(ROUND(($W$27-J263)/30,0)))</f>
        <v>12</v>
      </c>
      <c r="X263" s="140">
        <f t="shared" ref="X263:X282" si="127">(V263*12)-W263</f>
        <v>0</v>
      </c>
      <c r="Y263" s="60">
        <f>N263/(V263*12)</f>
        <v>0</v>
      </c>
      <c r="Z263" s="60">
        <f t="shared" ref="Z263:Z282" si="128">IF(U263&gt;0,W263*Y263,0)</f>
        <v>0</v>
      </c>
      <c r="AA263" s="60">
        <f t="shared" ref="AA263:AA282" si="129">ROUND(IF(U263&gt;0,N263,0),0)</f>
        <v>0</v>
      </c>
      <c r="AB263" s="60">
        <f t="shared" ref="AB263:AB282" si="130">ROUND(IF(U263&gt;0,Z263,0),0)</f>
        <v>0</v>
      </c>
      <c r="AC263" s="60">
        <f t="shared" ref="AC263:AC282" si="131">AA263-AB263</f>
        <v>0</v>
      </c>
      <c r="AD263" s="217" t="s">
        <v>1046</v>
      </c>
      <c r="AF263" s="73"/>
      <c r="AG263" s="73"/>
    </row>
    <row r="264" spans="1:36" s="73" customFormat="1">
      <c r="A264" s="72">
        <v>15280000</v>
      </c>
      <c r="B264" s="73" t="s">
        <v>22</v>
      </c>
      <c r="C264" s="74" t="s">
        <v>997</v>
      </c>
      <c r="D264" s="73">
        <v>1</v>
      </c>
      <c r="E264" s="36" t="s">
        <v>365</v>
      </c>
      <c r="F264" s="144"/>
      <c r="G264" s="144"/>
      <c r="H264" s="144"/>
      <c r="I264" s="144"/>
      <c r="J264" s="77">
        <v>43036</v>
      </c>
      <c r="K264" s="52" t="str">
        <f>IF(L264&gt;($M$24*50),"SI","NO")</f>
        <v>SI</v>
      </c>
      <c r="L264" s="113">
        <f t="shared" si="123"/>
        <v>2620588</v>
      </c>
      <c r="M264" s="73">
        <v>2620588</v>
      </c>
      <c r="N264" s="145">
        <v>2620588</v>
      </c>
      <c r="O264" s="113">
        <f t="shared" si="124"/>
        <v>2620588</v>
      </c>
      <c r="P264" s="72">
        <v>15922000</v>
      </c>
      <c r="Q264" s="73" t="s">
        <v>29</v>
      </c>
      <c r="R264" s="73">
        <v>611471</v>
      </c>
      <c r="S264" s="73">
        <v>611471</v>
      </c>
      <c r="T264" s="113">
        <f t="shared" si="125"/>
        <v>611471</v>
      </c>
      <c r="U264" s="38">
        <f t="shared" si="126"/>
        <v>2009117</v>
      </c>
      <c r="V264" s="148">
        <v>5</v>
      </c>
      <c r="W264" s="116">
        <f>IF(ROUND(($W$27-J264)/30,0)&gt;(V264*12),(V264*12),(ROUND(($W$27-J264)/30,0)))-1</f>
        <v>38</v>
      </c>
      <c r="X264" s="116">
        <f t="shared" si="127"/>
        <v>22</v>
      </c>
      <c r="Y264" s="38">
        <f t="shared" ref="Y264:Y282" si="132">N264/(V264*12)</f>
        <v>43676.466666666667</v>
      </c>
      <c r="Z264" s="38">
        <f t="shared" si="128"/>
        <v>1659705.7333333334</v>
      </c>
      <c r="AA264" s="38">
        <f t="shared" si="129"/>
        <v>2620588</v>
      </c>
      <c r="AB264" s="38">
        <f t="shared" si="130"/>
        <v>1659706</v>
      </c>
      <c r="AC264" s="38">
        <f t="shared" si="131"/>
        <v>960882</v>
      </c>
    </row>
    <row r="265" spans="1:36" s="73" customFormat="1">
      <c r="A265" s="72">
        <v>15280000</v>
      </c>
      <c r="B265" s="73" t="s">
        <v>22</v>
      </c>
      <c r="C265" s="74" t="s">
        <v>997</v>
      </c>
      <c r="D265" s="73">
        <v>1</v>
      </c>
      <c r="E265" s="36" t="s">
        <v>365</v>
      </c>
      <c r="F265" s="144"/>
      <c r="G265" s="144"/>
      <c r="H265" s="144"/>
      <c r="I265" s="144"/>
      <c r="J265" s="77">
        <v>42763</v>
      </c>
      <c r="K265" s="52" t="str">
        <f>IF(L265&gt;($M$24*50),"SI","NO")</f>
        <v>SI</v>
      </c>
      <c r="L265" s="113">
        <f t="shared" si="123"/>
        <v>4874741</v>
      </c>
      <c r="M265" s="73">
        <v>4874741</v>
      </c>
      <c r="N265" s="145">
        <v>4874741</v>
      </c>
      <c r="O265" s="113">
        <f t="shared" si="124"/>
        <v>4874741</v>
      </c>
      <c r="P265" s="72">
        <v>15922000</v>
      </c>
      <c r="Q265" s="73" t="s">
        <v>29</v>
      </c>
      <c r="R265" s="73">
        <v>2335813</v>
      </c>
      <c r="S265" s="73">
        <v>2335813</v>
      </c>
      <c r="T265" s="113">
        <f t="shared" si="125"/>
        <v>2335813</v>
      </c>
      <c r="U265" s="38">
        <f t="shared" si="126"/>
        <v>2538928</v>
      </c>
      <c r="V265" s="148">
        <v>4</v>
      </c>
      <c r="W265" s="116">
        <f>IF(ROUND(($W$27-J265)/30,0)&gt;(V265*12),(V265*12),(ROUND(($W$27-J265)/30,0)))-1</f>
        <v>47</v>
      </c>
      <c r="X265" s="116">
        <f t="shared" si="127"/>
        <v>1</v>
      </c>
      <c r="Y265" s="38">
        <f t="shared" si="132"/>
        <v>101557.10416666667</v>
      </c>
      <c r="Z265" s="38">
        <f t="shared" si="128"/>
        <v>4773183.895833334</v>
      </c>
      <c r="AA265" s="38">
        <f t="shared" si="129"/>
        <v>4874741</v>
      </c>
      <c r="AB265" s="38">
        <f t="shared" si="130"/>
        <v>4773184</v>
      </c>
      <c r="AC265" s="38">
        <f t="shared" si="131"/>
        <v>101557</v>
      </c>
    </row>
    <row r="266" spans="1:36" s="73" customFormat="1">
      <c r="A266" s="72">
        <v>15280000</v>
      </c>
      <c r="B266" s="73" t="s">
        <v>22</v>
      </c>
      <c r="C266" s="74" t="s">
        <v>997</v>
      </c>
      <c r="D266" s="73">
        <v>1</v>
      </c>
      <c r="E266" s="36" t="s">
        <v>365</v>
      </c>
      <c r="F266" s="144"/>
      <c r="G266" s="144"/>
      <c r="H266" s="144"/>
      <c r="I266" s="144"/>
      <c r="J266" s="77">
        <v>42866</v>
      </c>
      <c r="K266" s="52" t="str">
        <f>IF(L266&gt;($M$24*50),"SI","NO")</f>
        <v>SI</v>
      </c>
      <c r="L266" s="113">
        <f t="shared" si="123"/>
        <v>2972026</v>
      </c>
      <c r="M266" s="73">
        <v>2972026</v>
      </c>
      <c r="N266" s="145">
        <v>2972026</v>
      </c>
      <c r="O266" s="113">
        <f t="shared" si="124"/>
        <v>2972026</v>
      </c>
      <c r="P266" s="72">
        <v>15922000</v>
      </c>
      <c r="Q266" s="73" t="s">
        <v>29</v>
      </c>
      <c r="R266" s="73">
        <v>1238344</v>
      </c>
      <c r="S266" s="73">
        <v>1238344</v>
      </c>
      <c r="T266" s="113">
        <f t="shared" si="125"/>
        <v>1238344</v>
      </c>
      <c r="U266" s="38">
        <f t="shared" si="126"/>
        <v>1733682</v>
      </c>
      <c r="V266" s="148">
        <v>4</v>
      </c>
      <c r="W266" s="116">
        <f t="shared" ref="W266:W268" si="133">IF(ROUND(($W$27-J266)/30,0)&gt;(V266*12),(V266*12),(ROUND(($W$27-J266)/30,0)))</f>
        <v>44</v>
      </c>
      <c r="X266" s="116">
        <f t="shared" si="127"/>
        <v>4</v>
      </c>
      <c r="Y266" s="38">
        <f t="shared" si="132"/>
        <v>61917.208333333336</v>
      </c>
      <c r="Z266" s="38">
        <f t="shared" si="128"/>
        <v>2724357.166666667</v>
      </c>
      <c r="AA266" s="38">
        <f t="shared" si="129"/>
        <v>2972026</v>
      </c>
      <c r="AB266" s="38">
        <f t="shared" si="130"/>
        <v>2724357</v>
      </c>
      <c r="AC266" s="38">
        <f t="shared" si="131"/>
        <v>247669</v>
      </c>
    </row>
    <row r="267" spans="1:36" s="73" customFormat="1">
      <c r="A267" s="72">
        <v>15280000</v>
      </c>
      <c r="B267" s="73" t="s">
        <v>22</v>
      </c>
      <c r="C267" s="74" t="s">
        <v>997</v>
      </c>
      <c r="D267" s="73">
        <v>1</v>
      </c>
      <c r="E267" s="36" t="s">
        <v>365</v>
      </c>
      <c r="F267" s="144"/>
      <c r="G267" s="144"/>
      <c r="H267" s="144"/>
      <c r="I267" s="144"/>
      <c r="J267" s="77">
        <v>42988</v>
      </c>
      <c r="K267" s="52" t="str">
        <f>IF(L267&gt;($M$24*50),"SI","NO")</f>
        <v>SI</v>
      </c>
      <c r="L267" s="113">
        <f t="shared" si="123"/>
        <v>35506005</v>
      </c>
      <c r="M267" s="73">
        <v>35506005</v>
      </c>
      <c r="N267" s="145">
        <v>35506005</v>
      </c>
      <c r="O267" s="113">
        <f t="shared" si="124"/>
        <v>35506005</v>
      </c>
      <c r="P267" s="72">
        <v>15922000</v>
      </c>
      <c r="Q267" s="73" t="s">
        <v>29</v>
      </c>
      <c r="R267" s="73">
        <v>4734134</v>
      </c>
      <c r="S267" s="73">
        <v>4734134</v>
      </c>
      <c r="T267" s="113">
        <f t="shared" si="125"/>
        <v>4734134</v>
      </c>
      <c r="U267" s="38">
        <f t="shared" si="126"/>
        <v>30771871</v>
      </c>
      <c r="V267" s="148">
        <v>10</v>
      </c>
      <c r="W267" s="116">
        <f t="shared" si="133"/>
        <v>40</v>
      </c>
      <c r="X267" s="116">
        <f t="shared" si="127"/>
        <v>80</v>
      </c>
      <c r="Y267" s="38">
        <f t="shared" si="132"/>
        <v>295883.375</v>
      </c>
      <c r="Z267" s="38">
        <f t="shared" si="128"/>
        <v>11835335</v>
      </c>
      <c r="AA267" s="38">
        <f t="shared" si="129"/>
        <v>35506005</v>
      </c>
      <c r="AB267" s="38">
        <f t="shared" si="130"/>
        <v>11835335</v>
      </c>
      <c r="AC267" s="38">
        <f t="shared" si="131"/>
        <v>23670670</v>
      </c>
    </row>
    <row r="268" spans="1:36" s="73" customFormat="1">
      <c r="A268" s="72">
        <v>15280000</v>
      </c>
      <c r="B268" s="73" t="s">
        <v>22</v>
      </c>
      <c r="C268" s="74" t="s">
        <v>997</v>
      </c>
      <c r="D268" s="73">
        <v>1</v>
      </c>
      <c r="E268" s="36" t="s">
        <v>365</v>
      </c>
      <c r="F268" s="144"/>
      <c r="G268" s="144"/>
      <c r="H268" s="144"/>
      <c r="I268" s="144"/>
      <c r="J268" s="77">
        <v>43085</v>
      </c>
      <c r="K268" s="52" t="str">
        <f>IF(L268&gt;($M$24*50),"SI","NO")</f>
        <v>SI</v>
      </c>
      <c r="L268" s="113">
        <f t="shared" si="123"/>
        <v>10647939</v>
      </c>
      <c r="M268" s="73">
        <v>10647939</v>
      </c>
      <c r="N268" s="145">
        <v>10647939</v>
      </c>
      <c r="O268" s="113">
        <f t="shared" si="124"/>
        <v>10647939</v>
      </c>
      <c r="P268" s="72">
        <v>15922000</v>
      </c>
      <c r="Q268" s="73" t="s">
        <v>29</v>
      </c>
      <c r="R268" s="73">
        <v>1153527</v>
      </c>
      <c r="S268" s="73">
        <v>1153527</v>
      </c>
      <c r="T268" s="113">
        <f t="shared" si="125"/>
        <v>1153527</v>
      </c>
      <c r="U268" s="38">
        <f t="shared" si="126"/>
        <v>9494412</v>
      </c>
      <c r="V268" s="148">
        <v>10</v>
      </c>
      <c r="W268" s="116">
        <f t="shared" si="133"/>
        <v>37</v>
      </c>
      <c r="X268" s="116">
        <f t="shared" si="127"/>
        <v>83</v>
      </c>
      <c r="Y268" s="38">
        <f t="shared" si="132"/>
        <v>88732.824999999997</v>
      </c>
      <c r="Z268" s="38">
        <f t="shared" si="128"/>
        <v>3283114.5249999999</v>
      </c>
      <c r="AA268" s="38">
        <f t="shared" si="129"/>
        <v>10647939</v>
      </c>
      <c r="AB268" s="38">
        <f t="shared" si="130"/>
        <v>3283115</v>
      </c>
      <c r="AC268" s="38">
        <f t="shared" si="131"/>
        <v>7364824</v>
      </c>
    </row>
    <row r="269" spans="1:36" s="73" customFormat="1">
      <c r="A269" s="72">
        <v>15280000</v>
      </c>
      <c r="B269" s="73" t="s">
        <v>22</v>
      </c>
      <c r="C269" s="74" t="s">
        <v>997</v>
      </c>
      <c r="D269" s="73">
        <v>1</v>
      </c>
      <c r="E269" s="36" t="s">
        <v>365</v>
      </c>
      <c r="F269" s="144"/>
      <c r="G269" s="144"/>
      <c r="H269" s="144"/>
      <c r="I269" s="144"/>
      <c r="J269" s="166">
        <v>43251</v>
      </c>
      <c r="K269" s="52" t="str">
        <f>IF(L269&gt;($M$25*50),"SI","NO")</f>
        <v>SI</v>
      </c>
      <c r="L269" s="113">
        <f t="shared" si="123"/>
        <v>6421597</v>
      </c>
      <c r="M269" s="73">
        <v>6421597</v>
      </c>
      <c r="N269" s="145">
        <v>6421597</v>
      </c>
      <c r="O269" s="113">
        <f t="shared" si="124"/>
        <v>6421597</v>
      </c>
      <c r="P269" s="72">
        <v>15922000</v>
      </c>
      <c r="Q269" s="73" t="s">
        <v>29</v>
      </c>
      <c r="R269" s="73">
        <v>749186</v>
      </c>
      <c r="S269" s="73">
        <v>749186</v>
      </c>
      <c r="T269" s="113">
        <f t="shared" si="125"/>
        <v>749186</v>
      </c>
      <c r="U269" s="38">
        <f t="shared" si="126"/>
        <v>5672411</v>
      </c>
      <c r="V269" s="148">
        <v>5</v>
      </c>
      <c r="W269" s="116">
        <f>IF(ROUND(($W$27-J269)/30,0)&gt;(V269*12),(V269*12),(ROUND(($W$27-J269)/30,0)))-1</f>
        <v>31</v>
      </c>
      <c r="X269" s="116">
        <f t="shared" si="127"/>
        <v>29</v>
      </c>
      <c r="Y269" s="38">
        <f t="shared" si="132"/>
        <v>107026.61666666667</v>
      </c>
      <c r="Z269" s="38">
        <f t="shared" si="128"/>
        <v>3317825.1166666667</v>
      </c>
      <c r="AA269" s="38">
        <f t="shared" si="129"/>
        <v>6421597</v>
      </c>
      <c r="AB269" s="38">
        <f t="shared" si="130"/>
        <v>3317825</v>
      </c>
      <c r="AC269" s="38">
        <f t="shared" si="131"/>
        <v>3103772</v>
      </c>
    </row>
    <row r="270" spans="1:36" s="73" customFormat="1">
      <c r="A270" s="72">
        <v>15280000</v>
      </c>
      <c r="B270" s="73" t="s">
        <v>22</v>
      </c>
      <c r="C270" s="74" t="s">
        <v>997</v>
      </c>
      <c r="D270" s="73">
        <v>1</v>
      </c>
      <c r="E270" s="36" t="s">
        <v>365</v>
      </c>
      <c r="F270" s="144"/>
      <c r="G270" s="144"/>
      <c r="H270" s="144"/>
      <c r="I270" s="144"/>
      <c r="J270" s="166">
        <v>43281</v>
      </c>
      <c r="K270" s="52" t="str">
        <f>IF(L270&gt;($M$25*50),"SI","NO")</f>
        <v>SI</v>
      </c>
      <c r="L270" s="113">
        <f t="shared" si="123"/>
        <v>20527633</v>
      </c>
      <c r="M270" s="73">
        <v>20527633</v>
      </c>
      <c r="N270" s="145">
        <v>20527633</v>
      </c>
      <c r="O270" s="113">
        <f t="shared" si="124"/>
        <v>20527633</v>
      </c>
      <c r="P270" s="72">
        <v>15922000</v>
      </c>
      <c r="Q270" s="73" t="s">
        <v>29</v>
      </c>
      <c r="R270" s="73">
        <v>1026382</v>
      </c>
      <c r="S270" s="73">
        <v>1026382</v>
      </c>
      <c r="T270" s="113">
        <f t="shared" si="125"/>
        <v>1026382</v>
      </c>
      <c r="U270" s="38">
        <f t="shared" si="126"/>
        <v>19501251</v>
      </c>
      <c r="V270" s="148">
        <v>10</v>
      </c>
      <c r="W270" s="116">
        <f>IF(ROUND(($W$27-J270)/30,0)&gt;(V270*12),(V270*12),(ROUND(($W$27-J270)/30,0)))-1</f>
        <v>30</v>
      </c>
      <c r="X270" s="116">
        <f t="shared" si="127"/>
        <v>90</v>
      </c>
      <c r="Y270" s="38">
        <f t="shared" si="132"/>
        <v>171063.60833333334</v>
      </c>
      <c r="Z270" s="38">
        <f t="shared" si="128"/>
        <v>5131908.25</v>
      </c>
      <c r="AA270" s="38">
        <f t="shared" si="129"/>
        <v>20527633</v>
      </c>
      <c r="AB270" s="38">
        <f t="shared" si="130"/>
        <v>5131908</v>
      </c>
      <c r="AC270" s="38">
        <f t="shared" si="131"/>
        <v>15395725</v>
      </c>
    </row>
    <row r="271" spans="1:36" s="73" customFormat="1">
      <c r="A271" s="72">
        <v>15280000</v>
      </c>
      <c r="B271" s="73" t="s">
        <v>22</v>
      </c>
      <c r="C271" s="74" t="s">
        <v>997</v>
      </c>
      <c r="D271" s="73">
        <v>1</v>
      </c>
      <c r="E271" s="36" t="s">
        <v>365</v>
      </c>
      <c r="F271" s="144"/>
      <c r="G271" s="144"/>
      <c r="H271" s="144"/>
      <c r="I271" s="144"/>
      <c r="J271" s="169">
        <v>43426</v>
      </c>
      <c r="K271" s="52" t="str">
        <f>IF(L271&gt;($M$25*50),"SI","NO")</f>
        <v>SI</v>
      </c>
      <c r="L271" s="113">
        <f t="shared" si="123"/>
        <v>6961500</v>
      </c>
      <c r="M271" s="73">
        <v>6961500</v>
      </c>
      <c r="N271" s="145">
        <v>6961500</v>
      </c>
      <c r="O271" s="113">
        <f t="shared" si="124"/>
        <v>6961500</v>
      </c>
      <c r="P271" s="72">
        <v>15922000</v>
      </c>
      <c r="Q271" s="73" t="s">
        <v>29</v>
      </c>
      <c r="R271" s="73">
        <v>116025</v>
      </c>
      <c r="S271" s="73">
        <v>116025</v>
      </c>
      <c r="T271" s="113">
        <f t="shared" si="125"/>
        <v>116025</v>
      </c>
      <c r="U271" s="38">
        <f t="shared" si="126"/>
        <v>6845475</v>
      </c>
      <c r="V271" s="148">
        <v>5</v>
      </c>
      <c r="W271" s="116">
        <f>IF(ROUND(($W$27-J271)/30,0)&gt;(V271*12),(V271*12),(ROUND(($W$27-J271)/30,0)))-1</f>
        <v>25</v>
      </c>
      <c r="X271" s="116">
        <f t="shared" si="127"/>
        <v>35</v>
      </c>
      <c r="Y271" s="38">
        <f t="shared" si="132"/>
        <v>116025</v>
      </c>
      <c r="Z271" s="38">
        <f t="shared" si="128"/>
        <v>2900625</v>
      </c>
      <c r="AA271" s="38">
        <f t="shared" si="129"/>
        <v>6961500</v>
      </c>
      <c r="AB271" s="38">
        <f t="shared" si="130"/>
        <v>2900625</v>
      </c>
      <c r="AC271" s="38">
        <f t="shared" si="131"/>
        <v>4060875</v>
      </c>
    </row>
    <row r="272" spans="1:36" s="67" customFormat="1">
      <c r="A272" s="66">
        <v>15280000</v>
      </c>
      <c r="B272" s="67" t="s">
        <v>22</v>
      </c>
      <c r="C272" s="67" t="s">
        <v>997</v>
      </c>
      <c r="D272" s="67">
        <v>1</v>
      </c>
      <c r="E272" s="36" t="s">
        <v>365</v>
      </c>
      <c r="F272" s="177"/>
      <c r="G272" s="177"/>
      <c r="H272" s="177"/>
      <c r="I272" s="177"/>
      <c r="J272" s="198">
        <v>43497</v>
      </c>
      <c r="K272" s="65" t="str">
        <f t="shared" ref="K272:K282" si="134">IF(L272&gt;($M$26*50),"SI","NO")</f>
        <v>SI</v>
      </c>
      <c r="L272" s="139">
        <f t="shared" si="123"/>
        <v>2140769</v>
      </c>
      <c r="M272" s="67">
        <v>2140769</v>
      </c>
      <c r="N272" s="67">
        <v>2140769</v>
      </c>
      <c r="O272" s="139">
        <f t="shared" si="124"/>
        <v>2140769</v>
      </c>
      <c r="P272" s="72">
        <v>15922000</v>
      </c>
      <c r="Q272" s="73" t="s">
        <v>29</v>
      </c>
      <c r="R272" s="67">
        <v>0</v>
      </c>
      <c r="S272" s="67">
        <v>0</v>
      </c>
      <c r="T272" s="139">
        <f t="shared" si="125"/>
        <v>0</v>
      </c>
      <c r="U272" s="60">
        <f t="shared" si="126"/>
        <v>2140769</v>
      </c>
      <c r="V272" s="180">
        <v>4</v>
      </c>
      <c r="W272" s="116">
        <f t="shared" ref="W272:W280" si="135">IF(ROUND(($W$27-J272)/30,0)&gt;(V272*12),(V272*12),(ROUND(($W$27-J272)/30,0)))</f>
        <v>23</v>
      </c>
      <c r="X272" s="116">
        <f t="shared" si="127"/>
        <v>25</v>
      </c>
      <c r="Y272" s="38">
        <f t="shared" si="132"/>
        <v>44599.354166666664</v>
      </c>
      <c r="Z272" s="38">
        <f t="shared" si="128"/>
        <v>1025785.1458333333</v>
      </c>
      <c r="AA272" s="38">
        <f t="shared" si="129"/>
        <v>2140769</v>
      </c>
      <c r="AB272" s="38">
        <f t="shared" si="130"/>
        <v>1025785</v>
      </c>
      <c r="AC272" s="38">
        <f t="shared" si="131"/>
        <v>1114984</v>
      </c>
      <c r="AF272" s="73"/>
      <c r="AG272" s="73"/>
      <c r="AH272" s="73"/>
      <c r="AI272" s="73"/>
      <c r="AJ272" s="73"/>
    </row>
    <row r="273" spans="1:36" s="67" customFormat="1">
      <c r="A273" s="66">
        <v>15280000</v>
      </c>
      <c r="B273" s="67" t="s">
        <v>22</v>
      </c>
      <c r="C273" s="67" t="s">
        <v>997</v>
      </c>
      <c r="D273" s="67">
        <v>1</v>
      </c>
      <c r="E273" s="36" t="s">
        <v>365</v>
      </c>
      <c r="F273" s="177"/>
      <c r="G273" s="177"/>
      <c r="H273" s="177"/>
      <c r="I273" s="177"/>
      <c r="J273" s="198">
        <v>43497</v>
      </c>
      <c r="K273" s="65" t="str">
        <f t="shared" si="134"/>
        <v>SI</v>
      </c>
      <c r="L273" s="139">
        <f t="shared" si="123"/>
        <v>2140769</v>
      </c>
      <c r="M273" s="67">
        <v>2140769</v>
      </c>
      <c r="N273" s="67">
        <v>2140769</v>
      </c>
      <c r="O273" s="139">
        <f t="shared" si="124"/>
        <v>2140769</v>
      </c>
      <c r="P273" s="72">
        <v>15922000</v>
      </c>
      <c r="Q273" s="73" t="s">
        <v>29</v>
      </c>
      <c r="R273" s="67">
        <v>0</v>
      </c>
      <c r="S273" s="67">
        <v>0</v>
      </c>
      <c r="T273" s="139">
        <f t="shared" si="125"/>
        <v>0</v>
      </c>
      <c r="U273" s="60">
        <f t="shared" si="126"/>
        <v>2140769</v>
      </c>
      <c r="V273" s="180">
        <v>4</v>
      </c>
      <c r="W273" s="116">
        <f t="shared" si="135"/>
        <v>23</v>
      </c>
      <c r="X273" s="116">
        <f t="shared" si="127"/>
        <v>25</v>
      </c>
      <c r="Y273" s="38">
        <f t="shared" si="132"/>
        <v>44599.354166666664</v>
      </c>
      <c r="Z273" s="38">
        <f t="shared" si="128"/>
        <v>1025785.1458333333</v>
      </c>
      <c r="AA273" s="38">
        <f t="shared" si="129"/>
        <v>2140769</v>
      </c>
      <c r="AB273" s="38">
        <f t="shared" si="130"/>
        <v>1025785</v>
      </c>
      <c r="AC273" s="38">
        <f t="shared" si="131"/>
        <v>1114984</v>
      </c>
      <c r="AF273" s="73"/>
      <c r="AG273" s="73"/>
      <c r="AH273" s="73"/>
      <c r="AI273" s="73"/>
      <c r="AJ273" s="73"/>
    </row>
    <row r="274" spans="1:36" s="67" customFormat="1">
      <c r="A274" s="66">
        <v>15280000</v>
      </c>
      <c r="B274" s="67" t="s">
        <v>22</v>
      </c>
      <c r="C274" s="67" t="s">
        <v>997</v>
      </c>
      <c r="D274" s="67">
        <v>1</v>
      </c>
      <c r="E274" s="36" t="s">
        <v>365</v>
      </c>
      <c r="F274" s="177"/>
      <c r="G274" s="177"/>
      <c r="H274" s="177"/>
      <c r="I274" s="177"/>
      <c r="J274" s="198">
        <v>43617</v>
      </c>
      <c r="K274" s="65" t="str">
        <f t="shared" si="134"/>
        <v>SI</v>
      </c>
      <c r="L274" s="139">
        <f t="shared" si="123"/>
        <v>2436134.4500000002</v>
      </c>
      <c r="M274" s="67">
        <v>2436134.4500000002</v>
      </c>
      <c r="N274" s="67">
        <v>2436134.4500000002</v>
      </c>
      <c r="O274" s="139">
        <f t="shared" si="124"/>
        <v>2436134.4500000002</v>
      </c>
      <c r="P274" s="72">
        <v>15922000</v>
      </c>
      <c r="Q274" s="73" t="s">
        <v>29</v>
      </c>
      <c r="R274" s="67">
        <v>0</v>
      </c>
      <c r="S274" s="67">
        <v>0</v>
      </c>
      <c r="T274" s="139">
        <f t="shared" si="125"/>
        <v>0</v>
      </c>
      <c r="U274" s="60">
        <f t="shared" si="126"/>
        <v>2436134.4500000002</v>
      </c>
      <c r="V274" s="180">
        <v>5</v>
      </c>
      <c r="W274" s="116">
        <f t="shared" si="135"/>
        <v>19</v>
      </c>
      <c r="X274" s="116">
        <f t="shared" si="127"/>
        <v>41</v>
      </c>
      <c r="Y274" s="38">
        <f t="shared" si="132"/>
        <v>40602.240833333337</v>
      </c>
      <c r="Z274" s="38">
        <f t="shared" si="128"/>
        <v>771442.57583333342</v>
      </c>
      <c r="AA274" s="38">
        <f t="shared" si="129"/>
        <v>2436134</v>
      </c>
      <c r="AB274" s="38">
        <f t="shared" si="130"/>
        <v>771443</v>
      </c>
      <c r="AC274" s="38">
        <f t="shared" si="131"/>
        <v>1664691</v>
      </c>
      <c r="AF274" s="73"/>
      <c r="AG274" s="73"/>
      <c r="AH274" s="73"/>
      <c r="AI274" s="73"/>
      <c r="AJ274" s="73"/>
    </row>
    <row r="275" spans="1:36" s="67" customFormat="1">
      <c r="A275" s="66">
        <v>15280000</v>
      </c>
      <c r="B275" s="67" t="s">
        <v>22</v>
      </c>
      <c r="C275" s="67" t="s">
        <v>997</v>
      </c>
      <c r="D275" s="67">
        <v>1</v>
      </c>
      <c r="E275" s="36" t="s">
        <v>365</v>
      </c>
      <c r="F275" s="177"/>
      <c r="G275" s="177"/>
      <c r="H275" s="177"/>
      <c r="I275" s="177"/>
      <c r="J275" s="198">
        <v>43647</v>
      </c>
      <c r="K275" s="65" t="str">
        <f t="shared" si="134"/>
        <v>SI</v>
      </c>
      <c r="L275" s="139">
        <f t="shared" si="123"/>
        <v>2332980</v>
      </c>
      <c r="M275" s="67">
        <v>2332980</v>
      </c>
      <c r="N275" s="67">
        <v>2332980</v>
      </c>
      <c r="O275" s="139">
        <f t="shared" si="124"/>
        <v>2332980</v>
      </c>
      <c r="P275" s="72">
        <v>15922000</v>
      </c>
      <c r="Q275" s="73" t="s">
        <v>29</v>
      </c>
      <c r="R275" s="67">
        <v>0</v>
      </c>
      <c r="S275" s="67">
        <v>0</v>
      </c>
      <c r="T275" s="139">
        <f t="shared" si="125"/>
        <v>0</v>
      </c>
      <c r="U275" s="60">
        <f t="shared" si="126"/>
        <v>2332980</v>
      </c>
      <c r="V275" s="180">
        <v>5</v>
      </c>
      <c r="W275" s="116">
        <f t="shared" si="135"/>
        <v>18</v>
      </c>
      <c r="X275" s="116">
        <f t="shared" si="127"/>
        <v>42</v>
      </c>
      <c r="Y275" s="38">
        <f t="shared" si="132"/>
        <v>38883</v>
      </c>
      <c r="Z275" s="38">
        <f t="shared" si="128"/>
        <v>699894</v>
      </c>
      <c r="AA275" s="38">
        <f t="shared" si="129"/>
        <v>2332980</v>
      </c>
      <c r="AB275" s="38">
        <f t="shared" si="130"/>
        <v>699894</v>
      </c>
      <c r="AC275" s="38">
        <f t="shared" si="131"/>
        <v>1633086</v>
      </c>
      <c r="AF275" s="73"/>
      <c r="AG275" s="73"/>
      <c r="AH275" s="73"/>
      <c r="AI275" s="73"/>
      <c r="AJ275" s="73"/>
    </row>
    <row r="276" spans="1:36" s="67" customFormat="1">
      <c r="A276" s="66">
        <v>15280000</v>
      </c>
      <c r="B276" s="67" t="s">
        <v>22</v>
      </c>
      <c r="C276" s="67" t="s">
        <v>997</v>
      </c>
      <c r="D276" s="67">
        <v>1</v>
      </c>
      <c r="E276" s="36" t="s">
        <v>365</v>
      </c>
      <c r="F276" s="177"/>
      <c r="G276" s="177"/>
      <c r="H276" s="177"/>
      <c r="I276" s="177"/>
      <c r="J276" s="198">
        <v>43650</v>
      </c>
      <c r="K276" s="65" t="str">
        <f t="shared" si="134"/>
        <v>SI</v>
      </c>
      <c r="L276" s="139">
        <f t="shared" si="123"/>
        <v>3199000</v>
      </c>
      <c r="M276" s="67">
        <v>3199000</v>
      </c>
      <c r="N276" s="67">
        <v>3199000</v>
      </c>
      <c r="O276" s="139">
        <f t="shared" si="124"/>
        <v>3199000</v>
      </c>
      <c r="P276" s="72">
        <v>15922000</v>
      </c>
      <c r="Q276" s="73" t="s">
        <v>29</v>
      </c>
      <c r="R276" s="67">
        <v>0</v>
      </c>
      <c r="S276" s="67">
        <v>0</v>
      </c>
      <c r="T276" s="139">
        <f t="shared" si="125"/>
        <v>0</v>
      </c>
      <c r="U276" s="60">
        <f t="shared" si="126"/>
        <v>3199000</v>
      </c>
      <c r="V276" s="180">
        <v>4</v>
      </c>
      <c r="W276" s="116">
        <f>IF(ROUND(($W$27-J276)/30,0)&gt;(V276*12),(V276*12),(ROUND(($W$27-J276)/30,0)))-1</f>
        <v>17</v>
      </c>
      <c r="X276" s="116">
        <f t="shared" si="127"/>
        <v>31</v>
      </c>
      <c r="Y276" s="38">
        <f t="shared" si="132"/>
        <v>66645.833333333328</v>
      </c>
      <c r="Z276" s="38">
        <f t="shared" si="128"/>
        <v>1132979.1666666665</v>
      </c>
      <c r="AA276" s="38">
        <f t="shared" si="129"/>
        <v>3199000</v>
      </c>
      <c r="AB276" s="38">
        <f t="shared" si="130"/>
        <v>1132979</v>
      </c>
      <c r="AC276" s="38">
        <f t="shared" si="131"/>
        <v>2066021</v>
      </c>
      <c r="AF276" s="73"/>
      <c r="AG276" s="73"/>
      <c r="AH276" s="73"/>
      <c r="AI276" s="73"/>
      <c r="AJ276" s="73"/>
    </row>
    <row r="277" spans="1:36" s="67" customFormat="1">
      <c r="A277" s="66">
        <v>15280000</v>
      </c>
      <c r="B277" s="67" t="s">
        <v>22</v>
      </c>
      <c r="C277" s="67" t="s">
        <v>997</v>
      </c>
      <c r="D277" s="67">
        <v>1</v>
      </c>
      <c r="E277" s="36" t="s">
        <v>365</v>
      </c>
      <c r="F277" s="177"/>
      <c r="G277" s="177"/>
      <c r="H277" s="177"/>
      <c r="I277" s="177"/>
      <c r="J277" s="198">
        <v>43693</v>
      </c>
      <c r="K277" s="65" t="str">
        <f t="shared" si="134"/>
        <v>NO</v>
      </c>
      <c r="L277" s="139">
        <f t="shared" si="123"/>
        <v>0</v>
      </c>
      <c r="M277" s="67">
        <f>1680000-1680000</f>
        <v>0</v>
      </c>
      <c r="N277" s="67">
        <f>1680000-1680000</f>
        <v>0</v>
      </c>
      <c r="O277" s="139">
        <f t="shared" si="124"/>
        <v>0</v>
      </c>
      <c r="P277" s="72">
        <v>15922000</v>
      </c>
      <c r="Q277" s="73" t="s">
        <v>29</v>
      </c>
      <c r="R277" s="67">
        <v>0</v>
      </c>
      <c r="S277" s="67">
        <v>0</v>
      </c>
      <c r="T277" s="139">
        <f t="shared" si="125"/>
        <v>0</v>
      </c>
      <c r="U277" s="175">
        <f t="shared" si="126"/>
        <v>0</v>
      </c>
      <c r="V277" s="215">
        <v>1</v>
      </c>
      <c r="W277" s="116">
        <f t="shared" si="135"/>
        <v>12</v>
      </c>
      <c r="X277" s="116">
        <f t="shared" si="127"/>
        <v>0</v>
      </c>
      <c r="Y277" s="38">
        <f t="shared" si="132"/>
        <v>0</v>
      </c>
      <c r="Z277" s="38">
        <f t="shared" si="128"/>
        <v>0</v>
      </c>
      <c r="AA277" s="38">
        <f t="shared" si="129"/>
        <v>0</v>
      </c>
      <c r="AB277" s="38">
        <f t="shared" si="130"/>
        <v>0</v>
      </c>
      <c r="AC277" s="38">
        <f t="shared" si="131"/>
        <v>0</v>
      </c>
      <c r="AD277" s="217" t="s">
        <v>1048</v>
      </c>
      <c r="AF277" s="73"/>
      <c r="AG277" s="73"/>
      <c r="AH277" s="73"/>
      <c r="AI277" s="73"/>
      <c r="AJ277" s="73"/>
    </row>
    <row r="278" spans="1:36" s="67" customFormat="1">
      <c r="A278" s="66">
        <v>15280000</v>
      </c>
      <c r="B278" s="67" t="s">
        <v>22</v>
      </c>
      <c r="C278" s="67" t="s">
        <v>997</v>
      </c>
      <c r="D278" s="67">
        <v>1</v>
      </c>
      <c r="E278" s="36" t="s">
        <v>365</v>
      </c>
      <c r="F278" s="177"/>
      <c r="G278" s="177"/>
      <c r="H278" s="177"/>
      <c r="I278" s="177"/>
      <c r="J278" s="198">
        <v>43726</v>
      </c>
      <c r="K278" s="65" t="str">
        <f t="shared" si="134"/>
        <v>SI</v>
      </c>
      <c r="L278" s="139">
        <f t="shared" si="123"/>
        <v>4200000</v>
      </c>
      <c r="M278" s="67">
        <v>4200000</v>
      </c>
      <c r="N278" s="67">
        <v>4200000</v>
      </c>
      <c r="O278" s="139">
        <f t="shared" si="124"/>
        <v>4200000</v>
      </c>
      <c r="P278" s="72">
        <v>15922000</v>
      </c>
      <c r="Q278" s="73" t="s">
        <v>29</v>
      </c>
      <c r="R278" s="67">
        <v>0</v>
      </c>
      <c r="S278" s="67">
        <v>0</v>
      </c>
      <c r="T278" s="139">
        <f t="shared" si="125"/>
        <v>0</v>
      </c>
      <c r="U278" s="60">
        <f t="shared" si="126"/>
        <v>4200000</v>
      </c>
      <c r="V278" s="180">
        <v>4</v>
      </c>
      <c r="W278" s="116">
        <f>IF(ROUND(($W$27-J278)/30,0)&gt;(V278*12),(V278*12),(ROUND(($W$27-J278)/30,0)))-1</f>
        <v>15</v>
      </c>
      <c r="X278" s="116">
        <f t="shared" si="127"/>
        <v>33</v>
      </c>
      <c r="Y278" s="38">
        <f t="shared" si="132"/>
        <v>87500</v>
      </c>
      <c r="Z278" s="38">
        <f t="shared" si="128"/>
        <v>1312500</v>
      </c>
      <c r="AA278" s="38">
        <f t="shared" si="129"/>
        <v>4200000</v>
      </c>
      <c r="AB278" s="38">
        <f t="shared" si="130"/>
        <v>1312500</v>
      </c>
      <c r="AC278" s="38">
        <f t="shared" si="131"/>
        <v>2887500</v>
      </c>
      <c r="AF278" s="73"/>
      <c r="AG278" s="73"/>
      <c r="AH278" s="73"/>
      <c r="AI278" s="73"/>
      <c r="AJ278" s="73"/>
    </row>
    <row r="279" spans="1:36" s="67" customFormat="1">
      <c r="A279" s="66">
        <v>15280000</v>
      </c>
      <c r="B279" s="67" t="s">
        <v>22</v>
      </c>
      <c r="C279" s="176" t="s">
        <v>997</v>
      </c>
      <c r="D279" s="67">
        <v>1</v>
      </c>
      <c r="E279" s="36" t="s">
        <v>365</v>
      </c>
      <c r="F279" s="177"/>
      <c r="G279" s="177"/>
      <c r="H279" s="177"/>
      <c r="I279" s="177"/>
      <c r="J279" s="198">
        <v>43788</v>
      </c>
      <c r="K279" s="65" t="str">
        <f t="shared" si="134"/>
        <v>SI</v>
      </c>
      <c r="L279" s="139">
        <f t="shared" si="123"/>
        <v>3080611</v>
      </c>
      <c r="M279" s="67">
        <v>3080611</v>
      </c>
      <c r="N279" s="67">
        <v>3080611</v>
      </c>
      <c r="O279" s="139">
        <f t="shared" si="124"/>
        <v>3080611</v>
      </c>
      <c r="P279" s="72">
        <v>15922000</v>
      </c>
      <c r="Q279" s="73" t="s">
        <v>29</v>
      </c>
      <c r="R279" s="67">
        <v>0</v>
      </c>
      <c r="S279" s="67">
        <v>0</v>
      </c>
      <c r="T279" s="139">
        <f t="shared" si="125"/>
        <v>0</v>
      </c>
      <c r="U279" s="60">
        <f t="shared" si="126"/>
        <v>3080611</v>
      </c>
      <c r="V279" s="216">
        <v>5</v>
      </c>
      <c r="W279" s="116">
        <f>IF(ROUND(($W$27-J279)/30,0)&gt;(V279*12),(V279*12),(ROUND(($W$27-J279)/30,0)))-1</f>
        <v>13</v>
      </c>
      <c r="X279" s="116">
        <f t="shared" si="127"/>
        <v>47</v>
      </c>
      <c r="Y279" s="38">
        <f t="shared" si="132"/>
        <v>51343.51666666667</v>
      </c>
      <c r="Z279" s="38">
        <f t="shared" si="128"/>
        <v>667465.71666666667</v>
      </c>
      <c r="AA279" s="38">
        <f t="shared" si="129"/>
        <v>3080611</v>
      </c>
      <c r="AB279" s="38">
        <f t="shared" si="130"/>
        <v>667466</v>
      </c>
      <c r="AC279" s="38">
        <f t="shared" si="131"/>
        <v>2413145</v>
      </c>
      <c r="AF279" s="73"/>
      <c r="AG279" s="73"/>
      <c r="AH279" s="73"/>
      <c r="AI279" s="73"/>
      <c r="AJ279" s="73"/>
    </row>
    <row r="280" spans="1:36" s="67" customFormat="1">
      <c r="A280" s="66">
        <v>15280000</v>
      </c>
      <c r="B280" s="67" t="s">
        <v>22</v>
      </c>
      <c r="C280" s="176" t="s">
        <v>997</v>
      </c>
      <c r="D280" s="67">
        <v>1</v>
      </c>
      <c r="E280" s="36" t="s">
        <v>365</v>
      </c>
      <c r="F280" s="177"/>
      <c r="G280" s="177"/>
      <c r="H280" s="177"/>
      <c r="I280" s="177"/>
      <c r="J280" s="198">
        <v>43825</v>
      </c>
      <c r="K280" s="65" t="str">
        <f t="shared" si="134"/>
        <v>SI</v>
      </c>
      <c r="L280" s="139">
        <f t="shared" si="123"/>
        <v>4127740</v>
      </c>
      <c r="M280" s="67">
        <v>4127740</v>
      </c>
      <c r="N280" s="67">
        <v>4127740</v>
      </c>
      <c r="O280" s="139">
        <f t="shared" si="124"/>
        <v>4127740</v>
      </c>
      <c r="P280" s="72">
        <v>15922000</v>
      </c>
      <c r="Q280" s="73" t="s">
        <v>29</v>
      </c>
      <c r="R280" s="67">
        <v>0</v>
      </c>
      <c r="S280" s="67">
        <v>0</v>
      </c>
      <c r="T280" s="139">
        <f t="shared" si="125"/>
        <v>0</v>
      </c>
      <c r="U280" s="60">
        <f t="shared" si="126"/>
        <v>4127740</v>
      </c>
      <c r="V280" s="216">
        <v>5</v>
      </c>
      <c r="W280" s="116">
        <f t="shared" si="135"/>
        <v>12</v>
      </c>
      <c r="X280" s="116">
        <f t="shared" si="127"/>
        <v>48</v>
      </c>
      <c r="Y280" s="38">
        <f t="shared" si="132"/>
        <v>68795.666666666672</v>
      </c>
      <c r="Z280" s="38">
        <f t="shared" si="128"/>
        <v>825548</v>
      </c>
      <c r="AA280" s="38">
        <f t="shared" si="129"/>
        <v>4127740</v>
      </c>
      <c r="AB280" s="38">
        <f t="shared" si="130"/>
        <v>825548</v>
      </c>
      <c r="AC280" s="38">
        <f t="shared" si="131"/>
        <v>3302192</v>
      </c>
      <c r="AF280" s="73"/>
      <c r="AG280" s="73"/>
      <c r="AH280" s="73"/>
      <c r="AI280" s="73"/>
      <c r="AJ280" s="73"/>
    </row>
    <row r="281" spans="1:36" s="67" customFormat="1">
      <c r="A281" s="66">
        <v>15280000</v>
      </c>
      <c r="B281" s="67" t="s">
        <v>22</v>
      </c>
      <c r="C281" s="176" t="s">
        <v>997</v>
      </c>
      <c r="D281" s="67">
        <v>1</v>
      </c>
      <c r="E281" s="36" t="s">
        <v>365</v>
      </c>
      <c r="F281" s="177"/>
      <c r="G281" s="177"/>
      <c r="H281" s="177"/>
      <c r="I281" s="177"/>
      <c r="J281" s="198">
        <v>43820</v>
      </c>
      <c r="K281" s="65" t="str">
        <f t="shared" si="134"/>
        <v>SI</v>
      </c>
      <c r="L281" s="139">
        <f t="shared" si="123"/>
        <v>3076780</v>
      </c>
      <c r="M281" s="67">
        <v>3076780</v>
      </c>
      <c r="N281" s="67">
        <v>3076780</v>
      </c>
      <c r="O281" s="139">
        <f t="shared" si="124"/>
        <v>3076780</v>
      </c>
      <c r="P281" s="72">
        <v>15922000</v>
      </c>
      <c r="Q281" s="73" t="s">
        <v>29</v>
      </c>
      <c r="R281" s="67">
        <v>0</v>
      </c>
      <c r="S281" s="67">
        <v>0</v>
      </c>
      <c r="T281" s="139">
        <f t="shared" si="125"/>
        <v>0</v>
      </c>
      <c r="U281" s="60">
        <f t="shared" si="126"/>
        <v>3076780</v>
      </c>
      <c r="V281" s="216">
        <v>5</v>
      </c>
      <c r="W281" s="116">
        <f>IF(ROUND(($W$27-J281)/30,0)&gt;(V281*12),(V281*12),(ROUND(($W$27-J281)/30,0)))-1</f>
        <v>12</v>
      </c>
      <c r="X281" s="116">
        <f t="shared" si="127"/>
        <v>48</v>
      </c>
      <c r="Y281" s="38">
        <f t="shared" si="132"/>
        <v>51279.666666666664</v>
      </c>
      <c r="Z281" s="38">
        <f t="shared" si="128"/>
        <v>615356</v>
      </c>
      <c r="AA281" s="38">
        <f t="shared" si="129"/>
        <v>3076780</v>
      </c>
      <c r="AB281" s="38">
        <f t="shared" si="130"/>
        <v>615356</v>
      </c>
      <c r="AC281" s="38">
        <f t="shared" si="131"/>
        <v>2461424</v>
      </c>
      <c r="AF281" s="73"/>
      <c r="AG281" s="73"/>
      <c r="AH281" s="73"/>
      <c r="AI281" s="73"/>
      <c r="AJ281" s="73"/>
    </row>
    <row r="282" spans="1:36" s="67" customFormat="1">
      <c r="A282" s="66">
        <v>15280000</v>
      </c>
      <c r="B282" s="67" t="s">
        <v>22</v>
      </c>
      <c r="C282" s="176" t="s">
        <v>997</v>
      </c>
      <c r="D282" s="67">
        <v>1</v>
      </c>
      <c r="E282" s="36" t="s">
        <v>365</v>
      </c>
      <c r="F282" s="177"/>
      <c r="G282" s="177"/>
      <c r="H282" s="177"/>
      <c r="I282" s="177"/>
      <c r="J282" s="198">
        <v>43820</v>
      </c>
      <c r="K282" s="65" t="str">
        <f t="shared" si="134"/>
        <v>SI</v>
      </c>
      <c r="L282" s="139">
        <f t="shared" si="123"/>
        <v>2035000</v>
      </c>
      <c r="M282" s="67">
        <v>2035000</v>
      </c>
      <c r="N282" s="67">
        <v>2035000</v>
      </c>
      <c r="O282" s="139">
        <f t="shared" si="124"/>
        <v>2035000</v>
      </c>
      <c r="P282" s="72">
        <v>15922000</v>
      </c>
      <c r="Q282" s="73" t="s">
        <v>29</v>
      </c>
      <c r="R282" s="67">
        <v>0</v>
      </c>
      <c r="S282" s="67">
        <v>0</v>
      </c>
      <c r="T282" s="139">
        <f t="shared" si="125"/>
        <v>0</v>
      </c>
      <c r="U282" s="60">
        <f t="shared" si="126"/>
        <v>2035000</v>
      </c>
      <c r="V282" s="216">
        <v>5</v>
      </c>
      <c r="W282" s="116">
        <f>IF(ROUND(($W$27-J282)/30,0)&gt;(V282*12),(V282*12),(ROUND(($W$27-J282)/30,0)))-1</f>
        <v>12</v>
      </c>
      <c r="X282" s="116">
        <f t="shared" si="127"/>
        <v>48</v>
      </c>
      <c r="Y282" s="38">
        <f t="shared" si="132"/>
        <v>33916.666666666664</v>
      </c>
      <c r="Z282" s="38">
        <f t="shared" si="128"/>
        <v>407000</v>
      </c>
      <c r="AA282" s="38">
        <f t="shared" si="129"/>
        <v>2035000</v>
      </c>
      <c r="AB282" s="38">
        <f t="shared" si="130"/>
        <v>407000</v>
      </c>
      <c r="AC282" s="38">
        <f t="shared" si="131"/>
        <v>1628000</v>
      </c>
      <c r="AF282" s="73"/>
      <c r="AG282" s="73"/>
      <c r="AH282" s="73"/>
      <c r="AI282" s="73"/>
      <c r="AJ282" s="73"/>
    </row>
    <row r="283" spans="1:36" s="72" customFormat="1">
      <c r="A283" s="66">
        <v>15280000</v>
      </c>
      <c r="B283" s="67" t="s">
        <v>22</v>
      </c>
      <c r="C283" s="222" t="s">
        <v>997</v>
      </c>
      <c r="D283" s="67">
        <v>1</v>
      </c>
      <c r="E283" s="36" t="s">
        <v>365</v>
      </c>
      <c r="F283" s="177"/>
      <c r="G283" s="177"/>
      <c r="H283" s="177"/>
      <c r="I283" s="222"/>
      <c r="J283" s="223">
        <v>43912</v>
      </c>
      <c r="K283" s="65" t="str">
        <f>IF(L283&gt;($M$27*50),"SI","NO")</f>
        <v>SI</v>
      </c>
      <c r="L283" s="139">
        <f t="shared" ref="L283:L288" si="136">M283/D283</f>
        <v>3100056</v>
      </c>
      <c r="M283" s="67">
        <v>3100056</v>
      </c>
      <c r="N283" s="67">
        <v>3100056</v>
      </c>
      <c r="O283" s="139">
        <f t="shared" ref="O283:O288" si="137">IF(K283="SI",N283,0)</f>
        <v>3100056</v>
      </c>
      <c r="P283" s="72">
        <v>15922000</v>
      </c>
      <c r="Q283" s="73" t="s">
        <v>29</v>
      </c>
      <c r="R283" s="67">
        <v>0</v>
      </c>
      <c r="S283" s="67">
        <v>0</v>
      </c>
      <c r="T283" s="139">
        <f t="shared" ref="T283:T288" si="138">IF(O283&gt;0,S283,0)</f>
        <v>0</v>
      </c>
      <c r="U283" s="60">
        <f t="shared" ref="U283:U288" si="139">IF(O283&gt;0,N283-S283,0)</f>
        <v>3100056</v>
      </c>
      <c r="V283" s="148">
        <v>5</v>
      </c>
      <c r="W283" s="116">
        <f t="shared" ref="W283:W286" si="140">IF(ROUND(($W$27-J283)/30,0)&gt;(V283*12),(V283*12),(ROUND(($W$27-J283)/30,0)))</f>
        <v>9</v>
      </c>
      <c r="X283" s="116">
        <f t="shared" ref="X283:X288" si="141">(V283*12)-W283</f>
        <v>51</v>
      </c>
      <c r="Y283" s="38">
        <f t="shared" ref="Y283:Y288" si="142">N283/(V283*12)</f>
        <v>51667.6</v>
      </c>
      <c r="Z283" s="38">
        <f t="shared" ref="Z283:Z288" si="143">IF(U283&gt;0,W283*Y283,0)</f>
        <v>465008.39999999997</v>
      </c>
      <c r="AA283" s="38">
        <f t="shared" ref="AA283:AA288" si="144">ROUND(IF(U283&gt;0,N283,0),0)</f>
        <v>3100056</v>
      </c>
      <c r="AB283" s="38">
        <f t="shared" ref="AB283:AB288" si="145">ROUND(IF(U283&gt;0,Z283,0),0)</f>
        <v>465008</v>
      </c>
      <c r="AC283" s="38">
        <f t="shared" ref="AC283:AC288" si="146">AA283-AB283</f>
        <v>2635048</v>
      </c>
      <c r="AG283" s="73"/>
    </row>
    <row r="284" spans="1:36" s="72" customFormat="1">
      <c r="A284" s="66">
        <v>15280000</v>
      </c>
      <c r="B284" s="67" t="s">
        <v>22</v>
      </c>
      <c r="C284" s="222" t="s">
        <v>997</v>
      </c>
      <c r="D284" s="67">
        <v>1</v>
      </c>
      <c r="E284" s="36" t="s">
        <v>365</v>
      </c>
      <c r="F284" s="177"/>
      <c r="G284" s="177"/>
      <c r="H284" s="177"/>
      <c r="I284" s="222"/>
      <c r="J284" s="223">
        <v>43912</v>
      </c>
      <c r="K284" s="65" t="str">
        <f t="shared" ref="K284:K288" si="147">IF(L284&gt;($M$27*50),"SI","NO")</f>
        <v>SI</v>
      </c>
      <c r="L284" s="139">
        <f t="shared" si="136"/>
        <v>3100056</v>
      </c>
      <c r="M284" s="67">
        <v>3100056</v>
      </c>
      <c r="N284" s="67">
        <v>3100056</v>
      </c>
      <c r="O284" s="139">
        <f t="shared" si="137"/>
        <v>3100056</v>
      </c>
      <c r="P284" s="72">
        <v>15922000</v>
      </c>
      <c r="Q284" s="73" t="s">
        <v>29</v>
      </c>
      <c r="R284" s="67">
        <v>0</v>
      </c>
      <c r="S284" s="67">
        <v>0</v>
      </c>
      <c r="T284" s="139">
        <f t="shared" si="138"/>
        <v>0</v>
      </c>
      <c r="U284" s="60">
        <f t="shared" si="139"/>
        <v>3100056</v>
      </c>
      <c r="V284" s="148">
        <v>5</v>
      </c>
      <c r="W284" s="116">
        <f t="shared" si="140"/>
        <v>9</v>
      </c>
      <c r="X284" s="116">
        <f t="shared" si="141"/>
        <v>51</v>
      </c>
      <c r="Y284" s="38">
        <f t="shared" si="142"/>
        <v>51667.6</v>
      </c>
      <c r="Z284" s="38">
        <f t="shared" si="143"/>
        <v>465008.39999999997</v>
      </c>
      <c r="AA284" s="38">
        <f t="shared" si="144"/>
        <v>3100056</v>
      </c>
      <c r="AB284" s="38">
        <f t="shared" si="145"/>
        <v>465008</v>
      </c>
      <c r="AC284" s="38">
        <f t="shared" si="146"/>
        <v>2635048</v>
      </c>
      <c r="AG284" s="73"/>
    </row>
    <row r="285" spans="1:36" s="72" customFormat="1">
      <c r="A285" s="66">
        <v>15280000</v>
      </c>
      <c r="B285" s="67" t="s">
        <v>22</v>
      </c>
      <c r="C285" s="222" t="s">
        <v>997</v>
      </c>
      <c r="D285" s="67">
        <v>1</v>
      </c>
      <c r="E285" s="36" t="s">
        <v>365</v>
      </c>
      <c r="F285" s="177"/>
      <c r="G285" s="177"/>
      <c r="H285" s="177"/>
      <c r="I285" s="222"/>
      <c r="J285" s="223">
        <v>43945</v>
      </c>
      <c r="K285" s="65" t="str">
        <f t="shared" si="147"/>
        <v>SI</v>
      </c>
      <c r="L285" s="139">
        <f t="shared" si="136"/>
        <v>3100000</v>
      </c>
      <c r="M285" s="67">
        <v>3100000</v>
      </c>
      <c r="N285" s="67">
        <v>3100000</v>
      </c>
      <c r="O285" s="139">
        <f t="shared" si="137"/>
        <v>3100000</v>
      </c>
      <c r="P285" s="72">
        <v>15922000</v>
      </c>
      <c r="Q285" s="73" t="s">
        <v>29</v>
      </c>
      <c r="R285" s="67">
        <v>0</v>
      </c>
      <c r="S285" s="67">
        <v>0</v>
      </c>
      <c r="T285" s="139">
        <f t="shared" si="138"/>
        <v>0</v>
      </c>
      <c r="U285" s="60">
        <f t="shared" si="139"/>
        <v>3100000</v>
      </c>
      <c r="V285" s="148">
        <v>5</v>
      </c>
      <c r="W285" s="116">
        <f t="shared" si="140"/>
        <v>8</v>
      </c>
      <c r="X285" s="116">
        <f t="shared" si="141"/>
        <v>52</v>
      </c>
      <c r="Y285" s="38">
        <f t="shared" si="142"/>
        <v>51666.666666666664</v>
      </c>
      <c r="Z285" s="38">
        <f t="shared" si="143"/>
        <v>413333.33333333331</v>
      </c>
      <c r="AA285" s="38">
        <f t="shared" si="144"/>
        <v>3100000</v>
      </c>
      <c r="AB285" s="38">
        <f t="shared" si="145"/>
        <v>413333</v>
      </c>
      <c r="AC285" s="38">
        <f t="shared" si="146"/>
        <v>2686667</v>
      </c>
      <c r="AG285" s="73"/>
    </row>
    <row r="286" spans="1:36" s="72" customFormat="1">
      <c r="A286" s="66">
        <v>15280000</v>
      </c>
      <c r="B286" s="67" t="s">
        <v>22</v>
      </c>
      <c r="C286" s="222" t="s">
        <v>997</v>
      </c>
      <c r="D286" s="67">
        <v>1</v>
      </c>
      <c r="E286" s="36" t="s">
        <v>365</v>
      </c>
      <c r="F286" s="177"/>
      <c r="G286" s="177"/>
      <c r="H286" s="177"/>
      <c r="I286" s="222"/>
      <c r="J286" s="223">
        <v>44064</v>
      </c>
      <c r="K286" s="65" t="str">
        <f t="shared" si="147"/>
        <v>SI</v>
      </c>
      <c r="L286" s="139">
        <f t="shared" si="136"/>
        <v>4382716</v>
      </c>
      <c r="M286" s="67">
        <v>4382716</v>
      </c>
      <c r="N286" s="67">
        <v>4382716</v>
      </c>
      <c r="O286" s="139">
        <f t="shared" si="137"/>
        <v>4382716</v>
      </c>
      <c r="P286" s="72">
        <v>15922000</v>
      </c>
      <c r="Q286" s="73" t="s">
        <v>29</v>
      </c>
      <c r="R286" s="67">
        <v>0</v>
      </c>
      <c r="S286" s="67">
        <v>0</v>
      </c>
      <c r="T286" s="139">
        <f t="shared" si="138"/>
        <v>0</v>
      </c>
      <c r="U286" s="60">
        <f t="shared" si="139"/>
        <v>4382716</v>
      </c>
      <c r="V286" s="148">
        <v>5</v>
      </c>
      <c r="W286" s="116">
        <f t="shared" si="140"/>
        <v>4</v>
      </c>
      <c r="X286" s="116">
        <f t="shared" si="141"/>
        <v>56</v>
      </c>
      <c r="Y286" s="38">
        <f t="shared" si="142"/>
        <v>73045.266666666663</v>
      </c>
      <c r="Z286" s="38">
        <f t="shared" si="143"/>
        <v>292181.06666666665</v>
      </c>
      <c r="AA286" s="38">
        <f t="shared" si="144"/>
        <v>4382716</v>
      </c>
      <c r="AB286" s="38">
        <f t="shared" si="145"/>
        <v>292181</v>
      </c>
      <c r="AC286" s="38">
        <f t="shared" si="146"/>
        <v>4090535</v>
      </c>
      <c r="AG286" s="73"/>
    </row>
    <row r="287" spans="1:36" s="72" customFormat="1">
      <c r="A287" s="66">
        <v>15280000</v>
      </c>
      <c r="B287" s="67" t="s">
        <v>22</v>
      </c>
      <c r="C287" s="222" t="s">
        <v>997</v>
      </c>
      <c r="D287" s="67">
        <v>1</v>
      </c>
      <c r="E287" s="36" t="s">
        <v>365</v>
      </c>
      <c r="F287" s="177"/>
      <c r="G287" s="177"/>
      <c r="H287" s="177"/>
      <c r="I287" s="222"/>
      <c r="J287" s="223">
        <v>44077</v>
      </c>
      <c r="K287" s="65" t="str">
        <f t="shared" si="147"/>
        <v>SI</v>
      </c>
      <c r="L287" s="139">
        <f t="shared" si="136"/>
        <v>1830000</v>
      </c>
      <c r="M287" s="67">
        <v>1830000</v>
      </c>
      <c r="N287" s="67">
        <v>1830000</v>
      </c>
      <c r="O287" s="139">
        <f t="shared" si="137"/>
        <v>1830000</v>
      </c>
      <c r="P287" s="72">
        <v>15922000</v>
      </c>
      <c r="Q287" s="73" t="s">
        <v>29</v>
      </c>
      <c r="R287" s="67">
        <v>0</v>
      </c>
      <c r="S287" s="67">
        <v>0</v>
      </c>
      <c r="T287" s="139">
        <f t="shared" si="138"/>
        <v>0</v>
      </c>
      <c r="U287" s="60">
        <f t="shared" si="139"/>
        <v>1830000</v>
      </c>
      <c r="V287" s="148">
        <v>5</v>
      </c>
      <c r="W287" s="116">
        <f>IF(ROUND(($W$27-J287)/30,0)&gt;(V287*12),(V287*12),(ROUND(($W$27-J287)/30,0)))-1</f>
        <v>3</v>
      </c>
      <c r="X287" s="116">
        <f t="shared" si="141"/>
        <v>57</v>
      </c>
      <c r="Y287" s="38">
        <f t="shared" si="142"/>
        <v>30500</v>
      </c>
      <c r="Z287" s="38">
        <f t="shared" si="143"/>
        <v>91500</v>
      </c>
      <c r="AA287" s="38">
        <f t="shared" si="144"/>
        <v>1830000</v>
      </c>
      <c r="AB287" s="38">
        <f t="shared" si="145"/>
        <v>91500</v>
      </c>
      <c r="AC287" s="38">
        <f t="shared" si="146"/>
        <v>1738500</v>
      </c>
      <c r="AG287" s="73"/>
    </row>
    <row r="288" spans="1:36" s="72" customFormat="1">
      <c r="A288" s="66">
        <v>15280000</v>
      </c>
      <c r="B288" s="67" t="s">
        <v>22</v>
      </c>
      <c r="C288" s="222" t="s">
        <v>997</v>
      </c>
      <c r="D288" s="67">
        <v>1</v>
      </c>
      <c r="E288" s="36" t="s">
        <v>365</v>
      </c>
      <c r="F288" s="177"/>
      <c r="G288" s="177"/>
      <c r="H288" s="177"/>
      <c r="I288" s="222"/>
      <c r="J288" s="223">
        <v>44077</v>
      </c>
      <c r="K288" s="65" t="str">
        <f t="shared" si="147"/>
        <v>SI</v>
      </c>
      <c r="L288" s="139">
        <f t="shared" si="136"/>
        <v>1830000</v>
      </c>
      <c r="M288" s="67">
        <v>1830000</v>
      </c>
      <c r="N288" s="67">
        <v>1830000</v>
      </c>
      <c r="O288" s="139">
        <f t="shared" si="137"/>
        <v>1830000</v>
      </c>
      <c r="P288" s="72">
        <v>15922000</v>
      </c>
      <c r="Q288" s="73" t="s">
        <v>29</v>
      </c>
      <c r="R288" s="67">
        <v>0</v>
      </c>
      <c r="S288" s="67">
        <v>0</v>
      </c>
      <c r="T288" s="139">
        <f t="shared" si="138"/>
        <v>0</v>
      </c>
      <c r="U288" s="60">
        <f t="shared" si="139"/>
        <v>1830000</v>
      </c>
      <c r="V288" s="148">
        <v>5</v>
      </c>
      <c r="W288" s="116">
        <f>IF(ROUND(($W$27-J288)/30,0)&gt;(V288*12),(V288*12),(ROUND(($W$27-J288)/30,0)))-1</f>
        <v>3</v>
      </c>
      <c r="X288" s="116">
        <f t="shared" si="141"/>
        <v>57</v>
      </c>
      <c r="Y288" s="38">
        <f t="shared" si="142"/>
        <v>30500</v>
      </c>
      <c r="Z288" s="38">
        <f t="shared" si="143"/>
        <v>91500</v>
      </c>
      <c r="AA288" s="38">
        <f t="shared" si="144"/>
        <v>1830000</v>
      </c>
      <c r="AB288" s="38">
        <f t="shared" si="145"/>
        <v>91500</v>
      </c>
      <c r="AC288" s="38">
        <f t="shared" si="146"/>
        <v>1738500</v>
      </c>
      <c r="AG288" s="73"/>
    </row>
    <row r="289" spans="1:33" s="72" customFormat="1"/>
    <row r="290" spans="1:33" s="73" customFormat="1">
      <c r="A290" s="72">
        <v>15400000</v>
      </c>
      <c r="B290" s="73" t="s">
        <v>23</v>
      </c>
      <c r="C290" s="74" t="s">
        <v>998</v>
      </c>
      <c r="D290" s="73">
        <v>1</v>
      </c>
      <c r="E290" s="36" t="s">
        <v>366</v>
      </c>
      <c r="F290" s="144"/>
      <c r="G290" s="144"/>
      <c r="H290" s="144"/>
      <c r="I290" s="170"/>
      <c r="J290" s="77">
        <v>41856</v>
      </c>
      <c r="K290" s="52" t="str">
        <f>IF(L290&gt;($M$22*50),"SI","NO")</f>
        <v>SI</v>
      </c>
      <c r="L290" s="113">
        <f t="shared" ref="L290:L296" si="148">M290/D290</f>
        <v>57841416</v>
      </c>
      <c r="M290" s="73">
        <v>57841416</v>
      </c>
      <c r="N290" s="145">
        <v>57841416</v>
      </c>
      <c r="O290" s="113">
        <f t="shared" ref="O290:O296" si="149">IF(K290="SI",N290,0)</f>
        <v>57841416</v>
      </c>
      <c r="P290" s="72">
        <v>15923500</v>
      </c>
      <c r="Q290" s="73" t="s">
        <v>30</v>
      </c>
      <c r="R290" s="73">
        <v>51093251</v>
      </c>
      <c r="S290" s="73">
        <v>51093251</v>
      </c>
      <c r="T290" s="113">
        <f t="shared" ref="T290:T296" si="150">IF(O290&gt;0,S290,0)</f>
        <v>51093251</v>
      </c>
      <c r="U290" s="38">
        <f t="shared" ref="U290:U296" si="151">IF(O290&gt;0,N290-S290,0)</f>
        <v>6748165</v>
      </c>
      <c r="V290" s="148">
        <v>5</v>
      </c>
      <c r="W290" s="116">
        <f>IF(ROUND(($W$27-J290)/30,0)&gt;(V290*12),(V290*12),(ROUND(($W$27-J290)/30,0)))</f>
        <v>60</v>
      </c>
      <c r="X290" s="116">
        <f t="shared" ref="X290:X296" si="152">(V290*12)-W290</f>
        <v>0</v>
      </c>
      <c r="Y290" s="38">
        <f t="shared" ref="Y290:Y296" si="153">N290/(V290*12)</f>
        <v>964023.6</v>
      </c>
      <c r="Z290" s="38">
        <f t="shared" ref="Z290:Z296" si="154">IF(U290&gt;0,W290*Y290,0)</f>
        <v>57841416</v>
      </c>
      <c r="AA290" s="38">
        <f t="shared" ref="AA290:AA296" si="155">ROUND(IF(U290&gt;0,N290,0),0)</f>
        <v>57841416</v>
      </c>
      <c r="AB290" s="38">
        <f t="shared" ref="AB290:AB296" si="156">ROUND(IF(U290&gt;0,Z290,0),0)</f>
        <v>57841416</v>
      </c>
      <c r="AC290" s="38">
        <f t="shared" ref="AC290:AC296" si="157">AA290-AB290</f>
        <v>0</v>
      </c>
      <c r="AD290" s="67" t="s">
        <v>452</v>
      </c>
    </row>
    <row r="291" spans="1:33" s="73" customFormat="1">
      <c r="A291" s="72">
        <v>15400000</v>
      </c>
      <c r="B291" s="73" t="s">
        <v>23</v>
      </c>
      <c r="C291" s="74" t="s">
        <v>999</v>
      </c>
      <c r="D291" s="73">
        <v>1</v>
      </c>
      <c r="E291" s="36" t="s">
        <v>366</v>
      </c>
      <c r="F291" s="144"/>
      <c r="G291" s="144"/>
      <c r="H291" s="144"/>
      <c r="I291" s="170"/>
      <c r="J291" s="77">
        <v>42714</v>
      </c>
      <c r="K291" s="52" t="str">
        <f>IF(L291&gt;($M$23*50),"SI","NO")</f>
        <v>SI</v>
      </c>
      <c r="L291" s="113">
        <f t="shared" si="148"/>
        <v>39000000</v>
      </c>
      <c r="M291" s="73">
        <v>39000000</v>
      </c>
      <c r="N291" s="145">
        <v>39000000</v>
      </c>
      <c r="O291" s="113">
        <f t="shared" si="149"/>
        <v>39000000</v>
      </c>
      <c r="P291" s="72">
        <v>15923500</v>
      </c>
      <c r="Q291" s="73" t="s">
        <v>30</v>
      </c>
      <c r="R291" s="73">
        <v>16250000</v>
      </c>
      <c r="S291" s="73">
        <v>16250000</v>
      </c>
      <c r="T291" s="113">
        <f t="shared" si="150"/>
        <v>16250000</v>
      </c>
      <c r="U291" s="38">
        <f t="shared" si="151"/>
        <v>22750000</v>
      </c>
      <c r="V291" s="148">
        <v>5</v>
      </c>
      <c r="W291" s="116">
        <f>IF(ROUND(($W$27-J291)/30,0)&gt;(V291*12),(V291*12),(ROUND(($W$27-J291)/30,0)))</f>
        <v>49</v>
      </c>
      <c r="X291" s="116">
        <f t="shared" si="152"/>
        <v>11</v>
      </c>
      <c r="Y291" s="38">
        <f t="shared" si="153"/>
        <v>650000</v>
      </c>
      <c r="Z291" s="38">
        <f t="shared" si="154"/>
        <v>31850000</v>
      </c>
      <c r="AA291" s="38">
        <f t="shared" si="155"/>
        <v>39000000</v>
      </c>
      <c r="AB291" s="38">
        <f t="shared" si="156"/>
        <v>31850000</v>
      </c>
      <c r="AC291" s="38">
        <f t="shared" si="157"/>
        <v>7150000</v>
      </c>
      <c r="AD291" s="67"/>
    </row>
    <row r="292" spans="1:33" s="73" customFormat="1">
      <c r="A292" s="72">
        <v>15400000</v>
      </c>
      <c r="B292" s="73" t="s">
        <v>23</v>
      </c>
      <c r="C292" s="164" t="s">
        <v>1000</v>
      </c>
      <c r="D292" s="73">
        <v>1</v>
      </c>
      <c r="E292" s="36" t="s">
        <v>366</v>
      </c>
      <c r="F292" s="144"/>
      <c r="G292" s="144"/>
      <c r="H292" s="144"/>
      <c r="I292" s="170"/>
      <c r="J292" s="77">
        <v>42614</v>
      </c>
      <c r="K292" s="52" t="str">
        <f>IF(L292&gt;($M$23*50),"SI","NO")</f>
        <v>SI</v>
      </c>
      <c r="L292" s="113">
        <f t="shared" si="148"/>
        <v>1645445608.25</v>
      </c>
      <c r="M292" s="73">
        <v>1645445608.25</v>
      </c>
      <c r="N292" s="145">
        <v>1645445608.25</v>
      </c>
      <c r="O292" s="113">
        <f t="shared" si="149"/>
        <v>1645445608.25</v>
      </c>
      <c r="P292" s="72">
        <v>15923500</v>
      </c>
      <c r="Q292" s="73" t="s">
        <v>30</v>
      </c>
      <c r="R292" s="73">
        <v>383937309</v>
      </c>
      <c r="S292" s="73">
        <v>383937309</v>
      </c>
      <c r="T292" s="113">
        <f t="shared" si="150"/>
        <v>383937309</v>
      </c>
      <c r="U292" s="38">
        <f t="shared" si="151"/>
        <v>1261508299.25</v>
      </c>
      <c r="V292" s="148">
        <v>10</v>
      </c>
      <c r="W292" s="116">
        <f>IF(ROUND(($W$27-J292)/30,0)&gt;(V292*12),(V292*12),(ROUND(($W$27-J292)/30,0)))-1</f>
        <v>52</v>
      </c>
      <c r="X292" s="116">
        <f t="shared" si="152"/>
        <v>68</v>
      </c>
      <c r="Y292" s="38">
        <f t="shared" si="153"/>
        <v>13712046.735416668</v>
      </c>
      <c r="Z292" s="38">
        <f t="shared" si="154"/>
        <v>713026430.24166667</v>
      </c>
      <c r="AA292" s="38">
        <f t="shared" si="155"/>
        <v>1645445608</v>
      </c>
      <c r="AB292" s="38">
        <f t="shared" si="156"/>
        <v>713026430</v>
      </c>
      <c r="AC292" s="38">
        <f t="shared" si="157"/>
        <v>932419178</v>
      </c>
    </row>
    <row r="293" spans="1:33" s="73" customFormat="1">
      <c r="A293" s="72">
        <v>15400000</v>
      </c>
      <c r="B293" s="73" t="s">
        <v>23</v>
      </c>
      <c r="C293" s="171" t="s">
        <v>1000</v>
      </c>
      <c r="D293" s="73">
        <v>1</v>
      </c>
      <c r="E293" s="36" t="s">
        <v>366</v>
      </c>
      <c r="F293" s="144"/>
      <c r="G293" s="144"/>
      <c r="H293" s="144"/>
      <c r="I293" s="170"/>
      <c r="J293" s="77">
        <v>43069</v>
      </c>
      <c r="K293" s="52" t="str">
        <f>IF(L293&gt;($M$24*50),"SI","NO")</f>
        <v>SI</v>
      </c>
      <c r="L293" s="113">
        <f t="shared" si="148"/>
        <v>229968980</v>
      </c>
      <c r="M293" s="73">
        <v>229968980</v>
      </c>
      <c r="N293" s="145">
        <v>229968980</v>
      </c>
      <c r="O293" s="113">
        <f t="shared" si="149"/>
        <v>229968980</v>
      </c>
      <c r="P293" s="72">
        <v>15923500</v>
      </c>
      <c r="Q293" s="73" t="s">
        <v>30</v>
      </c>
      <c r="R293" s="73">
        <v>24913306</v>
      </c>
      <c r="S293" s="73">
        <v>24913306</v>
      </c>
      <c r="T293" s="113">
        <f t="shared" si="150"/>
        <v>24913306</v>
      </c>
      <c r="U293" s="38">
        <f t="shared" si="151"/>
        <v>205055674</v>
      </c>
      <c r="V293" s="148">
        <v>10</v>
      </c>
      <c r="W293" s="116">
        <f>IF(ROUND(($W$27-J293)/30,0)&gt;(V293*12),(V293*12),(ROUND(($W$27-J293)/30,0)))-1</f>
        <v>37</v>
      </c>
      <c r="X293" s="116">
        <f t="shared" si="152"/>
        <v>83</v>
      </c>
      <c r="Y293" s="38">
        <f t="shared" si="153"/>
        <v>1916408.1666666667</v>
      </c>
      <c r="Z293" s="38">
        <f t="shared" si="154"/>
        <v>70907102.166666672</v>
      </c>
      <c r="AA293" s="38">
        <f t="shared" si="155"/>
        <v>229968980</v>
      </c>
      <c r="AB293" s="38">
        <f t="shared" si="156"/>
        <v>70907102</v>
      </c>
      <c r="AC293" s="38">
        <f t="shared" si="157"/>
        <v>159061878</v>
      </c>
    </row>
    <row r="294" spans="1:33" s="73" customFormat="1">
      <c r="A294" s="72">
        <v>15400000</v>
      </c>
      <c r="B294" s="73" t="s">
        <v>23</v>
      </c>
      <c r="C294" s="165" t="s">
        <v>1000</v>
      </c>
      <c r="D294" s="73">
        <v>1</v>
      </c>
      <c r="E294" s="36" t="s">
        <v>366</v>
      </c>
      <c r="F294" s="144"/>
      <c r="G294" s="144"/>
      <c r="H294" s="144"/>
      <c r="I294" s="170"/>
      <c r="J294" s="77">
        <v>43100</v>
      </c>
      <c r="K294" s="52" t="str">
        <f>IF(L294&gt;($M$24*50),"SI","NO")</f>
        <v>SI</v>
      </c>
      <c r="L294" s="113">
        <f t="shared" si="148"/>
        <v>27157894</v>
      </c>
      <c r="M294" s="73">
        <v>27157894</v>
      </c>
      <c r="N294" s="145">
        <v>27157894</v>
      </c>
      <c r="O294" s="113">
        <f t="shared" si="149"/>
        <v>27157894</v>
      </c>
      <c r="P294" s="72">
        <v>15923500</v>
      </c>
      <c r="Q294" s="73" t="s">
        <v>30</v>
      </c>
      <c r="R294" s="73">
        <v>2715789</v>
      </c>
      <c r="S294" s="73">
        <v>2715789</v>
      </c>
      <c r="T294" s="113">
        <f t="shared" si="150"/>
        <v>2715789</v>
      </c>
      <c r="U294" s="38">
        <f t="shared" si="151"/>
        <v>24442105</v>
      </c>
      <c r="V294" s="148">
        <v>10</v>
      </c>
      <c r="W294" s="116">
        <f t="shared" ref="W294:W296" si="158">IF(ROUND(($W$27-J294)/30,0)&gt;(V294*12),(V294*12),(ROUND(($W$27-J294)/30,0)))-1</f>
        <v>36</v>
      </c>
      <c r="X294" s="116">
        <f t="shared" si="152"/>
        <v>84</v>
      </c>
      <c r="Y294" s="38">
        <f t="shared" si="153"/>
        <v>226315.78333333333</v>
      </c>
      <c r="Z294" s="38">
        <f t="shared" si="154"/>
        <v>8147368.1999999993</v>
      </c>
      <c r="AA294" s="38">
        <f t="shared" si="155"/>
        <v>27157894</v>
      </c>
      <c r="AB294" s="38">
        <f t="shared" si="156"/>
        <v>8147368</v>
      </c>
      <c r="AC294" s="38">
        <f t="shared" si="157"/>
        <v>19010526</v>
      </c>
    </row>
    <row r="295" spans="1:33" s="73" customFormat="1">
      <c r="A295" s="72">
        <v>15400000</v>
      </c>
      <c r="B295" s="73" t="s">
        <v>23</v>
      </c>
      <c r="C295" s="74" t="s">
        <v>401</v>
      </c>
      <c r="D295" s="73">
        <v>1</v>
      </c>
      <c r="E295" s="36" t="s">
        <v>366</v>
      </c>
      <c r="F295" s="144"/>
      <c r="G295" s="144"/>
      <c r="H295" s="144"/>
      <c r="I295" s="170"/>
      <c r="J295" s="77">
        <v>43069</v>
      </c>
      <c r="K295" s="52" t="str">
        <f>IF(L295&gt;($M$24*50),"SI","NO")</f>
        <v>SI</v>
      </c>
      <c r="L295" s="113">
        <f t="shared" si="148"/>
        <v>111139802.3</v>
      </c>
      <c r="M295" s="73">
        <v>111139802.3</v>
      </c>
      <c r="N295" s="145">
        <v>111139802.3</v>
      </c>
      <c r="O295" s="113">
        <f t="shared" si="149"/>
        <v>111139802.3</v>
      </c>
      <c r="P295" s="72">
        <v>15923500</v>
      </c>
      <c r="Q295" s="73" t="s">
        <v>30</v>
      </c>
      <c r="R295" s="73">
        <v>12040145</v>
      </c>
      <c r="S295" s="73">
        <v>12040145</v>
      </c>
      <c r="T295" s="113">
        <f t="shared" si="150"/>
        <v>12040145</v>
      </c>
      <c r="U295" s="38">
        <f t="shared" si="151"/>
        <v>99099657.299999997</v>
      </c>
      <c r="V295" s="148">
        <v>10</v>
      </c>
      <c r="W295" s="116">
        <f t="shared" si="158"/>
        <v>37</v>
      </c>
      <c r="X295" s="116">
        <f t="shared" si="152"/>
        <v>83</v>
      </c>
      <c r="Y295" s="38">
        <f t="shared" si="153"/>
        <v>926165.01916666667</v>
      </c>
      <c r="Z295" s="38">
        <f t="shared" si="154"/>
        <v>34268105.709166668</v>
      </c>
      <c r="AA295" s="38">
        <f t="shared" si="155"/>
        <v>111139802</v>
      </c>
      <c r="AB295" s="38">
        <f t="shared" si="156"/>
        <v>34268106</v>
      </c>
      <c r="AC295" s="38">
        <f t="shared" si="157"/>
        <v>76871696</v>
      </c>
    </row>
    <row r="296" spans="1:33" s="73" customFormat="1">
      <c r="A296" s="72">
        <v>15400000</v>
      </c>
      <c r="B296" s="73" t="s">
        <v>23</v>
      </c>
      <c r="C296" s="74" t="s">
        <v>1003</v>
      </c>
      <c r="D296" s="73">
        <v>1</v>
      </c>
      <c r="E296" s="36" t="s">
        <v>366</v>
      </c>
      <c r="F296" s="144"/>
      <c r="G296" s="144"/>
      <c r="H296" s="144"/>
      <c r="I296" s="170"/>
      <c r="J296" s="77">
        <v>43069</v>
      </c>
      <c r="K296" s="52" t="str">
        <f>IF(L296&gt;($M$24*50),"SI","NO")</f>
        <v>SI</v>
      </c>
      <c r="L296" s="113">
        <f t="shared" si="148"/>
        <v>127437000</v>
      </c>
      <c r="M296" s="73">
        <v>127437000</v>
      </c>
      <c r="N296" s="145">
        <v>127437000</v>
      </c>
      <c r="O296" s="113">
        <f t="shared" si="149"/>
        <v>127437000</v>
      </c>
      <c r="P296" s="72">
        <v>15923500</v>
      </c>
      <c r="Q296" s="73" t="s">
        <v>30</v>
      </c>
      <c r="R296" s="73">
        <v>13805675</v>
      </c>
      <c r="S296" s="73">
        <v>13805675</v>
      </c>
      <c r="T296" s="113">
        <f t="shared" si="150"/>
        <v>13805675</v>
      </c>
      <c r="U296" s="38">
        <f t="shared" si="151"/>
        <v>113631325</v>
      </c>
      <c r="V296" s="148">
        <v>10</v>
      </c>
      <c r="W296" s="116">
        <f t="shared" si="158"/>
        <v>37</v>
      </c>
      <c r="X296" s="116">
        <f t="shared" si="152"/>
        <v>83</v>
      </c>
      <c r="Y296" s="38">
        <f t="shared" si="153"/>
        <v>1061975</v>
      </c>
      <c r="Z296" s="38">
        <f t="shared" si="154"/>
        <v>39293075</v>
      </c>
      <c r="AA296" s="38">
        <f t="shared" si="155"/>
        <v>127437000</v>
      </c>
      <c r="AB296" s="38">
        <f t="shared" si="156"/>
        <v>39293075</v>
      </c>
      <c r="AC296" s="38">
        <f t="shared" si="157"/>
        <v>88143925</v>
      </c>
    </row>
    <row r="297" spans="1:33" s="73" customFormat="1">
      <c r="A297" s="72">
        <v>15400000</v>
      </c>
      <c r="B297" s="73" t="s">
        <v>23</v>
      </c>
      <c r="C297" s="167" t="s">
        <v>1002</v>
      </c>
      <c r="D297" s="73">
        <v>1</v>
      </c>
      <c r="E297" s="36" t="s">
        <v>366</v>
      </c>
      <c r="F297" s="144"/>
      <c r="G297" s="144"/>
      <c r="H297" s="144"/>
      <c r="I297" s="170"/>
      <c r="J297" s="168">
        <v>43322</v>
      </c>
      <c r="K297" s="52" t="str">
        <f>IF(L297&gt;($M$24*50),"SI","NO")</f>
        <v>SI</v>
      </c>
      <c r="L297" s="113">
        <f t="shared" ref="L297" si="159">M297/D297</f>
        <v>105912737</v>
      </c>
      <c r="M297" s="73">
        <v>105912737</v>
      </c>
      <c r="N297" s="145">
        <v>105912737</v>
      </c>
      <c r="O297" s="113">
        <f t="shared" ref="O297" si="160">IF(K297="SI",N297,0)</f>
        <v>105912737</v>
      </c>
      <c r="P297" s="72">
        <v>15923500</v>
      </c>
      <c r="Q297" s="73" t="s">
        <v>30</v>
      </c>
      <c r="R297" s="73">
        <v>5516288</v>
      </c>
      <c r="S297" s="73">
        <v>5516288</v>
      </c>
      <c r="T297" s="113">
        <f t="shared" ref="T297" si="161">IF(O297&gt;0,S297,0)</f>
        <v>5516288</v>
      </c>
      <c r="U297" s="38">
        <f t="shared" ref="U297" si="162">IF(O297&gt;0,N297-S297,0)</f>
        <v>100396449</v>
      </c>
      <c r="V297" s="148">
        <v>8</v>
      </c>
      <c r="W297" s="116">
        <f>IF(ROUND(($W$27-J297)/30,0)&gt;(V297*12),(V297*12),(ROUND(($W$27-J297)/30,0)))</f>
        <v>29</v>
      </c>
      <c r="X297" s="116">
        <f t="shared" ref="X297" si="163">(V297*12)-W297</f>
        <v>67</v>
      </c>
      <c r="Y297" s="38">
        <f t="shared" ref="Y297" si="164">N297/(V297*12)</f>
        <v>1103257.6770833333</v>
      </c>
      <c r="Z297" s="38">
        <f t="shared" ref="Z297" si="165">IF(U297&gt;0,W297*Y297,0)</f>
        <v>31994472.635416664</v>
      </c>
      <c r="AA297" s="38">
        <f t="shared" ref="AA297" si="166">ROUND(IF(U297&gt;0,N297,0),0)</f>
        <v>105912737</v>
      </c>
      <c r="AB297" s="38">
        <f t="shared" ref="AB297" si="167">ROUND(IF(U297&gt;0,Z297,0),0)</f>
        <v>31994473</v>
      </c>
      <c r="AC297" s="38">
        <f t="shared" ref="AC297" si="168">AA297-AB297</f>
        <v>73918264</v>
      </c>
    </row>
    <row r="298" spans="1:33" s="72" customFormat="1">
      <c r="A298" s="72">
        <v>15400000</v>
      </c>
      <c r="B298" s="73" t="s">
        <v>23</v>
      </c>
      <c r="C298" s="222" t="s">
        <v>1001</v>
      </c>
      <c r="D298" s="67">
        <v>1</v>
      </c>
      <c r="E298" s="36" t="s">
        <v>366</v>
      </c>
      <c r="F298" s="177"/>
      <c r="G298" s="177"/>
      <c r="H298" s="177"/>
      <c r="I298" s="222"/>
      <c r="J298" s="223">
        <v>44133</v>
      </c>
      <c r="K298" s="65" t="str">
        <f>IF(L298&gt;($M$27*50),"SI","NO")</f>
        <v>SI</v>
      </c>
      <c r="L298" s="139">
        <f t="shared" ref="L298" si="169">M298/D298</f>
        <v>125000000</v>
      </c>
      <c r="M298" s="67">
        <v>125000000</v>
      </c>
      <c r="N298" s="67">
        <v>125000000</v>
      </c>
      <c r="O298" s="139">
        <f t="shared" ref="O298" si="170">IF(K298="SI",N298,0)</f>
        <v>125000000</v>
      </c>
      <c r="P298" s="72">
        <v>15923500</v>
      </c>
      <c r="Q298" s="73" t="s">
        <v>30</v>
      </c>
      <c r="R298" s="67">
        <v>0</v>
      </c>
      <c r="S298" s="67">
        <v>0</v>
      </c>
      <c r="T298" s="139">
        <f t="shared" ref="T298" si="171">IF(O298&gt;0,S298,0)</f>
        <v>0</v>
      </c>
      <c r="U298" s="60">
        <f t="shared" ref="U298" si="172">IF(O298&gt;0,N298-S298,0)</f>
        <v>125000000</v>
      </c>
      <c r="V298" s="148">
        <v>15</v>
      </c>
      <c r="W298" s="116">
        <f t="shared" ref="W298" si="173">IF(ROUND(($W$27-J298)/30,0)&gt;(V298*12),(V298*12),(ROUND(($W$27-J298)/30,0)))</f>
        <v>2</v>
      </c>
      <c r="X298" s="116">
        <f t="shared" ref="X298" si="174">(V298*12)-W298</f>
        <v>178</v>
      </c>
      <c r="Y298" s="38">
        <f t="shared" ref="Y298" si="175">N298/(V298*12)</f>
        <v>694444.4444444445</v>
      </c>
      <c r="Z298" s="38">
        <f t="shared" ref="Z298" si="176">IF(U298&gt;0,W298*Y298,0)</f>
        <v>1388888.888888889</v>
      </c>
      <c r="AA298" s="38">
        <f t="shared" ref="AA298" si="177">ROUND(IF(U298&gt;0,N298,0),0)</f>
        <v>125000000</v>
      </c>
      <c r="AB298" s="38">
        <f t="shared" ref="AB298" si="178">ROUND(IF(U298&gt;0,Z298,0),0)</f>
        <v>1388889</v>
      </c>
      <c r="AC298" s="38">
        <f t="shared" ref="AC298" si="179">AA298-AB298</f>
        <v>123611111</v>
      </c>
      <c r="AG298" s="73"/>
    </row>
    <row r="299" spans="1:33">
      <c r="B299" s="34"/>
      <c r="C299" s="34"/>
      <c r="D299" s="57"/>
      <c r="E299" s="134"/>
      <c r="F299" s="57"/>
      <c r="G299" s="57"/>
      <c r="H299" s="57"/>
      <c r="J299" s="57"/>
    </row>
    <row r="300" spans="1:33">
      <c r="A300" s="23"/>
      <c r="B300" s="34"/>
      <c r="M300" s="40">
        <f>SUM(M30:M299)</f>
        <v>27877723166.439987</v>
      </c>
      <c r="N300" s="40">
        <f>SUM(N30:N299)</f>
        <v>27877723166.439987</v>
      </c>
      <c r="O300" s="40">
        <f>SUM(O30:O299)</f>
        <v>27877723166.439987</v>
      </c>
      <c r="R300" s="40">
        <f>SUM(R30:R299)</f>
        <v>1300036935</v>
      </c>
      <c r="S300" s="40">
        <f>SUM(S30:S299)</f>
        <v>1300036935</v>
      </c>
      <c r="T300" s="40">
        <f>SUM(T30:T299)</f>
        <v>1300036935</v>
      </c>
      <c r="U300" s="40">
        <f>SUM(U30:U299)</f>
        <v>26577686231.439991</v>
      </c>
      <c r="Y300" s="40">
        <f>SUM(Y30:Y299)</f>
        <v>100564663.50829343</v>
      </c>
      <c r="Z300" s="40">
        <f>SUM(Z30:Z299)</f>
        <v>3485567668.2750669</v>
      </c>
      <c r="AA300" s="40">
        <f>SUM(AA30:AA299)</f>
        <v>27877723179</v>
      </c>
      <c r="AB300" s="40">
        <f>SUM(AB30:AB299)</f>
        <v>3485567673</v>
      </c>
      <c r="AC300" s="40">
        <f>SUM(AC30:AC299)</f>
        <v>24392155506</v>
      </c>
    </row>
    <row r="301" spans="1:33">
      <c r="A301" s="23"/>
      <c r="AA301" s="23">
        <f>SUM(C3:C14)-C4</f>
        <v>27877723166.43</v>
      </c>
      <c r="AB301" s="23">
        <f>-SUM(C15:C22)</f>
        <v>3485567668.8200002</v>
      </c>
      <c r="AC301" s="23">
        <f>SUM(C3:C22)-C4</f>
        <v>24392155497.610001</v>
      </c>
    </row>
    <row r="302" spans="1:33">
      <c r="AA302" s="23">
        <f>AA300-AA301</f>
        <v>12.569999694824219</v>
      </c>
      <c r="AB302" s="23">
        <f>AB300-AB301</f>
        <v>4.179999828338623</v>
      </c>
      <c r="AC302" s="23">
        <f>AC300-AC301</f>
        <v>8.3899993896484375</v>
      </c>
    </row>
  </sheetData>
  <mergeCells count="33">
    <mergeCell ref="V28:V29"/>
    <mergeCell ref="W28:W29"/>
    <mergeCell ref="AE28:AE29"/>
    <mergeCell ref="AF28:AF29"/>
    <mergeCell ref="AG28:AG29"/>
    <mergeCell ref="Y28:Y29"/>
    <mergeCell ref="Z28:Z29"/>
    <mergeCell ref="AA28:AA29"/>
    <mergeCell ref="AB28:AB29"/>
    <mergeCell ref="AC28:AC29"/>
    <mergeCell ref="AD28:AD29"/>
    <mergeCell ref="X28:X29"/>
    <mergeCell ref="M28:M29"/>
    <mergeCell ref="N28:N29"/>
    <mergeCell ref="O28:O29"/>
    <mergeCell ref="P28:P29"/>
    <mergeCell ref="Q28:Q29"/>
    <mergeCell ref="S28:S29"/>
    <mergeCell ref="T28:T29"/>
    <mergeCell ref="U28:U29"/>
    <mergeCell ref="F28:F29"/>
    <mergeCell ref="A28:A29"/>
    <mergeCell ref="B28:B29"/>
    <mergeCell ref="C28:C29"/>
    <mergeCell ref="D28:D29"/>
    <mergeCell ref="E28:E29"/>
    <mergeCell ref="R28:R29"/>
    <mergeCell ref="G28:G29"/>
    <mergeCell ref="H28:H29"/>
    <mergeCell ref="I28:I29"/>
    <mergeCell ref="J28:J29"/>
    <mergeCell ref="K28:K29"/>
    <mergeCell ref="L28:L29"/>
  </mergeCells>
  <conditionalFormatting sqref="U38 AA38:AC38 U242:U257 AA242:AC257">
    <cfRule type="cellIs" dxfId="221" priority="107" operator="greaterThan">
      <formula>0</formula>
    </cfRule>
  </conditionalFormatting>
  <conditionalFormatting sqref="U262 AA262:AC262">
    <cfRule type="cellIs" dxfId="220" priority="97" operator="greaterThan">
      <formula>0</formula>
    </cfRule>
  </conditionalFormatting>
  <conditionalFormatting sqref="AA258:AC260 U264:U268 AA264:AC268 U34:U39 AA34:AC39 AA290:AC296 U290:U296">
    <cfRule type="cellIs" dxfId="219" priority="106" operator="greaterThan">
      <formula>0</formula>
    </cfRule>
  </conditionalFormatting>
  <conditionalFormatting sqref="AA43:AC90 U43:U90 U92:U93 AA92:AC93 U258:U261">
    <cfRule type="cellIs" dxfId="218" priority="105" operator="greaterThan">
      <formula>0</formula>
    </cfRule>
  </conditionalFormatting>
  <conditionalFormatting sqref="AA31:AC31 U31">
    <cfRule type="cellIs" dxfId="217" priority="103" operator="greaterThan">
      <formula>0</formula>
    </cfRule>
  </conditionalFormatting>
  <conditionalFormatting sqref="AA33:AC33 U33">
    <cfRule type="cellIs" dxfId="216" priority="101" operator="greaterThan">
      <formula>0</formula>
    </cfRule>
  </conditionalFormatting>
  <conditionalFormatting sqref="U32:U39 AA32:AC39">
    <cfRule type="cellIs" dxfId="215" priority="100" operator="greaterThan">
      <formula>0</formula>
    </cfRule>
  </conditionalFormatting>
  <conditionalFormatting sqref="U41:U42 AA41:AC42">
    <cfRule type="cellIs" dxfId="214" priority="99" operator="greaterThan">
      <formula>0</formula>
    </cfRule>
  </conditionalFormatting>
  <conditionalFormatting sqref="AA38:AC38">
    <cfRule type="cellIs" dxfId="213" priority="98" operator="greaterThan">
      <formula>0</formula>
    </cfRule>
  </conditionalFormatting>
  <conditionalFormatting sqref="AA95 U95 AC95">
    <cfRule type="cellIs" dxfId="212" priority="92" operator="greaterThan">
      <formula>0</formula>
    </cfRule>
  </conditionalFormatting>
  <conditionalFormatting sqref="U40 AA40:AC40">
    <cfRule type="cellIs" dxfId="211" priority="95" operator="greaterThan">
      <formula>0</formula>
    </cfRule>
  </conditionalFormatting>
  <conditionalFormatting sqref="AA94:AC94 U94">
    <cfRule type="cellIs" dxfId="210" priority="93" operator="greaterThan">
      <formula>0</formula>
    </cfRule>
  </conditionalFormatting>
  <conditionalFormatting sqref="AB95">
    <cfRule type="cellIs" dxfId="209" priority="91" operator="greaterThan">
      <formula>0</formula>
    </cfRule>
  </conditionalFormatting>
  <conditionalFormatting sqref="U269 AA269:AC269">
    <cfRule type="cellIs" dxfId="208" priority="90" operator="greaterThan">
      <formula>0</formula>
    </cfRule>
  </conditionalFormatting>
  <conditionalFormatting sqref="U270 AA270:AC270">
    <cfRule type="cellIs" dxfId="207" priority="89" operator="greaterThan">
      <formula>0</formula>
    </cfRule>
  </conditionalFormatting>
  <conditionalFormatting sqref="U96 AA96:AA238 AC96:AC238">
    <cfRule type="cellIs" dxfId="206" priority="88" operator="greaterThan">
      <formula>0</formula>
    </cfRule>
  </conditionalFormatting>
  <conditionalFormatting sqref="AB96:AB238">
    <cfRule type="cellIs" dxfId="205" priority="87" operator="greaterThan">
      <formula>0</formula>
    </cfRule>
  </conditionalFormatting>
  <conditionalFormatting sqref="U271 AA271:AC282">
    <cfRule type="cellIs" dxfId="204" priority="84" operator="greaterThan">
      <formula>0</formula>
    </cfRule>
  </conditionalFormatting>
  <conditionalFormatting sqref="AA263:AC263">
    <cfRule type="cellIs" dxfId="203" priority="82" operator="greaterThan">
      <formula>0</formula>
    </cfRule>
  </conditionalFormatting>
  <conditionalFormatting sqref="U263">
    <cfRule type="cellIs" dxfId="202" priority="81" operator="greaterThan">
      <formula>0</formula>
    </cfRule>
  </conditionalFormatting>
  <conditionalFormatting sqref="U39 AA39:AC39">
    <cfRule type="cellIs" dxfId="201" priority="80" operator="greaterThan">
      <formula>0</formula>
    </cfRule>
  </conditionalFormatting>
  <conditionalFormatting sqref="U30 AA30:AC30">
    <cfRule type="cellIs" dxfId="200" priority="79" operator="greaterThan">
      <formula>0</formula>
    </cfRule>
  </conditionalFormatting>
  <conditionalFormatting sqref="U209:U237 AA209:AC238">
    <cfRule type="cellIs" dxfId="199" priority="78" operator="greaterThan">
      <formula>0</formula>
    </cfRule>
  </conditionalFormatting>
  <conditionalFormatting sqref="AA91:AC91">
    <cfRule type="cellIs" dxfId="198" priority="69" operator="greaterThan">
      <formula>0</formula>
    </cfRule>
  </conditionalFormatting>
  <conditionalFormatting sqref="U115:U208 AA115:AC208">
    <cfRule type="cellIs" dxfId="197" priority="77" operator="greaterThan">
      <formula>0</formula>
    </cfRule>
  </conditionalFormatting>
  <conditionalFormatting sqref="AA98:AC113 U98:U113">
    <cfRule type="cellIs" dxfId="196" priority="76" operator="greaterThan">
      <formula>0</formula>
    </cfRule>
  </conditionalFormatting>
  <conditionalFormatting sqref="AA97:AA113 U97:U113 AC97:AC113">
    <cfRule type="cellIs" dxfId="195" priority="75" operator="greaterThan">
      <formula>0</formula>
    </cfRule>
  </conditionalFormatting>
  <conditionalFormatting sqref="AB97:AB113">
    <cfRule type="cellIs" dxfId="194" priority="74" operator="greaterThan">
      <formula>0</formula>
    </cfRule>
  </conditionalFormatting>
  <conditionalFormatting sqref="AA114:AC189 U114:U189">
    <cfRule type="cellIs" dxfId="193" priority="73" operator="greaterThan">
      <formula>0</formula>
    </cfRule>
  </conditionalFormatting>
  <conditionalFormatting sqref="AA114:AA189 U114:U189 AC114:AC189">
    <cfRule type="cellIs" dxfId="192" priority="72" operator="greaterThan">
      <formula>0</formula>
    </cfRule>
  </conditionalFormatting>
  <conditionalFormatting sqref="AB114:AB189">
    <cfRule type="cellIs" dxfId="191" priority="71" operator="greaterThan">
      <formula>0</formula>
    </cfRule>
  </conditionalFormatting>
  <conditionalFormatting sqref="U91">
    <cfRule type="cellIs" dxfId="190" priority="70" operator="greaterThan">
      <formula>0</formula>
    </cfRule>
  </conditionalFormatting>
  <conditionalFormatting sqref="AB272:AB273">
    <cfRule type="cellIs" dxfId="189" priority="66" operator="greaterThan">
      <formula>0</formula>
    </cfRule>
  </conditionalFormatting>
  <conditionalFormatting sqref="AA272:AC273 U272:U273">
    <cfRule type="cellIs" dxfId="188" priority="68" operator="greaterThan">
      <formula>0</formula>
    </cfRule>
  </conditionalFormatting>
  <conditionalFormatting sqref="AA272:AA273 U272:U273 AC272:AC273">
    <cfRule type="cellIs" dxfId="187" priority="67" operator="greaterThan">
      <formula>0</formula>
    </cfRule>
  </conditionalFormatting>
  <conditionalFormatting sqref="AB274:AB275">
    <cfRule type="cellIs" dxfId="186" priority="63" operator="greaterThan">
      <formula>0</formula>
    </cfRule>
  </conditionalFormatting>
  <conditionalFormatting sqref="AA274:AC275 U274:U275">
    <cfRule type="cellIs" dxfId="185" priority="65" operator="greaterThan">
      <formula>0</formula>
    </cfRule>
  </conditionalFormatting>
  <conditionalFormatting sqref="AA274:AA275 U274:U275 AC274:AC275">
    <cfRule type="cellIs" dxfId="184" priority="64" operator="greaterThan">
      <formula>0</formula>
    </cfRule>
  </conditionalFormatting>
  <conditionalFormatting sqref="AB276">
    <cfRule type="cellIs" dxfId="183" priority="60" operator="greaterThan">
      <formula>0</formula>
    </cfRule>
  </conditionalFormatting>
  <conditionalFormatting sqref="AA276:AC276 U276">
    <cfRule type="cellIs" dxfId="182" priority="62" operator="greaterThan">
      <formula>0</formula>
    </cfRule>
  </conditionalFormatting>
  <conditionalFormatting sqref="AA276 U276 AC276">
    <cfRule type="cellIs" dxfId="181" priority="61" operator="greaterThan">
      <formula>0</formula>
    </cfRule>
  </conditionalFormatting>
  <conditionalFormatting sqref="AB277">
    <cfRule type="cellIs" dxfId="180" priority="57" operator="greaterThan">
      <formula>0</formula>
    </cfRule>
  </conditionalFormatting>
  <conditionalFormatting sqref="AA277:AC277 U277">
    <cfRule type="cellIs" dxfId="179" priority="59" operator="greaterThan">
      <formula>0</formula>
    </cfRule>
  </conditionalFormatting>
  <conditionalFormatting sqref="AA277 U277 AC277">
    <cfRule type="cellIs" dxfId="178" priority="58" operator="greaterThan">
      <formula>0</formula>
    </cfRule>
  </conditionalFormatting>
  <conditionalFormatting sqref="AB278">
    <cfRule type="cellIs" dxfId="177" priority="54" operator="greaterThan">
      <formula>0</formula>
    </cfRule>
  </conditionalFormatting>
  <conditionalFormatting sqref="AA278:AC278 U278">
    <cfRule type="cellIs" dxfId="176" priority="56" operator="greaterThan">
      <formula>0</formula>
    </cfRule>
  </conditionalFormatting>
  <conditionalFormatting sqref="AA278 U278 AC278">
    <cfRule type="cellIs" dxfId="175" priority="55" operator="greaterThan">
      <formula>0</formula>
    </cfRule>
  </conditionalFormatting>
  <conditionalFormatting sqref="AB279:AB282">
    <cfRule type="cellIs" dxfId="174" priority="51" operator="greaterThan">
      <formula>0</formula>
    </cfRule>
  </conditionalFormatting>
  <conditionalFormatting sqref="AA279:AC282 U279:U282">
    <cfRule type="cellIs" dxfId="173" priority="53" operator="greaterThan">
      <formula>0</formula>
    </cfRule>
  </conditionalFormatting>
  <conditionalFormatting sqref="AA279:AA282 U279:U282 AC279:AC282">
    <cfRule type="cellIs" dxfId="172" priority="52" operator="greaterThan">
      <formula>0</formula>
    </cfRule>
  </conditionalFormatting>
  <conditionalFormatting sqref="AA283:AA288 AC283:AC288">
    <cfRule type="cellIs" dxfId="171" priority="34" operator="greaterThan">
      <formula>0</formula>
    </cfRule>
  </conditionalFormatting>
  <conditionalFormatting sqref="U283:U288">
    <cfRule type="cellIs" dxfId="170" priority="30" operator="greaterThan">
      <formula>0</formula>
    </cfRule>
  </conditionalFormatting>
  <conditionalFormatting sqref="U283:U288">
    <cfRule type="cellIs" dxfId="169" priority="29" operator="greaterThan">
      <formula>0</formula>
    </cfRule>
  </conditionalFormatting>
  <conditionalFormatting sqref="U209:U238">
    <cfRule type="cellIs" dxfId="168" priority="26" operator="greaterThan">
      <formula>0</formula>
    </cfRule>
  </conditionalFormatting>
  <conditionalFormatting sqref="U297">
    <cfRule type="cellIs" dxfId="167" priority="25" operator="greaterThan">
      <formula>0</formula>
    </cfRule>
  </conditionalFormatting>
  <conditionalFormatting sqref="AA297:AC297">
    <cfRule type="cellIs" dxfId="166" priority="24" operator="greaterThan">
      <formula>0</formula>
    </cfRule>
  </conditionalFormatting>
  <conditionalFormatting sqref="AA261 AC261">
    <cfRule type="cellIs" dxfId="165" priority="38" operator="greaterThan">
      <formula>0</formula>
    </cfRule>
  </conditionalFormatting>
  <conditionalFormatting sqref="AB261">
    <cfRule type="cellIs" dxfId="164" priority="37" operator="greaterThan">
      <formula>0</formula>
    </cfRule>
  </conditionalFormatting>
  <conditionalFormatting sqref="AA261:AC261">
    <cfRule type="cellIs" dxfId="163" priority="36" operator="greaterThan">
      <formula>0</formula>
    </cfRule>
  </conditionalFormatting>
  <conditionalFormatting sqref="AB283:AB288">
    <cfRule type="cellIs" dxfId="162" priority="33" operator="greaterThan">
      <formula>0</formula>
    </cfRule>
  </conditionalFormatting>
  <conditionalFormatting sqref="AA283:AC288">
    <cfRule type="cellIs" dxfId="161" priority="32" operator="greaterThan">
      <formula>0</formula>
    </cfRule>
  </conditionalFormatting>
  <conditionalFormatting sqref="U261">
    <cfRule type="cellIs" dxfId="160" priority="39" operator="greaterThan">
      <formula>0</formula>
    </cfRule>
  </conditionalFormatting>
  <conditionalFormatting sqref="U239">
    <cfRule type="cellIs" dxfId="159" priority="12" operator="greaterThan">
      <formula>0</formula>
    </cfRule>
  </conditionalFormatting>
  <conditionalFormatting sqref="U209:U238">
    <cfRule type="cellIs" dxfId="158" priority="27" operator="greaterThan">
      <formula>0</formula>
    </cfRule>
  </conditionalFormatting>
  <conditionalFormatting sqref="U284:U288">
    <cfRule type="cellIs" dxfId="157" priority="35" operator="greaterThan">
      <formula>0</formula>
    </cfRule>
  </conditionalFormatting>
  <conditionalFormatting sqref="U289 AA289:AC289">
    <cfRule type="cellIs" dxfId="156" priority="31" operator="greaterThan">
      <formula>0</formula>
    </cfRule>
  </conditionalFormatting>
  <conditionalFormatting sqref="AA298 AC298">
    <cfRule type="cellIs" dxfId="155" priority="21" operator="greaterThan">
      <formula>0</formula>
    </cfRule>
  </conditionalFormatting>
  <conditionalFormatting sqref="AB298">
    <cfRule type="cellIs" dxfId="154" priority="20" operator="greaterThan">
      <formula>0</formula>
    </cfRule>
  </conditionalFormatting>
  <conditionalFormatting sqref="AA298:AC298">
    <cfRule type="cellIs" dxfId="153" priority="19" operator="greaterThan">
      <formula>0</formula>
    </cfRule>
  </conditionalFormatting>
  <conditionalFormatting sqref="U298">
    <cfRule type="cellIs" dxfId="152" priority="22" operator="greaterThan">
      <formula>0</formula>
    </cfRule>
  </conditionalFormatting>
  <conditionalFormatting sqref="U298">
    <cfRule type="cellIs" dxfId="151" priority="18" operator="greaterThan">
      <formula>0</formula>
    </cfRule>
  </conditionalFormatting>
  <conditionalFormatting sqref="U298">
    <cfRule type="cellIs" dxfId="150" priority="17" operator="greaterThan">
      <formula>0</formula>
    </cfRule>
  </conditionalFormatting>
  <conditionalFormatting sqref="AA239 AC239">
    <cfRule type="cellIs" dxfId="149" priority="15" operator="greaterThan">
      <formula>0</formula>
    </cfRule>
  </conditionalFormatting>
  <conditionalFormatting sqref="AB239">
    <cfRule type="cellIs" dxfId="148" priority="14" operator="greaterThan">
      <formula>0</formula>
    </cfRule>
  </conditionalFormatting>
  <conditionalFormatting sqref="AA239:AC239">
    <cfRule type="cellIs" dxfId="147" priority="13" operator="greaterThan">
      <formula>0</formula>
    </cfRule>
  </conditionalFormatting>
  <conditionalFormatting sqref="U239">
    <cfRule type="cellIs" dxfId="146" priority="11" operator="greaterThan">
      <formula>0</formula>
    </cfRule>
  </conditionalFormatting>
  <conditionalFormatting sqref="AA240 AC240">
    <cfRule type="cellIs" dxfId="145" priority="10" operator="greaterThan">
      <formula>0</formula>
    </cfRule>
  </conditionalFormatting>
  <conditionalFormatting sqref="AB240">
    <cfRule type="cellIs" dxfId="144" priority="9" operator="greaterThan">
      <formula>0</formula>
    </cfRule>
  </conditionalFormatting>
  <conditionalFormatting sqref="AA240:AC240">
    <cfRule type="cellIs" dxfId="143" priority="8" operator="greaterThan">
      <formula>0</formula>
    </cfRule>
  </conditionalFormatting>
  <conditionalFormatting sqref="U240">
    <cfRule type="cellIs" dxfId="142" priority="7" operator="greaterThan">
      <formula>0</formula>
    </cfRule>
  </conditionalFormatting>
  <conditionalFormatting sqref="U240">
    <cfRule type="cellIs" dxfId="141" priority="6" operator="greaterThan">
      <formula>0</formula>
    </cfRule>
  </conditionalFormatting>
  <conditionalFormatting sqref="AA241:AA256 AC241:AC256">
    <cfRule type="cellIs" dxfId="140" priority="5" operator="greaterThan">
      <formula>0</formula>
    </cfRule>
  </conditionalFormatting>
  <conditionalFormatting sqref="AB241:AB256">
    <cfRule type="cellIs" dxfId="139" priority="4" operator="greaterThan">
      <formula>0</formula>
    </cfRule>
  </conditionalFormatting>
  <conditionalFormatting sqref="AA241:AC256">
    <cfRule type="cellIs" dxfId="138" priority="3" operator="greaterThan">
      <formula>0</formula>
    </cfRule>
  </conditionalFormatting>
  <conditionalFormatting sqref="U241:U256">
    <cfRule type="cellIs" dxfId="137" priority="2" operator="greaterThan">
      <formula>0</formula>
    </cfRule>
  </conditionalFormatting>
  <conditionalFormatting sqref="U241:U256">
    <cfRule type="cellIs" dxfId="136" priority="1" operator="greaterThan">
      <formula>0</formula>
    </cfRule>
  </conditionalFormatting>
  <dataValidations count="2">
    <dataValidation type="list" allowBlank="1" showInputMessage="1" showErrorMessage="1" sqref="E30 E258:E261 E32:E39 E41:E256 E263:E288 E290:E298" xr:uid="{6C2E2DCA-35FF-0C48-A46D-A3723D5D3018}">
      <formula1>$XFD$1:$XFD$9</formula1>
    </dataValidation>
    <dataValidation type="list" allowBlank="1" showInputMessage="1" showErrorMessage="1" sqref="E299" xr:uid="{EB935FA6-60C1-5245-8A1C-4CBCB7932F9D}">
      <formula1>#REF!</formula1>
    </dataValidation>
  </dataValidation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BAB95-BB6E-DA4E-A8E3-6422EB1380EA}">
  <dimension ref="A1:XFC346"/>
  <sheetViews>
    <sheetView workbookViewId="0"/>
  </sheetViews>
  <sheetFormatPr baseColWidth="10" defaultRowHeight="15"/>
  <cols>
    <col min="1" max="1" width="10.5" style="22" customWidth="1"/>
    <col min="2" max="2" width="31.375" style="23" customWidth="1"/>
    <col min="3" max="3" width="18" style="23" customWidth="1"/>
    <col min="4" max="4" width="13.125" style="49" customWidth="1"/>
    <col min="5" max="5" width="20.875" style="23" customWidth="1"/>
    <col min="6" max="6" width="12.625" style="49" customWidth="1"/>
    <col min="7" max="7" width="14.625" style="49" customWidth="1"/>
    <col min="8" max="9" width="12.625" style="49" customWidth="1"/>
    <col min="10" max="10" width="14.625" style="49" customWidth="1"/>
    <col min="11" max="11" width="15.625" style="23" customWidth="1"/>
    <col min="12" max="13" width="13.875" style="23" customWidth="1"/>
    <col min="14" max="14" width="15.125" style="23" customWidth="1"/>
    <col min="15" max="15" width="13.875" style="23" customWidth="1"/>
    <col min="16" max="16" width="9" style="23" customWidth="1"/>
    <col min="17" max="17" width="30.625" style="23" customWidth="1"/>
    <col min="18" max="20" width="12.625" style="23" customWidth="1"/>
    <col min="21" max="21" width="15.125" style="23" customWidth="1"/>
    <col min="22" max="26" width="12.625" style="23" customWidth="1"/>
    <col min="27" max="27" width="13.875" style="23" bestFit="1" customWidth="1"/>
    <col min="28" max="28" width="12.625" style="23" customWidth="1"/>
    <col min="29" max="29" width="13.875" style="23" bestFit="1" customWidth="1"/>
    <col min="30" max="30" width="50.875" style="23" customWidth="1"/>
    <col min="31" max="31" width="12.625" style="23" bestFit="1" customWidth="1"/>
    <col min="32" max="32" width="12.875" style="23" bestFit="1" customWidth="1"/>
    <col min="33" max="34" width="12.625" style="23" bestFit="1" customWidth="1"/>
    <col min="35" max="35" width="11.125" style="23" bestFit="1" customWidth="1"/>
    <col min="36" max="16347" width="10.875" style="23"/>
    <col min="16348" max="16348" width="25.5" style="23" bestFit="1" customWidth="1"/>
    <col min="16349" max="16382" width="10.875" style="23"/>
    <col min="16383" max="16383" width="32.5" style="23" bestFit="1" customWidth="1"/>
    <col min="16384" max="16384" width="32.5" style="23" customWidth="1"/>
  </cols>
  <sheetData>
    <row r="1" spans="1:10 16348:16383">
      <c r="C1" s="24" t="s">
        <v>1061</v>
      </c>
      <c r="D1" s="23"/>
      <c r="F1" s="23"/>
      <c r="G1" s="23"/>
      <c r="H1" s="23"/>
      <c r="I1" s="23"/>
      <c r="J1" s="23"/>
      <c r="XFC1" s="27" t="s">
        <v>361</v>
      </c>
    </row>
    <row r="2" spans="1:10 16348:16383">
      <c r="A2" s="337" t="s">
        <v>201</v>
      </c>
      <c r="B2" s="24" t="s">
        <v>202</v>
      </c>
      <c r="C2" s="24" t="s">
        <v>1030</v>
      </c>
      <c r="D2" s="24" t="s">
        <v>203</v>
      </c>
      <c r="E2" s="24" t="s">
        <v>261</v>
      </c>
      <c r="F2" s="23"/>
      <c r="G2" s="23"/>
      <c r="H2" s="23"/>
      <c r="I2" s="23"/>
      <c r="J2" s="23"/>
      <c r="XFC2" s="27" t="s">
        <v>362</v>
      </c>
    </row>
    <row r="3" spans="1:10 16348:16383">
      <c r="A3" s="22">
        <v>15040000</v>
      </c>
      <c r="B3" s="23" t="s">
        <v>14</v>
      </c>
      <c r="C3" s="23">
        <v>1694129760</v>
      </c>
      <c r="D3" s="23">
        <f ca="1">SUMIF($A$28:$N$343,A3,$N$28:$N$343)-C3</f>
        <v>0</v>
      </c>
      <c r="E3" s="23">
        <f>C3-'HW PYMES'!M29</f>
        <v>0</v>
      </c>
      <c r="F3" s="23"/>
      <c r="G3" s="23"/>
      <c r="H3" s="23"/>
      <c r="I3" s="23"/>
      <c r="J3" s="23"/>
      <c r="XFC3" s="27" t="s">
        <v>363</v>
      </c>
    </row>
    <row r="4" spans="1:10 16348:16383">
      <c r="A4" s="22">
        <v>19100400</v>
      </c>
      <c r="B4" s="23" t="s">
        <v>715</v>
      </c>
      <c r="C4" s="23">
        <v>5956220240</v>
      </c>
      <c r="D4" s="138">
        <f>AE30-C3-C4</f>
        <v>0</v>
      </c>
      <c r="E4" s="23">
        <f>C4-'HW PYMES'!M30</f>
        <v>0</v>
      </c>
      <c r="F4" s="23"/>
      <c r="G4" s="23"/>
      <c r="H4" s="23"/>
      <c r="I4" s="23"/>
      <c r="J4" s="23"/>
      <c r="XFC4" s="27" t="s">
        <v>364</v>
      </c>
    </row>
    <row r="5" spans="1:10 16348:16383">
      <c r="A5" s="22">
        <v>15080000</v>
      </c>
      <c r="B5" s="23" t="s">
        <v>159</v>
      </c>
      <c r="C5" s="23">
        <v>96606601.320000023</v>
      </c>
      <c r="D5" s="23">
        <f t="shared" ref="D5:D14" ca="1" si="0">SUMIF($A$28:$N$343,A5,$N$28:$N$343)-C5</f>
        <v>0</v>
      </c>
      <c r="E5" s="23">
        <f>C5-'HW PYMES'!M31</f>
        <v>0</v>
      </c>
      <c r="F5" s="23"/>
      <c r="G5" s="23"/>
      <c r="H5" s="23"/>
      <c r="I5" s="23"/>
      <c r="J5" s="23"/>
      <c r="XFC5" s="27" t="s">
        <v>21</v>
      </c>
    </row>
    <row r="6" spans="1:10 16348:16383">
      <c r="A6" s="22">
        <v>15080500</v>
      </c>
      <c r="B6" s="23" t="s">
        <v>16</v>
      </c>
      <c r="C6" s="23">
        <v>0</v>
      </c>
      <c r="D6" s="23">
        <f t="shared" ca="1" si="0"/>
        <v>0</v>
      </c>
      <c r="E6" s="23">
        <f>C6-'HW PYMES'!M32</f>
        <v>0</v>
      </c>
      <c r="F6" s="23"/>
      <c r="G6" s="23"/>
      <c r="H6" s="23"/>
      <c r="I6" s="23"/>
      <c r="J6" s="23"/>
      <c r="XFC6" s="27" t="s">
        <v>365</v>
      </c>
    </row>
    <row r="7" spans="1:10 16348:16383">
      <c r="A7" s="22">
        <v>15160000</v>
      </c>
      <c r="B7" s="23" t="s">
        <v>17</v>
      </c>
      <c r="C7" s="23">
        <v>767877668.79999995</v>
      </c>
      <c r="D7" s="23">
        <f t="shared" ca="1" si="0"/>
        <v>0</v>
      </c>
      <c r="E7" s="23">
        <f>C7-'HW PYMES'!M33</f>
        <v>0</v>
      </c>
      <c r="F7" s="23"/>
      <c r="G7" s="23"/>
      <c r="H7" s="23"/>
      <c r="I7" s="23"/>
      <c r="J7" s="23"/>
      <c r="XFC7" s="27" t="s">
        <v>366</v>
      </c>
    </row>
    <row r="8" spans="1:10 16348:16383">
      <c r="A8" s="22">
        <v>15161000</v>
      </c>
      <c r="B8" s="23" t="s">
        <v>18</v>
      </c>
      <c r="C8" s="23">
        <v>7757906220</v>
      </c>
      <c r="D8" s="23">
        <f t="shared" ca="1" si="0"/>
        <v>0</v>
      </c>
      <c r="E8" s="23">
        <f>C8-'HW PYMES'!M34</f>
        <v>0</v>
      </c>
      <c r="F8" s="23"/>
      <c r="G8" s="23"/>
      <c r="H8" s="23"/>
      <c r="I8" s="23"/>
      <c r="J8" s="23"/>
      <c r="XFC8" s="27" t="s">
        <v>367</v>
      </c>
    </row>
    <row r="9" spans="1:10 16348:16383">
      <c r="A9" s="22">
        <v>15162000</v>
      </c>
      <c r="B9" s="23" t="s">
        <v>19</v>
      </c>
      <c r="C9" s="23">
        <v>743858138.86000001</v>
      </c>
      <c r="D9" s="23">
        <f t="shared" ca="1" si="0"/>
        <v>0</v>
      </c>
      <c r="E9" s="23">
        <f>C9-'HW PYMES'!M35</f>
        <v>0</v>
      </c>
      <c r="F9" s="23"/>
      <c r="G9" s="23"/>
      <c r="H9" s="23"/>
      <c r="I9" s="23"/>
      <c r="J9" s="23"/>
      <c r="XFC9" s="27" t="s">
        <v>368</v>
      </c>
    </row>
    <row r="10" spans="1:10 16348:16383">
      <c r="A10" s="22">
        <v>15200000</v>
      </c>
      <c r="B10" s="23" t="s">
        <v>20</v>
      </c>
      <c r="C10" s="23">
        <v>14863067671.169998</v>
      </c>
      <c r="D10" s="23">
        <f t="shared" ca="1" si="0"/>
        <v>1.001739501953125E-2</v>
      </c>
      <c r="E10" s="23">
        <f>C10-'HW PYMES'!M36</f>
        <v>0</v>
      </c>
      <c r="F10" s="23"/>
      <c r="G10" s="23"/>
      <c r="H10" s="23"/>
      <c r="I10" s="23"/>
      <c r="J10" s="23"/>
      <c r="XDT10" s="27"/>
    </row>
    <row r="11" spans="1:10 16348:16383">
      <c r="A11" s="22">
        <v>15210000</v>
      </c>
      <c r="B11" s="23" t="s">
        <v>716</v>
      </c>
      <c r="C11" s="23">
        <v>26369067</v>
      </c>
      <c r="D11" s="23">
        <f t="shared" ca="1" si="0"/>
        <v>0</v>
      </c>
      <c r="E11" s="23">
        <f>C11-'HW PYMES'!M37</f>
        <v>0</v>
      </c>
      <c r="F11" s="23"/>
      <c r="G11" s="23"/>
      <c r="H11" s="23"/>
      <c r="I11" s="23"/>
      <c r="J11" s="23"/>
      <c r="XDT11" s="27"/>
    </row>
    <row r="12" spans="1:10 16348:16383">
      <c r="A12" s="22">
        <v>15240000</v>
      </c>
      <c r="B12" s="23" t="s">
        <v>21</v>
      </c>
      <c r="C12" s="23">
        <v>48053988</v>
      </c>
      <c r="D12" s="23">
        <f t="shared" ca="1" si="0"/>
        <v>0</v>
      </c>
      <c r="E12" s="23">
        <f>C12-'HW PYMES'!M38</f>
        <v>0</v>
      </c>
      <c r="F12" s="23"/>
      <c r="G12" s="23"/>
      <c r="H12" s="23"/>
      <c r="I12" s="23"/>
      <c r="J12" s="23"/>
      <c r="XDT12" s="27"/>
    </row>
    <row r="13" spans="1:10 16348:16383">
      <c r="A13" s="22">
        <v>15280000</v>
      </c>
      <c r="B13" s="23" t="s">
        <v>22</v>
      </c>
      <c r="C13" s="23">
        <v>170561839.44999999</v>
      </c>
      <c r="D13" s="23">
        <f t="shared" ca="1" si="0"/>
        <v>0</v>
      </c>
      <c r="E13" s="23">
        <f>C13-'HW PYMES'!M39</f>
        <v>0</v>
      </c>
      <c r="F13" s="23"/>
      <c r="G13" s="23"/>
      <c r="H13" s="23"/>
      <c r="I13" s="23"/>
      <c r="J13" s="23"/>
      <c r="XDT13" s="27"/>
    </row>
    <row r="14" spans="1:10 16348:16383">
      <c r="A14" s="22">
        <v>15400000</v>
      </c>
      <c r="B14" s="23" t="s">
        <v>23</v>
      </c>
      <c r="C14" s="23">
        <v>2468903437.5500002</v>
      </c>
      <c r="D14" s="23">
        <f t="shared" ca="1" si="0"/>
        <v>0</v>
      </c>
      <c r="E14" s="23">
        <f>C14-'HW PYMES'!M40</f>
        <v>0</v>
      </c>
      <c r="F14" s="23"/>
      <c r="G14" s="23"/>
      <c r="H14" s="23"/>
      <c r="I14" s="23"/>
      <c r="J14" s="23"/>
      <c r="XDT14" s="27"/>
    </row>
    <row r="15" spans="1:10 16348:16383">
      <c r="A15" s="22">
        <v>15920500</v>
      </c>
      <c r="B15" s="23" t="s">
        <v>24</v>
      </c>
      <c r="C15" s="23">
        <v>-69677788.480000004</v>
      </c>
      <c r="D15" s="23">
        <f t="shared" ref="D15:D22" ca="1" si="1">SUMIF($P$28:$AB$343,A15,$AB$28:$AB$343)+C15</f>
        <v>-0.48000000417232513</v>
      </c>
      <c r="E15" s="23">
        <f>C15-'HW PYMES'!M41</f>
        <v>0</v>
      </c>
      <c r="F15" s="23"/>
      <c r="G15" s="23"/>
      <c r="H15" s="23"/>
      <c r="I15" s="23"/>
      <c r="J15" s="23"/>
      <c r="XDT15" s="27"/>
    </row>
    <row r="16" spans="1:10 16348:16383">
      <c r="A16" s="22">
        <v>15920600</v>
      </c>
      <c r="B16" s="23" t="s">
        <v>25</v>
      </c>
      <c r="C16" s="23">
        <v>-703958157</v>
      </c>
      <c r="D16" s="23">
        <f t="shared" ca="1" si="1"/>
        <v>0</v>
      </c>
      <c r="E16" s="23">
        <f>C16-'HW PYMES'!M42</f>
        <v>0</v>
      </c>
      <c r="F16" s="23"/>
      <c r="G16" s="23"/>
      <c r="H16" s="23"/>
      <c r="I16" s="23"/>
      <c r="J16" s="23"/>
      <c r="XDT16" s="27"/>
    </row>
    <row r="17" spans="1:16383">
      <c r="A17" s="22">
        <v>15920700</v>
      </c>
      <c r="B17" s="23" t="s">
        <v>26</v>
      </c>
      <c r="C17" s="23">
        <v>-65370534.93</v>
      </c>
      <c r="D17" s="23">
        <f t="shared" ca="1" si="1"/>
        <v>-0.92999999970197678</v>
      </c>
      <c r="E17" s="23">
        <f>C17-'HW PYMES'!M43</f>
        <v>0</v>
      </c>
      <c r="F17" s="23"/>
      <c r="G17" s="23"/>
      <c r="H17" s="23"/>
      <c r="I17" s="23"/>
      <c r="J17" s="23"/>
      <c r="XDT17" s="27"/>
    </row>
    <row r="18" spans="1:16383">
      <c r="A18" s="22">
        <v>15921000</v>
      </c>
      <c r="B18" s="23" t="s">
        <v>717</v>
      </c>
      <c r="C18" s="23">
        <v>-2532046127.3200002</v>
      </c>
      <c r="D18" s="23">
        <f t="shared" ca="1" si="1"/>
        <v>-23.320000171661377</v>
      </c>
      <c r="E18" s="23">
        <f>C18-'HW PYMES'!M44</f>
        <v>0</v>
      </c>
      <c r="F18" s="23"/>
      <c r="G18" s="23"/>
      <c r="H18" s="23"/>
      <c r="I18" s="23"/>
      <c r="J18" s="23"/>
      <c r="XDT18" s="27"/>
    </row>
    <row r="19" spans="1:16383">
      <c r="A19" s="22">
        <v>15921100</v>
      </c>
      <c r="B19" s="23" t="s">
        <v>718</v>
      </c>
      <c r="C19" s="23">
        <v>-1114924.8499999996</v>
      </c>
      <c r="D19" s="23">
        <f t="shared" ca="1" si="1"/>
        <v>0.15000000037252903</v>
      </c>
      <c r="E19" s="23">
        <f>C19-'HW PYMES'!M45</f>
        <v>0</v>
      </c>
      <c r="F19" s="23"/>
      <c r="G19" s="23"/>
      <c r="H19" s="23"/>
      <c r="I19" s="23"/>
      <c r="J19" s="23"/>
      <c r="XDT19" s="27"/>
    </row>
    <row r="20" spans="1:16383">
      <c r="A20" s="22">
        <v>15921500</v>
      </c>
      <c r="B20" s="23" t="s">
        <v>28</v>
      </c>
      <c r="C20" s="23">
        <v>-19938365.629999999</v>
      </c>
      <c r="D20" s="23">
        <f t="shared" ca="1" si="1"/>
        <v>0.37000000104308128</v>
      </c>
      <c r="E20" s="23">
        <f>C20-'HW PYMES'!M46</f>
        <v>0</v>
      </c>
      <c r="F20" s="23"/>
      <c r="G20" s="23"/>
      <c r="H20" s="23"/>
      <c r="I20" s="23"/>
      <c r="J20" s="23"/>
      <c r="XDT20" s="27"/>
    </row>
    <row r="21" spans="1:16383">
      <c r="A21" s="22">
        <v>15922000</v>
      </c>
      <c r="B21" s="23" t="s">
        <v>29</v>
      </c>
      <c r="C21" s="23">
        <v>-68079318.080000013</v>
      </c>
      <c r="D21" s="23">
        <f t="shared" ca="1" si="1"/>
        <v>0.91999998688697815</v>
      </c>
      <c r="E21" s="23">
        <f>C21-'HW PYMES'!M47</f>
        <v>0</v>
      </c>
      <c r="F21" s="23"/>
      <c r="G21" s="23"/>
      <c r="H21" s="23"/>
      <c r="I21" s="23"/>
      <c r="J21" s="23"/>
      <c r="K21" s="110" t="s">
        <v>369</v>
      </c>
      <c r="L21" s="111">
        <f t="shared" ref="L21:L26" si="2">50*M21</f>
        <v>1374250</v>
      </c>
      <c r="M21" s="111">
        <v>27485</v>
      </c>
      <c r="XDT21" s="27"/>
    </row>
    <row r="22" spans="1:16383">
      <c r="A22" s="22">
        <v>15923500</v>
      </c>
      <c r="B22" s="23" t="s">
        <v>30</v>
      </c>
      <c r="C22" s="23">
        <v>-1231554212.8</v>
      </c>
      <c r="D22" s="23">
        <f t="shared" ca="1" si="1"/>
        <v>0.20000004768371582</v>
      </c>
      <c r="E22" s="23">
        <f>C22-'HW PYMES'!M48</f>
        <v>0</v>
      </c>
      <c r="F22" s="23"/>
      <c r="G22" s="23"/>
      <c r="H22" s="23"/>
      <c r="I22" s="23"/>
      <c r="J22" s="23"/>
      <c r="K22" s="110" t="s">
        <v>370</v>
      </c>
      <c r="L22" s="111">
        <f t="shared" si="2"/>
        <v>1413950</v>
      </c>
      <c r="M22" s="111">
        <v>28279</v>
      </c>
      <c r="XDT22" s="27"/>
    </row>
    <row r="23" spans="1:16383">
      <c r="C23" s="29">
        <f>SUM(C3:C22)</f>
        <v>29901815203.059998</v>
      </c>
      <c r="D23" s="23"/>
      <c r="F23" s="23"/>
      <c r="G23" s="23"/>
      <c r="H23" s="23"/>
      <c r="I23" s="23"/>
      <c r="J23" s="23"/>
      <c r="K23" s="110" t="s">
        <v>371</v>
      </c>
      <c r="L23" s="111">
        <f t="shared" si="2"/>
        <v>1487650</v>
      </c>
      <c r="M23" s="111">
        <v>29753</v>
      </c>
      <c r="XDT23" s="27"/>
    </row>
    <row r="24" spans="1:16383">
      <c r="B24" s="30" t="s">
        <v>206</v>
      </c>
      <c r="C24" s="30">
        <f>C23-C4-M344+AB344</f>
        <v>-23.099990844726563</v>
      </c>
      <c r="D24" s="23"/>
      <c r="F24" s="23"/>
      <c r="G24" s="23"/>
      <c r="H24" s="23"/>
      <c r="I24" s="23"/>
      <c r="J24" s="23"/>
      <c r="K24" s="110" t="s">
        <v>373</v>
      </c>
      <c r="L24" s="111">
        <f t="shared" si="2"/>
        <v>1592950</v>
      </c>
      <c r="M24" s="111">
        <v>31859</v>
      </c>
    </row>
    <row r="25" spans="1:16383">
      <c r="B25" s="22"/>
      <c r="C25" s="22"/>
      <c r="D25" s="23"/>
      <c r="F25" s="23"/>
      <c r="G25" s="23"/>
      <c r="H25" s="23"/>
      <c r="I25" s="23"/>
      <c r="J25" s="23"/>
      <c r="K25" s="173" t="s">
        <v>404</v>
      </c>
      <c r="L25" s="174">
        <f t="shared" si="2"/>
        <v>1657800</v>
      </c>
      <c r="M25" s="174">
        <v>33156</v>
      </c>
    </row>
    <row r="26" spans="1:16383">
      <c r="B26" s="30"/>
      <c r="C26" s="30"/>
      <c r="D26" s="23"/>
      <c r="F26" s="23"/>
      <c r="G26" s="23"/>
      <c r="H26" s="23"/>
      <c r="I26" s="23"/>
      <c r="J26" s="23"/>
      <c r="K26" s="173" t="s">
        <v>406</v>
      </c>
      <c r="L26" s="174">
        <f t="shared" si="2"/>
        <v>1713500</v>
      </c>
      <c r="M26" s="174">
        <v>34270</v>
      </c>
      <c r="W26" s="110" t="s">
        <v>372</v>
      </c>
    </row>
    <row r="27" spans="1:16383">
      <c r="B27" s="22"/>
      <c r="C27" s="22"/>
      <c r="D27" s="22"/>
      <c r="E27" s="22"/>
      <c r="F27" s="22"/>
      <c r="G27" s="22"/>
      <c r="H27" s="22"/>
      <c r="I27" s="22"/>
      <c r="J27" s="22"/>
      <c r="K27" s="173" t="s">
        <v>768</v>
      </c>
      <c r="L27" s="174">
        <f>50*M27</f>
        <v>1780350</v>
      </c>
      <c r="M27" s="174">
        <v>35607</v>
      </c>
      <c r="N27" s="48"/>
      <c r="P27" s="22"/>
      <c r="Q27" s="22"/>
      <c r="R27" s="22"/>
      <c r="S27" s="22"/>
      <c r="U27" s="22"/>
      <c r="V27" s="22"/>
      <c r="W27" s="112">
        <v>44561</v>
      </c>
      <c r="X27" s="22"/>
      <c r="Y27" s="22"/>
      <c r="Z27" s="22"/>
      <c r="AA27" s="22"/>
      <c r="AB27" s="22"/>
      <c r="AC27" s="22"/>
    </row>
    <row r="28" spans="1:16383" ht="15" customHeight="1">
      <c r="A28" s="474" t="s">
        <v>209</v>
      </c>
      <c r="B28" s="476" t="s">
        <v>210</v>
      </c>
      <c r="C28" s="476" t="s">
        <v>374</v>
      </c>
      <c r="D28" s="478" t="s">
        <v>375</v>
      </c>
      <c r="E28" s="478" t="s">
        <v>376</v>
      </c>
      <c r="F28" s="478" t="s">
        <v>377</v>
      </c>
      <c r="G28" s="478" t="s">
        <v>378</v>
      </c>
      <c r="H28" s="478" t="s">
        <v>379</v>
      </c>
      <c r="I28" s="478" t="s">
        <v>380</v>
      </c>
      <c r="J28" s="478" t="s">
        <v>381</v>
      </c>
      <c r="K28" s="478" t="s">
        <v>382</v>
      </c>
      <c r="L28" s="478" t="s">
        <v>383</v>
      </c>
      <c r="M28" s="478" t="s">
        <v>1060</v>
      </c>
      <c r="N28" s="478" t="s">
        <v>402</v>
      </c>
      <c r="O28" s="478" t="s">
        <v>384</v>
      </c>
      <c r="P28" s="474" t="s">
        <v>209</v>
      </c>
      <c r="Q28" s="476" t="s">
        <v>210</v>
      </c>
      <c r="R28" s="478" t="s">
        <v>385</v>
      </c>
      <c r="S28" s="472" t="s">
        <v>386</v>
      </c>
      <c r="T28" s="478" t="s">
        <v>387</v>
      </c>
      <c r="U28" s="474" t="s">
        <v>388</v>
      </c>
      <c r="V28" s="475" t="s">
        <v>389</v>
      </c>
      <c r="W28" s="474" t="s">
        <v>390</v>
      </c>
      <c r="X28" s="474" t="s">
        <v>391</v>
      </c>
      <c r="Y28" s="475" t="s">
        <v>392</v>
      </c>
      <c r="Z28" s="475" t="s">
        <v>393</v>
      </c>
      <c r="AA28" s="503" t="s">
        <v>394</v>
      </c>
      <c r="AB28" s="503" t="s">
        <v>395</v>
      </c>
      <c r="AC28" s="503" t="s">
        <v>396</v>
      </c>
      <c r="AD28" s="475" t="s">
        <v>397</v>
      </c>
      <c r="AE28" s="475" t="s">
        <v>398</v>
      </c>
      <c r="AF28" s="501" t="s">
        <v>206</v>
      </c>
      <c r="AG28" s="501" t="s">
        <v>405</v>
      </c>
      <c r="AH28" s="505" t="s">
        <v>1059</v>
      </c>
    </row>
    <row r="29" spans="1:16383" ht="45" customHeight="1">
      <c r="A29" s="475"/>
      <c r="B29" s="477"/>
      <c r="C29" s="477"/>
      <c r="D29" s="472"/>
      <c r="E29" s="472"/>
      <c r="F29" s="472"/>
      <c r="G29" s="472"/>
      <c r="H29" s="472"/>
      <c r="I29" s="472"/>
      <c r="J29" s="472"/>
      <c r="K29" s="472"/>
      <c r="L29" s="472"/>
      <c r="M29" s="472"/>
      <c r="N29" s="472"/>
      <c r="O29" s="472"/>
      <c r="P29" s="475"/>
      <c r="Q29" s="477"/>
      <c r="R29" s="472"/>
      <c r="S29" s="473"/>
      <c r="T29" s="472"/>
      <c r="U29" s="475"/>
      <c r="V29" s="500"/>
      <c r="W29" s="475"/>
      <c r="X29" s="475"/>
      <c r="Y29" s="500"/>
      <c r="Z29" s="500"/>
      <c r="AA29" s="504"/>
      <c r="AB29" s="504"/>
      <c r="AC29" s="504"/>
      <c r="AD29" s="500"/>
      <c r="AE29" s="500"/>
      <c r="AF29" s="502"/>
      <c r="AG29" s="502"/>
      <c r="AH29" s="506"/>
    </row>
    <row r="30" spans="1:16383" s="73" customFormat="1">
      <c r="A30" s="72">
        <v>15040000</v>
      </c>
      <c r="B30" s="73" t="s">
        <v>14</v>
      </c>
      <c r="C30" s="73" t="s">
        <v>993</v>
      </c>
      <c r="D30" s="73">
        <v>1</v>
      </c>
      <c r="E30" s="36" t="s">
        <v>361</v>
      </c>
      <c r="F30" s="144"/>
      <c r="G30" s="144"/>
      <c r="H30" s="144"/>
      <c r="I30" s="144"/>
      <c r="J30" s="77">
        <v>43069</v>
      </c>
      <c r="K30" s="52" t="str">
        <f>IF(L30&gt;($M$23*50),"SI","NO")</f>
        <v>SI</v>
      </c>
      <c r="L30" s="113">
        <f>M30/D30</f>
        <v>1694129760</v>
      </c>
      <c r="M30" s="73">
        <v>1694129760</v>
      </c>
      <c r="N30" s="145">
        <v>1694129760</v>
      </c>
      <c r="O30" s="113">
        <f>IF(K30="SI",N30,0)</f>
        <v>1694129760</v>
      </c>
      <c r="P30" s="146"/>
      <c r="Q30" s="147"/>
      <c r="R30" s="147"/>
      <c r="S30" s="147"/>
      <c r="T30" s="113">
        <f>IF(O30&gt;0,S30,0)</f>
        <v>0</v>
      </c>
      <c r="U30" s="38">
        <f>IF(O30&gt;0,N30-S30,0)</f>
        <v>1694129760</v>
      </c>
      <c r="V30" s="148" t="s">
        <v>399</v>
      </c>
      <c r="W30" s="116">
        <f>IF(ISERROR(IF(ROUND(($W$27-J30)/30,0)&gt;(V30*12),(V30*12),(ROUND(($W$27-J30)/30,0)))),0,"FALSO")</f>
        <v>0</v>
      </c>
      <c r="X30" s="116">
        <f>IF(ISERROR((V30*12)-W30),0,"FALSO")</f>
        <v>0</v>
      </c>
      <c r="Y30" s="38">
        <f>IF(ISERROR(N30/(V30*12)),0,"FALSO")</f>
        <v>0</v>
      </c>
      <c r="Z30" s="38">
        <f>IF(U30&gt;0,W30*Y30,0)</f>
        <v>0</v>
      </c>
      <c r="AA30" s="38">
        <f>ROUND(IF(U30&gt;0,N30,0),0)</f>
        <v>1694129760</v>
      </c>
      <c r="AB30" s="38">
        <f>ROUND(IF(U30&gt;0,Z30,0),0)</f>
        <v>0</v>
      </c>
      <c r="AC30" s="38">
        <f>AA30-AB30</f>
        <v>1694129760</v>
      </c>
      <c r="AD30" s="149"/>
      <c r="AE30" s="73">
        <v>7650350000</v>
      </c>
      <c r="AF30" s="73">
        <f>AE30-AC30</f>
        <v>5956220240</v>
      </c>
      <c r="AG30" s="23"/>
    </row>
    <row r="31" spans="1:16383" s="73" customFormat="1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/>
      <c r="DX31" s="72"/>
      <c r="DY31" s="72"/>
      <c r="DZ31" s="72"/>
      <c r="EA31" s="72"/>
      <c r="EB31" s="72"/>
      <c r="EC31" s="72"/>
      <c r="ED31" s="72"/>
      <c r="EE31" s="72"/>
      <c r="EF31" s="72"/>
      <c r="EG31" s="72"/>
      <c r="EH31" s="72"/>
      <c r="EI31" s="72"/>
      <c r="EJ31" s="72"/>
      <c r="EK31" s="72"/>
      <c r="EL31" s="72"/>
      <c r="EM31" s="72"/>
      <c r="EN31" s="72"/>
      <c r="EO31" s="72"/>
      <c r="EP31" s="72"/>
      <c r="EQ31" s="72"/>
      <c r="ER31" s="72"/>
      <c r="ES31" s="72"/>
      <c r="ET31" s="72"/>
      <c r="EU31" s="72"/>
      <c r="EV31" s="72"/>
      <c r="EW31" s="72"/>
      <c r="EX31" s="72"/>
      <c r="EY31" s="72"/>
      <c r="EZ31" s="72"/>
      <c r="FA31" s="72"/>
      <c r="FB31" s="72"/>
      <c r="FC31" s="72"/>
      <c r="FD31" s="72"/>
      <c r="FE31" s="72"/>
      <c r="FF31" s="72"/>
      <c r="FG31" s="72"/>
      <c r="FH31" s="72"/>
      <c r="FI31" s="72"/>
      <c r="FJ31" s="72"/>
      <c r="FK31" s="72"/>
      <c r="FL31" s="72"/>
      <c r="FM31" s="72"/>
      <c r="FN31" s="72"/>
      <c r="FO31" s="72"/>
      <c r="FP31" s="72"/>
      <c r="FQ31" s="72"/>
      <c r="FR31" s="72"/>
      <c r="FS31" s="72"/>
      <c r="FT31" s="72"/>
      <c r="FU31" s="72"/>
      <c r="FV31" s="72"/>
      <c r="FW31" s="72"/>
      <c r="FX31" s="72"/>
      <c r="FY31" s="72"/>
      <c r="FZ31" s="72"/>
      <c r="GA31" s="72"/>
      <c r="GB31" s="72"/>
      <c r="GC31" s="72"/>
      <c r="GD31" s="72"/>
      <c r="GE31" s="72"/>
      <c r="GF31" s="72"/>
      <c r="GG31" s="72"/>
      <c r="GH31" s="72"/>
      <c r="GI31" s="72"/>
      <c r="GJ31" s="72"/>
      <c r="GK31" s="72"/>
      <c r="GL31" s="72"/>
      <c r="GM31" s="72"/>
      <c r="GN31" s="72"/>
      <c r="GO31" s="72"/>
      <c r="GP31" s="72"/>
      <c r="GQ31" s="72"/>
      <c r="GR31" s="72"/>
      <c r="GS31" s="72"/>
      <c r="GT31" s="72"/>
      <c r="GU31" s="72"/>
      <c r="GV31" s="72"/>
      <c r="GW31" s="72"/>
      <c r="GX31" s="72"/>
      <c r="GY31" s="72"/>
      <c r="GZ31" s="72"/>
      <c r="HA31" s="72"/>
      <c r="HB31" s="72"/>
      <c r="HC31" s="72"/>
      <c r="HD31" s="72"/>
      <c r="HE31" s="72"/>
      <c r="HF31" s="72"/>
      <c r="HG31" s="72"/>
      <c r="HH31" s="72"/>
      <c r="HI31" s="72"/>
      <c r="HJ31" s="72"/>
      <c r="HK31" s="72"/>
      <c r="HL31" s="72"/>
      <c r="HM31" s="72"/>
      <c r="HN31" s="72"/>
      <c r="HO31" s="72"/>
      <c r="HP31" s="72"/>
      <c r="HQ31" s="72"/>
      <c r="HR31" s="72"/>
      <c r="HS31" s="72"/>
      <c r="HT31" s="72"/>
      <c r="HU31" s="72"/>
      <c r="HV31" s="72"/>
      <c r="HW31" s="72"/>
      <c r="HX31" s="72"/>
      <c r="HY31" s="72"/>
      <c r="HZ31" s="72"/>
      <c r="IA31" s="72"/>
      <c r="IB31" s="72"/>
      <c r="IC31" s="72"/>
      <c r="ID31" s="72"/>
      <c r="IE31" s="72"/>
      <c r="IF31" s="72"/>
      <c r="IG31" s="72"/>
      <c r="IH31" s="72"/>
      <c r="II31" s="72"/>
      <c r="IJ31" s="72"/>
      <c r="IK31" s="72"/>
      <c r="IL31" s="72"/>
      <c r="IM31" s="72"/>
      <c r="IN31" s="72"/>
      <c r="IO31" s="72"/>
      <c r="IP31" s="72"/>
      <c r="IQ31" s="72"/>
      <c r="IR31" s="72"/>
      <c r="IS31" s="72"/>
      <c r="IT31" s="72"/>
      <c r="IU31" s="72"/>
      <c r="IV31" s="72"/>
      <c r="IW31" s="72"/>
      <c r="IX31" s="72"/>
      <c r="IY31" s="72"/>
      <c r="IZ31" s="72"/>
      <c r="JA31" s="72"/>
      <c r="JB31" s="72"/>
      <c r="JC31" s="72"/>
      <c r="JD31" s="72"/>
      <c r="JE31" s="72"/>
      <c r="JF31" s="72"/>
      <c r="JG31" s="72"/>
      <c r="JH31" s="72"/>
      <c r="JI31" s="72"/>
      <c r="JJ31" s="72"/>
      <c r="JK31" s="72"/>
      <c r="JL31" s="72"/>
      <c r="JM31" s="72"/>
      <c r="JN31" s="72"/>
      <c r="JO31" s="72"/>
      <c r="JP31" s="72"/>
      <c r="JQ31" s="72"/>
      <c r="JR31" s="72"/>
      <c r="JS31" s="72"/>
      <c r="JT31" s="72"/>
      <c r="JU31" s="72"/>
      <c r="JV31" s="72"/>
      <c r="JW31" s="72"/>
      <c r="JX31" s="72"/>
      <c r="JY31" s="72"/>
      <c r="JZ31" s="72"/>
      <c r="KA31" s="72"/>
      <c r="KB31" s="72"/>
      <c r="KC31" s="72"/>
      <c r="KD31" s="72"/>
      <c r="KE31" s="72"/>
      <c r="KF31" s="72"/>
      <c r="KG31" s="72"/>
      <c r="KH31" s="72"/>
      <c r="KI31" s="72"/>
      <c r="KJ31" s="72"/>
      <c r="KK31" s="72"/>
      <c r="KL31" s="72"/>
      <c r="KM31" s="72"/>
      <c r="KN31" s="72"/>
      <c r="KO31" s="72"/>
      <c r="KP31" s="72"/>
      <c r="KQ31" s="72"/>
      <c r="KR31" s="72"/>
      <c r="KS31" s="72"/>
      <c r="KT31" s="72"/>
      <c r="KU31" s="72"/>
      <c r="KV31" s="72"/>
      <c r="KW31" s="72"/>
      <c r="KX31" s="72"/>
      <c r="KY31" s="72"/>
      <c r="KZ31" s="72"/>
      <c r="LA31" s="72"/>
      <c r="LB31" s="72"/>
      <c r="LC31" s="72"/>
      <c r="LD31" s="72"/>
      <c r="LE31" s="72"/>
      <c r="LF31" s="72"/>
      <c r="LG31" s="72"/>
      <c r="LH31" s="72"/>
      <c r="LI31" s="72"/>
      <c r="LJ31" s="72"/>
      <c r="LK31" s="72"/>
      <c r="LL31" s="72"/>
      <c r="LM31" s="72"/>
      <c r="LN31" s="72"/>
      <c r="LO31" s="72"/>
      <c r="LP31" s="72"/>
      <c r="LQ31" s="72"/>
      <c r="LR31" s="72"/>
      <c r="LS31" s="72"/>
      <c r="LT31" s="72"/>
      <c r="LU31" s="72"/>
      <c r="LV31" s="72"/>
      <c r="LW31" s="72"/>
      <c r="LX31" s="72"/>
      <c r="LY31" s="72"/>
      <c r="LZ31" s="72"/>
      <c r="MA31" s="72"/>
      <c r="MB31" s="72"/>
      <c r="MC31" s="72"/>
      <c r="MD31" s="72"/>
      <c r="ME31" s="72"/>
      <c r="MF31" s="72"/>
      <c r="MG31" s="72"/>
      <c r="MH31" s="72"/>
      <c r="MI31" s="72"/>
      <c r="MJ31" s="72"/>
      <c r="MK31" s="72"/>
      <c r="ML31" s="72"/>
      <c r="MM31" s="72"/>
      <c r="MN31" s="72"/>
      <c r="MO31" s="72"/>
      <c r="MP31" s="72"/>
      <c r="MQ31" s="72"/>
      <c r="MR31" s="72"/>
      <c r="MS31" s="72"/>
      <c r="MT31" s="72"/>
      <c r="MU31" s="72"/>
      <c r="MV31" s="72"/>
      <c r="MW31" s="72"/>
      <c r="MX31" s="72"/>
      <c r="MY31" s="72"/>
      <c r="MZ31" s="72"/>
      <c r="NA31" s="72"/>
      <c r="NB31" s="72"/>
      <c r="NC31" s="72"/>
      <c r="ND31" s="72"/>
      <c r="NE31" s="72"/>
      <c r="NF31" s="72"/>
      <c r="NG31" s="72"/>
      <c r="NH31" s="72"/>
      <c r="NI31" s="72"/>
      <c r="NJ31" s="72"/>
      <c r="NK31" s="72"/>
      <c r="NL31" s="72"/>
      <c r="NM31" s="72"/>
      <c r="NN31" s="72"/>
      <c r="NO31" s="72"/>
      <c r="NP31" s="72"/>
      <c r="NQ31" s="72"/>
      <c r="NR31" s="72"/>
      <c r="NS31" s="72"/>
      <c r="NT31" s="72"/>
      <c r="NU31" s="72"/>
      <c r="NV31" s="72"/>
      <c r="NW31" s="72"/>
      <c r="NX31" s="72"/>
      <c r="NY31" s="72"/>
      <c r="NZ31" s="72"/>
      <c r="OA31" s="72"/>
      <c r="OB31" s="72"/>
      <c r="OC31" s="72"/>
      <c r="OD31" s="72"/>
      <c r="OE31" s="72"/>
      <c r="OF31" s="72"/>
      <c r="OG31" s="72"/>
      <c r="OH31" s="72"/>
      <c r="OI31" s="72"/>
      <c r="OJ31" s="72"/>
      <c r="OK31" s="72"/>
      <c r="OL31" s="72"/>
      <c r="OM31" s="72"/>
      <c r="ON31" s="72"/>
      <c r="OO31" s="72"/>
      <c r="OP31" s="72"/>
      <c r="OQ31" s="72"/>
      <c r="OR31" s="72"/>
      <c r="OS31" s="72"/>
      <c r="OT31" s="72"/>
      <c r="OU31" s="72"/>
      <c r="OV31" s="72"/>
      <c r="OW31" s="72"/>
      <c r="OX31" s="72"/>
      <c r="OY31" s="72"/>
      <c r="OZ31" s="72"/>
      <c r="PA31" s="72"/>
      <c r="PB31" s="72"/>
      <c r="PC31" s="72"/>
      <c r="PD31" s="72"/>
      <c r="PE31" s="72"/>
      <c r="PF31" s="72"/>
      <c r="PG31" s="72"/>
      <c r="PH31" s="72"/>
      <c r="PI31" s="72"/>
      <c r="PJ31" s="72"/>
      <c r="PK31" s="72"/>
      <c r="PL31" s="72"/>
      <c r="PM31" s="72"/>
      <c r="PN31" s="72"/>
      <c r="PO31" s="72"/>
      <c r="PP31" s="72"/>
      <c r="PQ31" s="72"/>
      <c r="PR31" s="72"/>
      <c r="PS31" s="72"/>
      <c r="PT31" s="72"/>
      <c r="PU31" s="72"/>
      <c r="PV31" s="72"/>
      <c r="PW31" s="72"/>
      <c r="PX31" s="72"/>
      <c r="PY31" s="72"/>
      <c r="PZ31" s="72"/>
      <c r="QA31" s="72"/>
      <c r="QB31" s="72"/>
      <c r="QC31" s="72"/>
      <c r="QD31" s="72"/>
      <c r="QE31" s="72"/>
      <c r="QF31" s="72"/>
      <c r="QG31" s="72"/>
      <c r="QH31" s="72"/>
      <c r="QI31" s="72"/>
      <c r="QJ31" s="72"/>
      <c r="QK31" s="72"/>
      <c r="QL31" s="72"/>
      <c r="QM31" s="72"/>
      <c r="QN31" s="72"/>
      <c r="QO31" s="72"/>
      <c r="QP31" s="72"/>
      <c r="QQ31" s="72"/>
      <c r="QR31" s="72"/>
      <c r="QS31" s="72"/>
      <c r="QT31" s="72"/>
      <c r="QU31" s="72"/>
      <c r="QV31" s="72"/>
      <c r="QW31" s="72"/>
      <c r="QX31" s="72"/>
      <c r="QY31" s="72"/>
      <c r="QZ31" s="72"/>
      <c r="RA31" s="72"/>
      <c r="RB31" s="72"/>
      <c r="RC31" s="72"/>
      <c r="RD31" s="72"/>
      <c r="RE31" s="72"/>
      <c r="RF31" s="72"/>
      <c r="RG31" s="72"/>
      <c r="RH31" s="72"/>
      <c r="RI31" s="72"/>
      <c r="RJ31" s="72"/>
      <c r="RK31" s="72"/>
      <c r="RL31" s="72"/>
      <c r="RM31" s="72"/>
      <c r="RN31" s="72"/>
      <c r="RO31" s="72"/>
      <c r="RP31" s="72"/>
      <c r="RQ31" s="72"/>
      <c r="RR31" s="72"/>
      <c r="RS31" s="72"/>
      <c r="RT31" s="72"/>
      <c r="RU31" s="72"/>
      <c r="RV31" s="72"/>
      <c r="RW31" s="72"/>
      <c r="RX31" s="72"/>
      <c r="RY31" s="72"/>
      <c r="RZ31" s="72"/>
      <c r="SA31" s="72"/>
      <c r="SB31" s="72"/>
      <c r="SC31" s="72"/>
      <c r="SD31" s="72"/>
      <c r="SE31" s="72"/>
      <c r="SF31" s="72"/>
      <c r="SG31" s="72"/>
      <c r="SH31" s="72"/>
      <c r="SI31" s="72"/>
      <c r="SJ31" s="72"/>
      <c r="SK31" s="72"/>
      <c r="SL31" s="72"/>
      <c r="SM31" s="72"/>
      <c r="SN31" s="72"/>
      <c r="SO31" s="72"/>
      <c r="SP31" s="72"/>
      <c r="SQ31" s="72"/>
      <c r="SR31" s="72"/>
      <c r="SS31" s="72"/>
      <c r="ST31" s="72"/>
      <c r="SU31" s="72"/>
      <c r="SV31" s="72"/>
      <c r="SW31" s="72"/>
      <c r="SX31" s="72"/>
      <c r="SY31" s="72"/>
      <c r="SZ31" s="72"/>
      <c r="TA31" s="72"/>
      <c r="TB31" s="72"/>
      <c r="TC31" s="72"/>
      <c r="TD31" s="72"/>
      <c r="TE31" s="72"/>
      <c r="TF31" s="72"/>
      <c r="TG31" s="72"/>
      <c r="TH31" s="72"/>
      <c r="TI31" s="72"/>
      <c r="TJ31" s="72"/>
      <c r="TK31" s="72"/>
      <c r="TL31" s="72"/>
      <c r="TM31" s="72"/>
      <c r="TN31" s="72"/>
      <c r="TO31" s="72"/>
      <c r="TP31" s="72"/>
      <c r="TQ31" s="72"/>
      <c r="TR31" s="72"/>
      <c r="TS31" s="72"/>
      <c r="TT31" s="72"/>
      <c r="TU31" s="72"/>
      <c r="TV31" s="72"/>
      <c r="TW31" s="72"/>
      <c r="TX31" s="72"/>
      <c r="TY31" s="72"/>
      <c r="TZ31" s="72"/>
      <c r="UA31" s="72"/>
      <c r="UB31" s="72"/>
      <c r="UC31" s="72"/>
      <c r="UD31" s="72"/>
      <c r="UE31" s="72"/>
      <c r="UF31" s="72"/>
      <c r="UG31" s="72"/>
      <c r="UH31" s="72"/>
      <c r="UI31" s="72"/>
      <c r="UJ31" s="72"/>
      <c r="UK31" s="72"/>
      <c r="UL31" s="72"/>
      <c r="UM31" s="72"/>
      <c r="UN31" s="72"/>
      <c r="UO31" s="72"/>
      <c r="UP31" s="72"/>
      <c r="UQ31" s="72"/>
      <c r="UR31" s="72"/>
      <c r="US31" s="72"/>
      <c r="UT31" s="72"/>
      <c r="UU31" s="72"/>
      <c r="UV31" s="72"/>
      <c r="UW31" s="72"/>
      <c r="UX31" s="72"/>
      <c r="UY31" s="72"/>
      <c r="UZ31" s="72"/>
      <c r="VA31" s="72"/>
      <c r="VB31" s="72"/>
      <c r="VC31" s="72"/>
      <c r="VD31" s="72"/>
      <c r="VE31" s="72"/>
      <c r="VF31" s="72"/>
      <c r="VG31" s="72"/>
      <c r="VH31" s="72"/>
      <c r="VI31" s="72"/>
      <c r="VJ31" s="72"/>
      <c r="VK31" s="72"/>
      <c r="VL31" s="72"/>
      <c r="VM31" s="72"/>
      <c r="VN31" s="72"/>
      <c r="VO31" s="72"/>
      <c r="VP31" s="72"/>
      <c r="VQ31" s="72"/>
      <c r="VR31" s="72"/>
      <c r="VS31" s="72"/>
      <c r="VT31" s="72"/>
      <c r="VU31" s="72"/>
      <c r="VV31" s="72"/>
      <c r="VW31" s="72"/>
      <c r="VX31" s="72"/>
      <c r="VY31" s="72"/>
      <c r="VZ31" s="72"/>
      <c r="WA31" s="72"/>
      <c r="WB31" s="72"/>
      <c r="WC31" s="72"/>
      <c r="WD31" s="72"/>
      <c r="WE31" s="72"/>
      <c r="WF31" s="72"/>
      <c r="WG31" s="72"/>
      <c r="WH31" s="72"/>
      <c r="WI31" s="72"/>
      <c r="WJ31" s="72"/>
      <c r="WK31" s="72"/>
      <c r="WL31" s="72"/>
      <c r="WM31" s="72"/>
      <c r="WN31" s="72"/>
      <c r="WO31" s="72"/>
      <c r="WP31" s="72"/>
      <c r="WQ31" s="72"/>
      <c r="WR31" s="72"/>
      <c r="WS31" s="72"/>
      <c r="WT31" s="72"/>
      <c r="WU31" s="72"/>
      <c r="WV31" s="72"/>
      <c r="WW31" s="72"/>
      <c r="WX31" s="72"/>
      <c r="WY31" s="72"/>
      <c r="WZ31" s="72"/>
      <c r="XA31" s="72"/>
      <c r="XB31" s="72"/>
      <c r="XC31" s="72"/>
      <c r="XD31" s="72"/>
      <c r="XE31" s="72"/>
      <c r="XF31" s="72"/>
      <c r="XG31" s="72"/>
      <c r="XH31" s="72"/>
      <c r="XI31" s="72"/>
      <c r="XJ31" s="72"/>
      <c r="XK31" s="72"/>
      <c r="XL31" s="72"/>
      <c r="XM31" s="72"/>
      <c r="XN31" s="72"/>
      <c r="XO31" s="72"/>
      <c r="XP31" s="72"/>
      <c r="XQ31" s="72"/>
      <c r="XR31" s="72"/>
      <c r="XS31" s="72"/>
      <c r="XT31" s="72"/>
      <c r="XU31" s="72"/>
      <c r="XV31" s="72"/>
      <c r="XW31" s="72"/>
      <c r="XX31" s="72"/>
      <c r="XY31" s="72"/>
      <c r="XZ31" s="72"/>
      <c r="YA31" s="72"/>
      <c r="YB31" s="72"/>
      <c r="YC31" s="72"/>
      <c r="YD31" s="72"/>
      <c r="YE31" s="72"/>
      <c r="YF31" s="72"/>
      <c r="YG31" s="72"/>
      <c r="YH31" s="72"/>
      <c r="YI31" s="72"/>
      <c r="YJ31" s="72"/>
      <c r="YK31" s="72"/>
      <c r="YL31" s="72"/>
      <c r="YM31" s="72"/>
      <c r="YN31" s="72"/>
      <c r="YO31" s="72"/>
      <c r="YP31" s="72"/>
      <c r="YQ31" s="72"/>
      <c r="YR31" s="72"/>
      <c r="YS31" s="72"/>
      <c r="YT31" s="72"/>
      <c r="YU31" s="72"/>
      <c r="YV31" s="72"/>
      <c r="YW31" s="72"/>
      <c r="YX31" s="72"/>
      <c r="YY31" s="72"/>
      <c r="YZ31" s="72"/>
      <c r="ZA31" s="72"/>
      <c r="ZB31" s="72"/>
      <c r="ZC31" s="72"/>
      <c r="ZD31" s="72"/>
      <c r="ZE31" s="72"/>
      <c r="ZF31" s="72"/>
      <c r="ZG31" s="72"/>
      <c r="ZH31" s="72"/>
      <c r="ZI31" s="72"/>
      <c r="ZJ31" s="72"/>
      <c r="ZK31" s="72"/>
      <c r="ZL31" s="72"/>
      <c r="ZM31" s="72"/>
      <c r="ZN31" s="72"/>
      <c r="ZO31" s="72"/>
      <c r="ZP31" s="72"/>
      <c r="ZQ31" s="72"/>
      <c r="ZR31" s="72"/>
      <c r="ZS31" s="72"/>
      <c r="ZT31" s="72"/>
      <c r="ZU31" s="72"/>
      <c r="ZV31" s="72"/>
      <c r="ZW31" s="72"/>
      <c r="ZX31" s="72"/>
      <c r="ZY31" s="72"/>
      <c r="ZZ31" s="72"/>
      <c r="AAA31" s="72"/>
      <c r="AAB31" s="72"/>
      <c r="AAC31" s="72"/>
      <c r="AAD31" s="72"/>
      <c r="AAE31" s="72"/>
      <c r="AAF31" s="72"/>
      <c r="AAG31" s="72"/>
      <c r="AAH31" s="72"/>
      <c r="AAI31" s="72"/>
      <c r="AAJ31" s="72"/>
      <c r="AAK31" s="72"/>
      <c r="AAL31" s="72"/>
      <c r="AAM31" s="72"/>
      <c r="AAN31" s="72"/>
      <c r="AAO31" s="72"/>
      <c r="AAP31" s="72"/>
      <c r="AAQ31" s="72"/>
      <c r="AAR31" s="72"/>
      <c r="AAS31" s="72"/>
      <c r="AAT31" s="72"/>
      <c r="AAU31" s="72"/>
      <c r="AAV31" s="72"/>
      <c r="AAW31" s="72"/>
      <c r="AAX31" s="72"/>
      <c r="AAY31" s="72"/>
      <c r="AAZ31" s="72"/>
      <c r="ABA31" s="72"/>
      <c r="ABB31" s="72"/>
      <c r="ABC31" s="72"/>
      <c r="ABD31" s="72"/>
      <c r="ABE31" s="72"/>
      <c r="ABF31" s="72"/>
      <c r="ABG31" s="72"/>
      <c r="ABH31" s="72"/>
      <c r="ABI31" s="72"/>
      <c r="ABJ31" s="72"/>
      <c r="ABK31" s="72"/>
      <c r="ABL31" s="72"/>
      <c r="ABM31" s="72"/>
      <c r="ABN31" s="72"/>
      <c r="ABO31" s="72"/>
      <c r="ABP31" s="72"/>
      <c r="ABQ31" s="72"/>
      <c r="ABR31" s="72"/>
      <c r="ABS31" s="72"/>
      <c r="ABT31" s="72"/>
      <c r="ABU31" s="72"/>
      <c r="ABV31" s="72"/>
      <c r="ABW31" s="72"/>
      <c r="ABX31" s="72"/>
      <c r="ABY31" s="72"/>
      <c r="ABZ31" s="72"/>
      <c r="ACA31" s="72"/>
      <c r="ACB31" s="72"/>
      <c r="ACC31" s="72"/>
      <c r="ACD31" s="72"/>
      <c r="ACE31" s="72"/>
      <c r="ACF31" s="72"/>
      <c r="ACG31" s="72"/>
      <c r="ACH31" s="72"/>
      <c r="ACI31" s="72"/>
      <c r="ACJ31" s="72"/>
      <c r="ACK31" s="72"/>
      <c r="ACL31" s="72"/>
      <c r="ACM31" s="72"/>
      <c r="ACN31" s="72"/>
      <c r="ACO31" s="72"/>
      <c r="ACP31" s="72"/>
      <c r="ACQ31" s="72"/>
      <c r="ACR31" s="72"/>
      <c r="ACS31" s="72"/>
      <c r="ACT31" s="72"/>
      <c r="ACU31" s="72"/>
      <c r="ACV31" s="72"/>
      <c r="ACW31" s="72"/>
      <c r="ACX31" s="72"/>
      <c r="ACY31" s="72"/>
      <c r="ACZ31" s="72"/>
      <c r="ADA31" s="72"/>
      <c r="ADB31" s="72"/>
      <c r="ADC31" s="72"/>
      <c r="ADD31" s="72"/>
      <c r="ADE31" s="72"/>
      <c r="ADF31" s="72"/>
      <c r="ADG31" s="72"/>
      <c r="ADH31" s="72"/>
      <c r="ADI31" s="72"/>
      <c r="ADJ31" s="72"/>
      <c r="ADK31" s="72"/>
      <c r="ADL31" s="72"/>
      <c r="ADM31" s="72"/>
      <c r="ADN31" s="72"/>
      <c r="ADO31" s="72"/>
      <c r="ADP31" s="72"/>
      <c r="ADQ31" s="72"/>
      <c r="ADR31" s="72"/>
      <c r="ADS31" s="72"/>
      <c r="ADT31" s="72"/>
      <c r="ADU31" s="72"/>
      <c r="ADV31" s="72"/>
      <c r="ADW31" s="72"/>
      <c r="ADX31" s="72"/>
      <c r="ADY31" s="72"/>
      <c r="ADZ31" s="72"/>
      <c r="AEA31" s="72"/>
      <c r="AEB31" s="72"/>
      <c r="AEC31" s="72"/>
      <c r="AED31" s="72"/>
      <c r="AEE31" s="72"/>
      <c r="AEF31" s="72"/>
      <c r="AEG31" s="72"/>
      <c r="AEH31" s="72"/>
      <c r="AEI31" s="72"/>
      <c r="AEJ31" s="72"/>
      <c r="AEK31" s="72"/>
      <c r="AEL31" s="72"/>
      <c r="AEM31" s="72"/>
      <c r="AEN31" s="72"/>
      <c r="AEO31" s="72"/>
      <c r="AEP31" s="72"/>
      <c r="AEQ31" s="72"/>
      <c r="AER31" s="72"/>
      <c r="AES31" s="72"/>
      <c r="AET31" s="72"/>
      <c r="AEU31" s="72"/>
      <c r="AEV31" s="72"/>
      <c r="AEW31" s="72"/>
      <c r="AEX31" s="72"/>
      <c r="AEY31" s="72"/>
      <c r="AEZ31" s="72"/>
      <c r="AFA31" s="72"/>
      <c r="AFB31" s="72"/>
      <c r="AFC31" s="72"/>
      <c r="AFD31" s="72"/>
      <c r="AFE31" s="72"/>
      <c r="AFF31" s="72"/>
      <c r="AFG31" s="72"/>
      <c r="AFH31" s="72"/>
      <c r="AFI31" s="72"/>
      <c r="AFJ31" s="72"/>
      <c r="AFK31" s="72"/>
      <c r="AFL31" s="72"/>
      <c r="AFM31" s="72"/>
      <c r="AFN31" s="72"/>
      <c r="AFO31" s="72"/>
      <c r="AFP31" s="72"/>
      <c r="AFQ31" s="72"/>
      <c r="AFR31" s="72"/>
      <c r="AFS31" s="72"/>
      <c r="AFT31" s="72"/>
      <c r="AFU31" s="72"/>
      <c r="AFV31" s="72"/>
      <c r="AFW31" s="72"/>
      <c r="AFX31" s="72"/>
      <c r="AFY31" s="72"/>
      <c r="AFZ31" s="72"/>
      <c r="AGA31" s="72"/>
      <c r="AGB31" s="72"/>
      <c r="AGC31" s="72"/>
      <c r="AGD31" s="72"/>
      <c r="AGE31" s="72"/>
      <c r="AGF31" s="72"/>
      <c r="AGG31" s="72"/>
      <c r="AGH31" s="72"/>
      <c r="AGI31" s="72"/>
      <c r="AGJ31" s="72"/>
      <c r="AGK31" s="72"/>
      <c r="AGL31" s="72"/>
      <c r="AGM31" s="72"/>
      <c r="AGN31" s="72"/>
      <c r="AGO31" s="72"/>
      <c r="AGP31" s="72"/>
      <c r="AGQ31" s="72"/>
      <c r="AGR31" s="72"/>
      <c r="AGS31" s="72"/>
      <c r="AGT31" s="72"/>
      <c r="AGU31" s="72"/>
      <c r="AGV31" s="72"/>
      <c r="AGW31" s="72"/>
      <c r="AGX31" s="72"/>
      <c r="AGY31" s="72"/>
      <c r="AGZ31" s="72"/>
      <c r="AHA31" s="72"/>
      <c r="AHB31" s="72"/>
      <c r="AHC31" s="72"/>
      <c r="AHD31" s="72"/>
      <c r="AHE31" s="72"/>
      <c r="AHF31" s="72"/>
      <c r="AHG31" s="72"/>
      <c r="AHH31" s="72"/>
      <c r="AHI31" s="72"/>
      <c r="AHJ31" s="72"/>
      <c r="AHK31" s="72"/>
      <c r="AHL31" s="72"/>
      <c r="AHM31" s="72"/>
      <c r="AHN31" s="72"/>
      <c r="AHO31" s="72"/>
      <c r="AHP31" s="72"/>
      <c r="AHQ31" s="72"/>
      <c r="AHR31" s="72"/>
      <c r="AHS31" s="72"/>
      <c r="AHT31" s="72"/>
      <c r="AHU31" s="72"/>
      <c r="AHV31" s="72"/>
      <c r="AHW31" s="72"/>
      <c r="AHX31" s="72"/>
      <c r="AHY31" s="72"/>
      <c r="AHZ31" s="72"/>
      <c r="AIA31" s="72"/>
      <c r="AIB31" s="72"/>
      <c r="AIC31" s="72"/>
      <c r="AID31" s="72"/>
      <c r="AIE31" s="72"/>
      <c r="AIF31" s="72"/>
      <c r="AIG31" s="72"/>
      <c r="AIH31" s="72"/>
      <c r="AII31" s="72"/>
      <c r="AIJ31" s="72"/>
      <c r="AIK31" s="72"/>
      <c r="AIL31" s="72"/>
      <c r="AIM31" s="72"/>
      <c r="AIN31" s="72"/>
      <c r="AIO31" s="72"/>
      <c r="AIP31" s="72"/>
      <c r="AIQ31" s="72"/>
      <c r="AIR31" s="72"/>
      <c r="AIS31" s="72"/>
      <c r="AIT31" s="72"/>
      <c r="AIU31" s="72"/>
      <c r="AIV31" s="72"/>
      <c r="AIW31" s="72"/>
      <c r="AIX31" s="72"/>
      <c r="AIY31" s="72"/>
      <c r="AIZ31" s="72"/>
      <c r="AJA31" s="72"/>
      <c r="AJB31" s="72"/>
      <c r="AJC31" s="72"/>
      <c r="AJD31" s="72"/>
      <c r="AJE31" s="72"/>
      <c r="AJF31" s="72"/>
      <c r="AJG31" s="72"/>
      <c r="AJH31" s="72"/>
      <c r="AJI31" s="72"/>
      <c r="AJJ31" s="72"/>
      <c r="AJK31" s="72"/>
      <c r="AJL31" s="72"/>
      <c r="AJM31" s="72"/>
      <c r="AJN31" s="72"/>
      <c r="AJO31" s="72"/>
      <c r="AJP31" s="72"/>
      <c r="AJQ31" s="72"/>
      <c r="AJR31" s="72"/>
      <c r="AJS31" s="72"/>
      <c r="AJT31" s="72"/>
      <c r="AJU31" s="72"/>
      <c r="AJV31" s="72"/>
      <c r="AJW31" s="72"/>
      <c r="AJX31" s="72"/>
      <c r="AJY31" s="72"/>
      <c r="AJZ31" s="72"/>
      <c r="AKA31" s="72"/>
      <c r="AKB31" s="72"/>
      <c r="AKC31" s="72"/>
      <c r="AKD31" s="72"/>
      <c r="AKE31" s="72"/>
      <c r="AKF31" s="72"/>
      <c r="AKG31" s="72"/>
      <c r="AKH31" s="72"/>
      <c r="AKI31" s="72"/>
      <c r="AKJ31" s="72"/>
      <c r="AKK31" s="72"/>
      <c r="AKL31" s="72"/>
      <c r="AKM31" s="72"/>
      <c r="AKN31" s="72"/>
      <c r="AKO31" s="72"/>
      <c r="AKP31" s="72"/>
      <c r="AKQ31" s="72"/>
      <c r="AKR31" s="72"/>
      <c r="AKS31" s="72"/>
      <c r="AKT31" s="72"/>
      <c r="AKU31" s="72"/>
      <c r="AKV31" s="72"/>
      <c r="AKW31" s="72"/>
      <c r="AKX31" s="72"/>
      <c r="AKY31" s="72"/>
      <c r="AKZ31" s="72"/>
      <c r="ALA31" s="72"/>
      <c r="ALB31" s="72"/>
      <c r="ALC31" s="72"/>
      <c r="ALD31" s="72"/>
      <c r="ALE31" s="72"/>
      <c r="ALF31" s="72"/>
      <c r="ALG31" s="72"/>
      <c r="ALH31" s="72"/>
      <c r="ALI31" s="72"/>
      <c r="ALJ31" s="72"/>
      <c r="ALK31" s="72"/>
      <c r="ALL31" s="72"/>
      <c r="ALM31" s="72"/>
      <c r="ALN31" s="72"/>
      <c r="ALO31" s="72"/>
      <c r="ALP31" s="72"/>
      <c r="ALQ31" s="72"/>
      <c r="ALR31" s="72"/>
      <c r="ALS31" s="72"/>
      <c r="ALT31" s="72"/>
      <c r="ALU31" s="72"/>
      <c r="ALV31" s="72"/>
      <c r="ALW31" s="72"/>
      <c r="ALX31" s="72"/>
      <c r="ALY31" s="72"/>
      <c r="ALZ31" s="72"/>
      <c r="AMA31" s="72"/>
      <c r="AMB31" s="72"/>
      <c r="AMC31" s="72"/>
      <c r="AMD31" s="72"/>
      <c r="AME31" s="72"/>
      <c r="AMF31" s="72"/>
      <c r="AMG31" s="72"/>
      <c r="AMH31" s="72"/>
      <c r="AMI31" s="72"/>
      <c r="AMJ31" s="72"/>
      <c r="AMK31" s="72"/>
      <c r="AML31" s="72"/>
      <c r="AMM31" s="72"/>
      <c r="AMN31" s="72"/>
      <c r="AMO31" s="72"/>
      <c r="AMP31" s="72"/>
      <c r="AMQ31" s="72"/>
      <c r="AMR31" s="72"/>
      <c r="AMS31" s="72"/>
      <c r="AMT31" s="72"/>
      <c r="AMU31" s="72"/>
      <c r="AMV31" s="72"/>
      <c r="AMW31" s="72"/>
      <c r="AMX31" s="72"/>
      <c r="AMY31" s="72"/>
      <c r="AMZ31" s="72"/>
      <c r="ANA31" s="72"/>
      <c r="ANB31" s="72"/>
      <c r="ANC31" s="72"/>
      <c r="AND31" s="72"/>
      <c r="ANE31" s="72"/>
      <c r="ANF31" s="72"/>
      <c r="ANG31" s="72"/>
      <c r="ANH31" s="72"/>
      <c r="ANI31" s="72"/>
      <c r="ANJ31" s="72"/>
      <c r="ANK31" s="72"/>
      <c r="ANL31" s="72"/>
      <c r="ANM31" s="72"/>
      <c r="ANN31" s="72"/>
      <c r="ANO31" s="72"/>
      <c r="ANP31" s="72"/>
      <c r="ANQ31" s="72"/>
      <c r="ANR31" s="72"/>
      <c r="ANS31" s="72"/>
      <c r="ANT31" s="72"/>
      <c r="ANU31" s="72"/>
      <c r="ANV31" s="72"/>
      <c r="ANW31" s="72"/>
      <c r="ANX31" s="72"/>
      <c r="ANY31" s="72"/>
      <c r="ANZ31" s="72"/>
      <c r="AOA31" s="72"/>
      <c r="AOB31" s="72"/>
      <c r="AOC31" s="72"/>
      <c r="AOD31" s="72"/>
      <c r="AOE31" s="72"/>
      <c r="AOF31" s="72"/>
      <c r="AOG31" s="72"/>
      <c r="AOH31" s="72"/>
      <c r="AOI31" s="72"/>
      <c r="AOJ31" s="72"/>
      <c r="AOK31" s="72"/>
      <c r="AOL31" s="72"/>
      <c r="AOM31" s="72"/>
      <c r="AON31" s="72"/>
      <c r="AOO31" s="72"/>
      <c r="AOP31" s="72"/>
      <c r="AOQ31" s="72"/>
      <c r="AOR31" s="72"/>
      <c r="AOS31" s="72"/>
      <c r="AOT31" s="72"/>
      <c r="AOU31" s="72"/>
      <c r="AOV31" s="72"/>
      <c r="AOW31" s="72"/>
      <c r="AOX31" s="72"/>
      <c r="AOY31" s="72"/>
      <c r="AOZ31" s="72"/>
      <c r="APA31" s="72"/>
      <c r="APB31" s="72"/>
      <c r="APC31" s="72"/>
      <c r="APD31" s="72"/>
      <c r="APE31" s="72"/>
      <c r="APF31" s="72"/>
      <c r="APG31" s="72"/>
      <c r="APH31" s="72"/>
      <c r="API31" s="72"/>
      <c r="APJ31" s="72"/>
      <c r="APK31" s="72"/>
      <c r="APL31" s="72"/>
      <c r="APM31" s="72"/>
      <c r="APN31" s="72"/>
      <c r="APO31" s="72"/>
      <c r="APP31" s="72"/>
      <c r="APQ31" s="72"/>
      <c r="APR31" s="72"/>
      <c r="APS31" s="72"/>
      <c r="APT31" s="72"/>
      <c r="APU31" s="72"/>
      <c r="APV31" s="72"/>
      <c r="APW31" s="72"/>
      <c r="APX31" s="72"/>
      <c r="APY31" s="72"/>
      <c r="APZ31" s="72"/>
      <c r="AQA31" s="72"/>
      <c r="AQB31" s="72"/>
      <c r="AQC31" s="72"/>
      <c r="AQD31" s="72"/>
      <c r="AQE31" s="72"/>
      <c r="AQF31" s="72"/>
      <c r="AQG31" s="72"/>
      <c r="AQH31" s="72"/>
      <c r="AQI31" s="72"/>
      <c r="AQJ31" s="72"/>
      <c r="AQK31" s="72"/>
      <c r="AQL31" s="72"/>
      <c r="AQM31" s="72"/>
      <c r="AQN31" s="72"/>
      <c r="AQO31" s="72"/>
      <c r="AQP31" s="72"/>
      <c r="AQQ31" s="72"/>
      <c r="AQR31" s="72"/>
      <c r="AQS31" s="72"/>
      <c r="AQT31" s="72"/>
      <c r="AQU31" s="72"/>
      <c r="AQV31" s="72"/>
      <c r="AQW31" s="72"/>
      <c r="AQX31" s="72"/>
      <c r="AQY31" s="72"/>
      <c r="AQZ31" s="72"/>
      <c r="ARA31" s="72"/>
      <c r="ARB31" s="72"/>
      <c r="ARC31" s="72"/>
      <c r="ARD31" s="72"/>
      <c r="ARE31" s="72"/>
      <c r="ARF31" s="72"/>
      <c r="ARG31" s="72"/>
      <c r="ARH31" s="72"/>
      <c r="ARI31" s="72"/>
      <c r="ARJ31" s="72"/>
      <c r="ARK31" s="72"/>
      <c r="ARL31" s="72"/>
      <c r="ARM31" s="72"/>
      <c r="ARN31" s="72"/>
      <c r="ARO31" s="72"/>
      <c r="ARP31" s="72"/>
      <c r="ARQ31" s="72"/>
      <c r="ARR31" s="72"/>
      <c r="ARS31" s="72"/>
      <c r="ART31" s="72"/>
      <c r="ARU31" s="72"/>
      <c r="ARV31" s="72"/>
      <c r="ARW31" s="72"/>
      <c r="ARX31" s="72"/>
      <c r="ARY31" s="72"/>
      <c r="ARZ31" s="72"/>
      <c r="ASA31" s="72"/>
      <c r="ASB31" s="72"/>
      <c r="ASC31" s="72"/>
      <c r="ASD31" s="72"/>
      <c r="ASE31" s="72"/>
      <c r="ASF31" s="72"/>
      <c r="ASG31" s="72"/>
      <c r="ASH31" s="72"/>
      <c r="ASI31" s="72"/>
      <c r="ASJ31" s="72"/>
      <c r="ASK31" s="72"/>
      <c r="ASL31" s="72"/>
      <c r="ASM31" s="72"/>
      <c r="ASN31" s="72"/>
      <c r="ASO31" s="72"/>
      <c r="ASP31" s="72"/>
      <c r="ASQ31" s="72"/>
      <c r="ASR31" s="72"/>
      <c r="ASS31" s="72"/>
      <c r="AST31" s="72"/>
      <c r="ASU31" s="72"/>
      <c r="ASV31" s="72"/>
      <c r="ASW31" s="72"/>
      <c r="ASX31" s="72"/>
      <c r="ASY31" s="72"/>
      <c r="ASZ31" s="72"/>
      <c r="ATA31" s="72"/>
      <c r="ATB31" s="72"/>
      <c r="ATC31" s="72"/>
      <c r="ATD31" s="72"/>
      <c r="ATE31" s="72"/>
      <c r="ATF31" s="72"/>
      <c r="ATG31" s="72"/>
      <c r="ATH31" s="72"/>
      <c r="ATI31" s="72"/>
      <c r="ATJ31" s="72"/>
      <c r="ATK31" s="72"/>
      <c r="ATL31" s="72"/>
      <c r="ATM31" s="72"/>
      <c r="ATN31" s="72"/>
      <c r="ATO31" s="72"/>
      <c r="ATP31" s="72"/>
      <c r="ATQ31" s="72"/>
      <c r="ATR31" s="72"/>
      <c r="ATS31" s="72"/>
      <c r="ATT31" s="72"/>
      <c r="ATU31" s="72"/>
      <c r="ATV31" s="72"/>
      <c r="ATW31" s="72"/>
      <c r="ATX31" s="72"/>
      <c r="ATY31" s="72"/>
      <c r="ATZ31" s="72"/>
      <c r="AUA31" s="72"/>
      <c r="AUB31" s="72"/>
      <c r="AUC31" s="72"/>
      <c r="AUD31" s="72"/>
      <c r="AUE31" s="72"/>
      <c r="AUF31" s="72"/>
      <c r="AUG31" s="72"/>
      <c r="AUH31" s="72"/>
      <c r="AUI31" s="72"/>
      <c r="AUJ31" s="72"/>
      <c r="AUK31" s="72"/>
      <c r="AUL31" s="72"/>
      <c r="AUM31" s="72"/>
      <c r="AUN31" s="72"/>
      <c r="AUO31" s="72"/>
      <c r="AUP31" s="72"/>
      <c r="AUQ31" s="72"/>
      <c r="AUR31" s="72"/>
      <c r="AUS31" s="72"/>
      <c r="AUT31" s="72"/>
      <c r="AUU31" s="72"/>
      <c r="AUV31" s="72"/>
      <c r="AUW31" s="72"/>
      <c r="AUX31" s="72"/>
      <c r="AUY31" s="72"/>
      <c r="AUZ31" s="72"/>
      <c r="AVA31" s="72"/>
      <c r="AVB31" s="72"/>
      <c r="AVC31" s="72"/>
      <c r="AVD31" s="72"/>
      <c r="AVE31" s="72"/>
      <c r="AVF31" s="72"/>
      <c r="AVG31" s="72"/>
      <c r="AVH31" s="72"/>
      <c r="AVI31" s="72"/>
      <c r="AVJ31" s="72"/>
      <c r="AVK31" s="72"/>
      <c r="AVL31" s="72"/>
      <c r="AVM31" s="72"/>
      <c r="AVN31" s="72"/>
      <c r="AVO31" s="72"/>
      <c r="AVP31" s="72"/>
      <c r="AVQ31" s="72"/>
      <c r="AVR31" s="72"/>
      <c r="AVS31" s="72"/>
      <c r="AVT31" s="72"/>
      <c r="AVU31" s="72"/>
      <c r="AVV31" s="72"/>
      <c r="AVW31" s="72"/>
      <c r="AVX31" s="72"/>
      <c r="AVY31" s="72"/>
      <c r="AVZ31" s="72"/>
      <c r="AWA31" s="72"/>
      <c r="AWB31" s="72"/>
      <c r="AWC31" s="72"/>
      <c r="AWD31" s="72"/>
      <c r="AWE31" s="72"/>
      <c r="AWF31" s="72"/>
      <c r="AWG31" s="72"/>
      <c r="AWH31" s="72"/>
      <c r="AWI31" s="72"/>
      <c r="AWJ31" s="72"/>
      <c r="AWK31" s="72"/>
      <c r="AWL31" s="72"/>
      <c r="AWM31" s="72"/>
      <c r="AWN31" s="72"/>
      <c r="AWO31" s="72"/>
      <c r="AWP31" s="72"/>
      <c r="AWQ31" s="72"/>
      <c r="AWR31" s="72"/>
      <c r="AWS31" s="72"/>
      <c r="AWT31" s="72"/>
      <c r="AWU31" s="72"/>
      <c r="AWV31" s="72"/>
      <c r="AWW31" s="72"/>
      <c r="AWX31" s="72"/>
      <c r="AWY31" s="72"/>
      <c r="AWZ31" s="72"/>
      <c r="AXA31" s="72"/>
      <c r="AXB31" s="72"/>
      <c r="AXC31" s="72"/>
      <c r="AXD31" s="72"/>
      <c r="AXE31" s="72"/>
      <c r="AXF31" s="72"/>
      <c r="AXG31" s="72"/>
      <c r="AXH31" s="72"/>
      <c r="AXI31" s="72"/>
      <c r="AXJ31" s="72"/>
      <c r="AXK31" s="72"/>
      <c r="AXL31" s="72"/>
      <c r="AXM31" s="72"/>
      <c r="AXN31" s="72"/>
      <c r="AXO31" s="72"/>
      <c r="AXP31" s="72"/>
      <c r="AXQ31" s="72"/>
      <c r="AXR31" s="72"/>
      <c r="AXS31" s="72"/>
      <c r="AXT31" s="72"/>
      <c r="AXU31" s="72"/>
      <c r="AXV31" s="72"/>
      <c r="AXW31" s="72"/>
      <c r="AXX31" s="72"/>
      <c r="AXY31" s="72"/>
      <c r="AXZ31" s="72"/>
      <c r="AYA31" s="72"/>
      <c r="AYB31" s="72"/>
      <c r="AYC31" s="72"/>
      <c r="AYD31" s="72"/>
      <c r="AYE31" s="72"/>
      <c r="AYF31" s="72"/>
      <c r="AYG31" s="72"/>
      <c r="AYH31" s="72"/>
      <c r="AYI31" s="72"/>
      <c r="AYJ31" s="72"/>
      <c r="AYK31" s="72"/>
      <c r="AYL31" s="72"/>
      <c r="AYM31" s="72"/>
      <c r="AYN31" s="72"/>
      <c r="AYO31" s="72"/>
      <c r="AYP31" s="72"/>
      <c r="AYQ31" s="72"/>
      <c r="AYR31" s="72"/>
      <c r="AYS31" s="72"/>
      <c r="AYT31" s="72"/>
      <c r="AYU31" s="72"/>
      <c r="AYV31" s="72"/>
      <c r="AYW31" s="72"/>
      <c r="AYX31" s="72"/>
      <c r="AYY31" s="72"/>
      <c r="AYZ31" s="72"/>
      <c r="AZA31" s="72"/>
      <c r="AZB31" s="72"/>
      <c r="AZC31" s="72"/>
      <c r="AZD31" s="72"/>
      <c r="AZE31" s="72"/>
      <c r="AZF31" s="72"/>
      <c r="AZG31" s="72"/>
      <c r="AZH31" s="72"/>
      <c r="AZI31" s="72"/>
      <c r="AZJ31" s="72"/>
      <c r="AZK31" s="72"/>
      <c r="AZL31" s="72"/>
      <c r="AZM31" s="72"/>
      <c r="AZN31" s="72"/>
      <c r="AZO31" s="72"/>
      <c r="AZP31" s="72"/>
      <c r="AZQ31" s="72"/>
      <c r="AZR31" s="72"/>
      <c r="AZS31" s="72"/>
      <c r="AZT31" s="72"/>
      <c r="AZU31" s="72"/>
      <c r="AZV31" s="72"/>
      <c r="AZW31" s="72"/>
      <c r="AZX31" s="72"/>
      <c r="AZY31" s="72"/>
      <c r="AZZ31" s="72"/>
      <c r="BAA31" s="72"/>
      <c r="BAB31" s="72"/>
      <c r="BAC31" s="72"/>
      <c r="BAD31" s="72"/>
      <c r="BAE31" s="72"/>
      <c r="BAF31" s="72"/>
      <c r="BAG31" s="72"/>
      <c r="BAH31" s="72"/>
      <c r="BAI31" s="72"/>
      <c r="BAJ31" s="72"/>
      <c r="BAK31" s="72"/>
      <c r="BAL31" s="72"/>
      <c r="BAM31" s="72"/>
      <c r="BAN31" s="72"/>
      <c r="BAO31" s="72"/>
      <c r="BAP31" s="72"/>
      <c r="BAQ31" s="72"/>
      <c r="BAR31" s="72"/>
      <c r="BAS31" s="72"/>
      <c r="BAT31" s="72"/>
      <c r="BAU31" s="72"/>
      <c r="BAV31" s="72"/>
      <c r="BAW31" s="72"/>
      <c r="BAX31" s="72"/>
      <c r="BAY31" s="72"/>
      <c r="BAZ31" s="72"/>
      <c r="BBA31" s="72"/>
      <c r="BBB31" s="72"/>
      <c r="BBC31" s="72"/>
      <c r="BBD31" s="72"/>
      <c r="BBE31" s="72"/>
      <c r="BBF31" s="72"/>
      <c r="BBG31" s="72"/>
      <c r="BBH31" s="72"/>
      <c r="BBI31" s="72"/>
      <c r="BBJ31" s="72"/>
      <c r="BBK31" s="72"/>
      <c r="BBL31" s="72"/>
      <c r="BBM31" s="72"/>
      <c r="BBN31" s="72"/>
      <c r="BBO31" s="72"/>
      <c r="BBP31" s="72"/>
      <c r="BBQ31" s="72"/>
      <c r="BBR31" s="72"/>
      <c r="BBS31" s="72"/>
      <c r="BBT31" s="72"/>
      <c r="BBU31" s="72"/>
      <c r="BBV31" s="72"/>
      <c r="BBW31" s="72"/>
      <c r="BBX31" s="72"/>
      <c r="BBY31" s="72"/>
      <c r="BBZ31" s="72"/>
      <c r="BCA31" s="72"/>
      <c r="BCB31" s="72"/>
      <c r="BCC31" s="72"/>
      <c r="BCD31" s="72"/>
      <c r="BCE31" s="72"/>
      <c r="BCF31" s="72"/>
      <c r="BCG31" s="72"/>
      <c r="BCH31" s="72"/>
      <c r="BCI31" s="72"/>
      <c r="BCJ31" s="72"/>
      <c r="BCK31" s="72"/>
      <c r="BCL31" s="72"/>
      <c r="BCM31" s="72"/>
      <c r="BCN31" s="72"/>
      <c r="BCO31" s="72"/>
      <c r="BCP31" s="72"/>
      <c r="BCQ31" s="72"/>
      <c r="BCR31" s="72"/>
      <c r="BCS31" s="72"/>
      <c r="BCT31" s="72"/>
      <c r="BCU31" s="72"/>
      <c r="BCV31" s="72"/>
      <c r="BCW31" s="72"/>
      <c r="BCX31" s="72"/>
      <c r="BCY31" s="72"/>
      <c r="BCZ31" s="72"/>
      <c r="BDA31" s="72"/>
      <c r="BDB31" s="72"/>
      <c r="BDC31" s="72"/>
      <c r="BDD31" s="72"/>
      <c r="BDE31" s="72"/>
      <c r="BDF31" s="72"/>
      <c r="BDG31" s="72"/>
      <c r="BDH31" s="72"/>
      <c r="BDI31" s="72"/>
      <c r="BDJ31" s="72"/>
      <c r="BDK31" s="72"/>
      <c r="BDL31" s="72"/>
      <c r="BDM31" s="72"/>
      <c r="BDN31" s="72"/>
      <c r="BDO31" s="72"/>
      <c r="BDP31" s="72"/>
      <c r="BDQ31" s="72"/>
      <c r="BDR31" s="72"/>
      <c r="BDS31" s="72"/>
      <c r="BDT31" s="72"/>
      <c r="BDU31" s="72"/>
      <c r="BDV31" s="72"/>
      <c r="BDW31" s="72"/>
      <c r="BDX31" s="72"/>
      <c r="BDY31" s="72"/>
      <c r="BDZ31" s="72"/>
      <c r="BEA31" s="72"/>
      <c r="BEB31" s="72"/>
      <c r="BEC31" s="72"/>
      <c r="BED31" s="72"/>
      <c r="BEE31" s="72"/>
      <c r="BEF31" s="72"/>
      <c r="BEG31" s="72"/>
      <c r="BEH31" s="72"/>
      <c r="BEI31" s="72"/>
      <c r="BEJ31" s="72"/>
      <c r="BEK31" s="72"/>
      <c r="BEL31" s="72"/>
      <c r="BEM31" s="72"/>
      <c r="BEN31" s="72"/>
      <c r="BEO31" s="72"/>
      <c r="BEP31" s="72"/>
      <c r="BEQ31" s="72"/>
      <c r="BER31" s="72"/>
      <c r="BES31" s="72"/>
      <c r="BET31" s="72"/>
      <c r="BEU31" s="72"/>
      <c r="BEV31" s="72"/>
      <c r="BEW31" s="72"/>
      <c r="BEX31" s="72"/>
      <c r="BEY31" s="72"/>
      <c r="BEZ31" s="72"/>
      <c r="BFA31" s="72"/>
      <c r="BFB31" s="72"/>
      <c r="BFC31" s="72"/>
      <c r="BFD31" s="72"/>
      <c r="BFE31" s="72"/>
      <c r="BFF31" s="72"/>
      <c r="BFG31" s="72"/>
      <c r="BFH31" s="72"/>
      <c r="BFI31" s="72"/>
      <c r="BFJ31" s="72"/>
      <c r="BFK31" s="72"/>
      <c r="BFL31" s="72"/>
      <c r="BFM31" s="72"/>
      <c r="BFN31" s="72"/>
      <c r="BFO31" s="72"/>
      <c r="BFP31" s="72"/>
      <c r="BFQ31" s="72"/>
      <c r="BFR31" s="72"/>
      <c r="BFS31" s="72"/>
      <c r="BFT31" s="72"/>
      <c r="BFU31" s="72"/>
      <c r="BFV31" s="72"/>
      <c r="BFW31" s="72"/>
      <c r="BFX31" s="72"/>
      <c r="BFY31" s="72"/>
      <c r="BFZ31" s="72"/>
      <c r="BGA31" s="72"/>
      <c r="BGB31" s="72"/>
      <c r="BGC31" s="72"/>
      <c r="BGD31" s="72"/>
      <c r="BGE31" s="72"/>
      <c r="BGF31" s="72"/>
      <c r="BGG31" s="72"/>
      <c r="BGH31" s="72"/>
      <c r="BGI31" s="72"/>
      <c r="BGJ31" s="72"/>
      <c r="BGK31" s="72"/>
      <c r="BGL31" s="72"/>
      <c r="BGM31" s="72"/>
      <c r="BGN31" s="72"/>
      <c r="BGO31" s="72"/>
      <c r="BGP31" s="72"/>
      <c r="BGQ31" s="72"/>
      <c r="BGR31" s="72"/>
      <c r="BGS31" s="72"/>
      <c r="BGT31" s="72"/>
      <c r="BGU31" s="72"/>
      <c r="BGV31" s="72"/>
      <c r="BGW31" s="72"/>
      <c r="BGX31" s="72"/>
      <c r="BGY31" s="72"/>
      <c r="BGZ31" s="72"/>
      <c r="BHA31" s="72"/>
      <c r="BHB31" s="72"/>
      <c r="BHC31" s="72"/>
      <c r="BHD31" s="72"/>
      <c r="BHE31" s="72"/>
      <c r="BHF31" s="72"/>
      <c r="BHG31" s="72"/>
      <c r="BHH31" s="72"/>
      <c r="BHI31" s="72"/>
      <c r="BHJ31" s="72"/>
      <c r="BHK31" s="72"/>
      <c r="BHL31" s="72"/>
      <c r="BHM31" s="72"/>
      <c r="BHN31" s="72"/>
      <c r="BHO31" s="72"/>
      <c r="BHP31" s="72"/>
      <c r="BHQ31" s="72"/>
      <c r="BHR31" s="72"/>
      <c r="BHS31" s="72"/>
      <c r="BHT31" s="72"/>
      <c r="BHU31" s="72"/>
      <c r="BHV31" s="72"/>
      <c r="BHW31" s="72"/>
      <c r="BHX31" s="72"/>
      <c r="BHY31" s="72"/>
      <c r="BHZ31" s="72"/>
      <c r="BIA31" s="72"/>
      <c r="BIB31" s="72"/>
      <c r="BIC31" s="72"/>
      <c r="BID31" s="72"/>
      <c r="BIE31" s="72"/>
      <c r="BIF31" s="72"/>
      <c r="BIG31" s="72"/>
      <c r="BIH31" s="72"/>
      <c r="BII31" s="72"/>
      <c r="BIJ31" s="72"/>
      <c r="BIK31" s="72"/>
      <c r="BIL31" s="72"/>
      <c r="BIM31" s="72"/>
      <c r="BIN31" s="72"/>
      <c r="BIO31" s="72"/>
      <c r="BIP31" s="72"/>
      <c r="BIQ31" s="72"/>
      <c r="BIR31" s="72"/>
      <c r="BIS31" s="72"/>
      <c r="BIT31" s="72"/>
      <c r="BIU31" s="72"/>
      <c r="BIV31" s="72"/>
      <c r="BIW31" s="72"/>
      <c r="BIX31" s="72"/>
      <c r="BIY31" s="72"/>
      <c r="BIZ31" s="72"/>
      <c r="BJA31" s="72"/>
      <c r="BJB31" s="72"/>
      <c r="BJC31" s="72"/>
      <c r="BJD31" s="72"/>
      <c r="BJE31" s="72"/>
      <c r="BJF31" s="72"/>
      <c r="BJG31" s="72"/>
      <c r="BJH31" s="72"/>
      <c r="BJI31" s="72"/>
      <c r="BJJ31" s="72"/>
      <c r="BJK31" s="72"/>
      <c r="BJL31" s="72"/>
      <c r="BJM31" s="72"/>
      <c r="BJN31" s="72"/>
      <c r="BJO31" s="72"/>
      <c r="BJP31" s="72"/>
      <c r="BJQ31" s="72"/>
      <c r="BJR31" s="72"/>
      <c r="BJS31" s="72"/>
      <c r="BJT31" s="72"/>
      <c r="BJU31" s="72"/>
      <c r="BJV31" s="72"/>
      <c r="BJW31" s="72"/>
      <c r="BJX31" s="72"/>
      <c r="BJY31" s="72"/>
      <c r="BJZ31" s="72"/>
      <c r="BKA31" s="72"/>
      <c r="BKB31" s="72"/>
      <c r="BKC31" s="72"/>
      <c r="BKD31" s="72"/>
      <c r="BKE31" s="72"/>
      <c r="BKF31" s="72"/>
      <c r="BKG31" s="72"/>
      <c r="BKH31" s="72"/>
      <c r="BKI31" s="72"/>
      <c r="BKJ31" s="72"/>
      <c r="BKK31" s="72"/>
      <c r="BKL31" s="72"/>
      <c r="BKM31" s="72"/>
      <c r="BKN31" s="72"/>
      <c r="BKO31" s="72"/>
      <c r="BKP31" s="72"/>
      <c r="BKQ31" s="72"/>
      <c r="BKR31" s="72"/>
      <c r="BKS31" s="72"/>
      <c r="BKT31" s="72"/>
      <c r="BKU31" s="72"/>
      <c r="BKV31" s="72"/>
      <c r="BKW31" s="72"/>
      <c r="BKX31" s="72"/>
      <c r="BKY31" s="72"/>
      <c r="BKZ31" s="72"/>
      <c r="BLA31" s="72"/>
      <c r="BLB31" s="72"/>
      <c r="BLC31" s="72"/>
      <c r="BLD31" s="72"/>
      <c r="BLE31" s="72"/>
      <c r="BLF31" s="72"/>
      <c r="BLG31" s="72"/>
      <c r="BLH31" s="72"/>
      <c r="BLI31" s="72"/>
      <c r="BLJ31" s="72"/>
      <c r="BLK31" s="72"/>
      <c r="BLL31" s="72"/>
      <c r="BLM31" s="72"/>
      <c r="BLN31" s="72"/>
      <c r="BLO31" s="72"/>
      <c r="BLP31" s="72"/>
      <c r="BLQ31" s="72"/>
      <c r="BLR31" s="72"/>
      <c r="BLS31" s="72"/>
      <c r="BLT31" s="72"/>
      <c r="BLU31" s="72"/>
      <c r="BLV31" s="72"/>
      <c r="BLW31" s="72"/>
      <c r="BLX31" s="72"/>
      <c r="BLY31" s="72"/>
      <c r="BLZ31" s="72"/>
      <c r="BMA31" s="72"/>
      <c r="BMB31" s="72"/>
      <c r="BMC31" s="72"/>
      <c r="BMD31" s="72"/>
      <c r="BME31" s="72"/>
      <c r="BMF31" s="72"/>
      <c r="BMG31" s="72"/>
      <c r="BMH31" s="72"/>
      <c r="BMI31" s="72"/>
      <c r="BMJ31" s="72"/>
      <c r="BMK31" s="72"/>
      <c r="BML31" s="72"/>
      <c r="BMM31" s="72"/>
      <c r="BMN31" s="72"/>
      <c r="BMO31" s="72"/>
      <c r="BMP31" s="72"/>
      <c r="BMQ31" s="72"/>
      <c r="BMR31" s="72"/>
      <c r="BMS31" s="72"/>
      <c r="BMT31" s="72"/>
      <c r="BMU31" s="72"/>
      <c r="BMV31" s="72"/>
      <c r="BMW31" s="72"/>
      <c r="BMX31" s="72"/>
      <c r="BMY31" s="72"/>
      <c r="BMZ31" s="72"/>
      <c r="BNA31" s="72"/>
      <c r="BNB31" s="72"/>
      <c r="BNC31" s="72"/>
      <c r="BND31" s="72"/>
      <c r="BNE31" s="72"/>
      <c r="BNF31" s="72"/>
      <c r="BNG31" s="72"/>
      <c r="BNH31" s="72"/>
      <c r="BNI31" s="72"/>
      <c r="BNJ31" s="72"/>
      <c r="BNK31" s="72"/>
      <c r="BNL31" s="72"/>
      <c r="BNM31" s="72"/>
      <c r="BNN31" s="72"/>
      <c r="BNO31" s="72"/>
      <c r="BNP31" s="72"/>
      <c r="BNQ31" s="72"/>
      <c r="BNR31" s="72"/>
      <c r="BNS31" s="72"/>
      <c r="BNT31" s="72"/>
      <c r="BNU31" s="72"/>
      <c r="BNV31" s="72"/>
      <c r="BNW31" s="72"/>
      <c r="BNX31" s="72"/>
      <c r="BNY31" s="72"/>
      <c r="BNZ31" s="72"/>
      <c r="BOA31" s="72"/>
      <c r="BOB31" s="72"/>
      <c r="BOC31" s="72"/>
      <c r="BOD31" s="72"/>
      <c r="BOE31" s="72"/>
      <c r="BOF31" s="72"/>
      <c r="BOG31" s="72"/>
      <c r="BOH31" s="72"/>
      <c r="BOI31" s="72"/>
      <c r="BOJ31" s="72"/>
      <c r="BOK31" s="72"/>
      <c r="BOL31" s="72"/>
      <c r="BOM31" s="72"/>
      <c r="BON31" s="72"/>
      <c r="BOO31" s="72"/>
      <c r="BOP31" s="72"/>
      <c r="BOQ31" s="72"/>
      <c r="BOR31" s="72"/>
      <c r="BOS31" s="72"/>
      <c r="BOT31" s="72"/>
      <c r="BOU31" s="72"/>
      <c r="BOV31" s="72"/>
      <c r="BOW31" s="72"/>
      <c r="BOX31" s="72"/>
      <c r="BOY31" s="72"/>
      <c r="BOZ31" s="72"/>
      <c r="BPA31" s="72"/>
      <c r="BPB31" s="72"/>
      <c r="BPC31" s="72"/>
      <c r="BPD31" s="72"/>
      <c r="BPE31" s="72"/>
      <c r="BPF31" s="72"/>
      <c r="BPG31" s="72"/>
      <c r="BPH31" s="72"/>
      <c r="BPI31" s="72"/>
      <c r="BPJ31" s="72"/>
      <c r="BPK31" s="72"/>
      <c r="BPL31" s="72"/>
      <c r="BPM31" s="72"/>
      <c r="BPN31" s="72"/>
      <c r="BPO31" s="72"/>
      <c r="BPP31" s="72"/>
      <c r="BPQ31" s="72"/>
      <c r="BPR31" s="72"/>
      <c r="BPS31" s="72"/>
      <c r="BPT31" s="72"/>
      <c r="BPU31" s="72"/>
      <c r="BPV31" s="72"/>
      <c r="BPW31" s="72"/>
      <c r="BPX31" s="72"/>
      <c r="BPY31" s="72"/>
      <c r="BPZ31" s="72"/>
      <c r="BQA31" s="72"/>
      <c r="BQB31" s="72"/>
      <c r="BQC31" s="72"/>
      <c r="BQD31" s="72"/>
      <c r="BQE31" s="72"/>
      <c r="BQF31" s="72"/>
      <c r="BQG31" s="72"/>
      <c r="BQH31" s="72"/>
      <c r="BQI31" s="72"/>
      <c r="BQJ31" s="72"/>
      <c r="BQK31" s="72"/>
      <c r="BQL31" s="72"/>
      <c r="BQM31" s="72"/>
      <c r="BQN31" s="72"/>
      <c r="BQO31" s="72"/>
      <c r="BQP31" s="72"/>
      <c r="BQQ31" s="72"/>
      <c r="BQR31" s="72"/>
      <c r="BQS31" s="72"/>
      <c r="BQT31" s="72"/>
      <c r="BQU31" s="72"/>
      <c r="BQV31" s="72"/>
      <c r="BQW31" s="72"/>
      <c r="BQX31" s="72"/>
      <c r="BQY31" s="72"/>
      <c r="BQZ31" s="72"/>
      <c r="BRA31" s="72"/>
      <c r="BRB31" s="72"/>
      <c r="BRC31" s="72"/>
      <c r="BRD31" s="72"/>
      <c r="BRE31" s="72"/>
      <c r="BRF31" s="72"/>
      <c r="BRG31" s="72"/>
      <c r="BRH31" s="72"/>
      <c r="BRI31" s="72"/>
      <c r="BRJ31" s="72"/>
      <c r="BRK31" s="72"/>
      <c r="BRL31" s="72"/>
      <c r="BRM31" s="72"/>
      <c r="BRN31" s="72"/>
      <c r="BRO31" s="72"/>
      <c r="BRP31" s="72"/>
      <c r="BRQ31" s="72"/>
      <c r="BRR31" s="72"/>
      <c r="BRS31" s="72"/>
      <c r="BRT31" s="72"/>
      <c r="BRU31" s="72"/>
      <c r="BRV31" s="72"/>
      <c r="BRW31" s="72"/>
      <c r="BRX31" s="72"/>
      <c r="BRY31" s="72"/>
      <c r="BRZ31" s="72"/>
      <c r="BSA31" s="72"/>
      <c r="BSB31" s="72"/>
      <c r="BSC31" s="72"/>
      <c r="BSD31" s="72"/>
      <c r="BSE31" s="72"/>
      <c r="BSF31" s="72"/>
      <c r="BSG31" s="72"/>
      <c r="BSH31" s="72"/>
      <c r="BSI31" s="72"/>
      <c r="BSJ31" s="72"/>
      <c r="BSK31" s="72"/>
      <c r="BSL31" s="72"/>
      <c r="BSM31" s="72"/>
      <c r="BSN31" s="72"/>
      <c r="BSO31" s="72"/>
      <c r="BSP31" s="72"/>
      <c r="BSQ31" s="72"/>
      <c r="BSR31" s="72"/>
      <c r="BSS31" s="72"/>
      <c r="BST31" s="72"/>
      <c r="BSU31" s="72"/>
      <c r="BSV31" s="72"/>
      <c r="BSW31" s="72"/>
      <c r="BSX31" s="72"/>
      <c r="BSY31" s="72"/>
      <c r="BSZ31" s="72"/>
      <c r="BTA31" s="72"/>
      <c r="BTB31" s="72"/>
      <c r="BTC31" s="72"/>
      <c r="BTD31" s="72"/>
      <c r="BTE31" s="72"/>
      <c r="BTF31" s="72"/>
      <c r="BTG31" s="72"/>
      <c r="BTH31" s="72"/>
      <c r="BTI31" s="72"/>
      <c r="BTJ31" s="72"/>
      <c r="BTK31" s="72"/>
      <c r="BTL31" s="72"/>
      <c r="BTM31" s="72"/>
      <c r="BTN31" s="72"/>
      <c r="BTO31" s="72"/>
      <c r="BTP31" s="72"/>
      <c r="BTQ31" s="72"/>
      <c r="BTR31" s="72"/>
      <c r="BTS31" s="72"/>
      <c r="BTT31" s="72"/>
      <c r="BTU31" s="72"/>
      <c r="BTV31" s="72"/>
      <c r="BTW31" s="72"/>
      <c r="BTX31" s="72"/>
      <c r="BTY31" s="72"/>
      <c r="BTZ31" s="72"/>
      <c r="BUA31" s="72"/>
      <c r="BUB31" s="72"/>
      <c r="BUC31" s="72"/>
      <c r="BUD31" s="72"/>
      <c r="BUE31" s="72"/>
      <c r="BUF31" s="72"/>
      <c r="BUG31" s="72"/>
      <c r="BUH31" s="72"/>
      <c r="BUI31" s="72"/>
      <c r="BUJ31" s="72"/>
      <c r="BUK31" s="72"/>
      <c r="BUL31" s="72"/>
      <c r="BUM31" s="72"/>
      <c r="BUN31" s="72"/>
      <c r="BUO31" s="72"/>
      <c r="BUP31" s="72"/>
      <c r="BUQ31" s="72"/>
      <c r="BUR31" s="72"/>
      <c r="BUS31" s="72"/>
      <c r="BUT31" s="72"/>
      <c r="BUU31" s="72"/>
      <c r="BUV31" s="72"/>
      <c r="BUW31" s="72"/>
      <c r="BUX31" s="72"/>
      <c r="BUY31" s="72"/>
      <c r="BUZ31" s="72"/>
      <c r="BVA31" s="72"/>
      <c r="BVB31" s="72"/>
      <c r="BVC31" s="72"/>
      <c r="BVD31" s="72"/>
      <c r="BVE31" s="72"/>
      <c r="BVF31" s="72"/>
      <c r="BVG31" s="72"/>
      <c r="BVH31" s="72"/>
      <c r="BVI31" s="72"/>
      <c r="BVJ31" s="72"/>
      <c r="BVK31" s="72"/>
      <c r="BVL31" s="72"/>
      <c r="BVM31" s="72"/>
      <c r="BVN31" s="72"/>
      <c r="BVO31" s="72"/>
      <c r="BVP31" s="72"/>
      <c r="BVQ31" s="72"/>
      <c r="BVR31" s="72"/>
      <c r="BVS31" s="72"/>
      <c r="BVT31" s="72"/>
      <c r="BVU31" s="72"/>
      <c r="BVV31" s="72"/>
      <c r="BVW31" s="72"/>
      <c r="BVX31" s="72"/>
      <c r="BVY31" s="72"/>
      <c r="BVZ31" s="72"/>
      <c r="BWA31" s="72"/>
      <c r="BWB31" s="72"/>
      <c r="BWC31" s="72"/>
      <c r="BWD31" s="72"/>
      <c r="BWE31" s="72"/>
      <c r="BWF31" s="72"/>
      <c r="BWG31" s="72"/>
      <c r="BWH31" s="72"/>
      <c r="BWI31" s="72"/>
      <c r="BWJ31" s="72"/>
      <c r="BWK31" s="72"/>
      <c r="BWL31" s="72"/>
      <c r="BWM31" s="72"/>
      <c r="BWN31" s="72"/>
      <c r="BWO31" s="72"/>
      <c r="BWP31" s="72"/>
      <c r="BWQ31" s="72"/>
      <c r="BWR31" s="72"/>
      <c r="BWS31" s="72"/>
      <c r="BWT31" s="72"/>
      <c r="BWU31" s="72"/>
      <c r="BWV31" s="72"/>
      <c r="BWW31" s="72"/>
      <c r="BWX31" s="72"/>
      <c r="BWY31" s="72"/>
      <c r="BWZ31" s="72"/>
      <c r="BXA31" s="72"/>
      <c r="BXB31" s="72"/>
      <c r="BXC31" s="72"/>
      <c r="BXD31" s="72"/>
      <c r="BXE31" s="72"/>
      <c r="BXF31" s="72"/>
      <c r="BXG31" s="72"/>
      <c r="BXH31" s="72"/>
      <c r="BXI31" s="72"/>
      <c r="BXJ31" s="72"/>
      <c r="BXK31" s="72"/>
      <c r="BXL31" s="72"/>
      <c r="BXM31" s="72"/>
      <c r="BXN31" s="72"/>
      <c r="BXO31" s="72"/>
      <c r="BXP31" s="72"/>
      <c r="BXQ31" s="72"/>
      <c r="BXR31" s="72"/>
      <c r="BXS31" s="72"/>
      <c r="BXT31" s="72"/>
      <c r="BXU31" s="72"/>
      <c r="BXV31" s="72"/>
      <c r="BXW31" s="72"/>
      <c r="BXX31" s="72"/>
      <c r="BXY31" s="72"/>
      <c r="BXZ31" s="72"/>
      <c r="BYA31" s="72"/>
      <c r="BYB31" s="72"/>
      <c r="BYC31" s="72"/>
      <c r="BYD31" s="72"/>
      <c r="BYE31" s="72"/>
      <c r="BYF31" s="72"/>
      <c r="BYG31" s="72"/>
      <c r="BYH31" s="72"/>
      <c r="BYI31" s="72"/>
      <c r="BYJ31" s="72"/>
      <c r="BYK31" s="72"/>
      <c r="BYL31" s="72"/>
      <c r="BYM31" s="72"/>
      <c r="BYN31" s="72"/>
      <c r="BYO31" s="72"/>
      <c r="BYP31" s="72"/>
      <c r="BYQ31" s="72"/>
      <c r="BYR31" s="72"/>
      <c r="BYS31" s="72"/>
      <c r="BYT31" s="72"/>
      <c r="BYU31" s="72"/>
      <c r="BYV31" s="72"/>
      <c r="BYW31" s="72"/>
      <c r="BYX31" s="72"/>
      <c r="BYY31" s="72"/>
      <c r="BYZ31" s="72"/>
      <c r="BZA31" s="72"/>
      <c r="BZB31" s="72"/>
      <c r="BZC31" s="72"/>
      <c r="BZD31" s="72"/>
      <c r="BZE31" s="72"/>
      <c r="BZF31" s="72"/>
      <c r="BZG31" s="72"/>
      <c r="BZH31" s="72"/>
      <c r="BZI31" s="72"/>
      <c r="BZJ31" s="72"/>
      <c r="BZK31" s="72"/>
      <c r="BZL31" s="72"/>
      <c r="BZM31" s="72"/>
      <c r="BZN31" s="72"/>
      <c r="BZO31" s="72"/>
      <c r="BZP31" s="72"/>
      <c r="BZQ31" s="72"/>
      <c r="BZR31" s="72"/>
      <c r="BZS31" s="72"/>
      <c r="BZT31" s="72"/>
      <c r="BZU31" s="72"/>
      <c r="BZV31" s="72"/>
      <c r="BZW31" s="72"/>
      <c r="BZX31" s="72"/>
      <c r="BZY31" s="72"/>
      <c r="BZZ31" s="72"/>
      <c r="CAA31" s="72"/>
      <c r="CAB31" s="72"/>
      <c r="CAC31" s="72"/>
      <c r="CAD31" s="72"/>
      <c r="CAE31" s="72"/>
      <c r="CAF31" s="72"/>
      <c r="CAG31" s="72"/>
      <c r="CAH31" s="72"/>
      <c r="CAI31" s="72"/>
      <c r="CAJ31" s="72"/>
      <c r="CAK31" s="72"/>
      <c r="CAL31" s="72"/>
      <c r="CAM31" s="72"/>
      <c r="CAN31" s="72"/>
      <c r="CAO31" s="72"/>
      <c r="CAP31" s="72"/>
      <c r="CAQ31" s="72"/>
      <c r="CAR31" s="72"/>
      <c r="CAS31" s="72"/>
      <c r="CAT31" s="72"/>
      <c r="CAU31" s="72"/>
      <c r="CAV31" s="72"/>
      <c r="CAW31" s="72"/>
      <c r="CAX31" s="72"/>
      <c r="CAY31" s="72"/>
      <c r="CAZ31" s="72"/>
      <c r="CBA31" s="72"/>
      <c r="CBB31" s="72"/>
      <c r="CBC31" s="72"/>
      <c r="CBD31" s="72"/>
      <c r="CBE31" s="72"/>
      <c r="CBF31" s="72"/>
      <c r="CBG31" s="72"/>
      <c r="CBH31" s="72"/>
      <c r="CBI31" s="72"/>
      <c r="CBJ31" s="72"/>
      <c r="CBK31" s="72"/>
      <c r="CBL31" s="72"/>
      <c r="CBM31" s="72"/>
      <c r="CBN31" s="72"/>
      <c r="CBO31" s="72"/>
      <c r="CBP31" s="72"/>
      <c r="CBQ31" s="72"/>
      <c r="CBR31" s="72"/>
      <c r="CBS31" s="72"/>
      <c r="CBT31" s="72"/>
      <c r="CBU31" s="72"/>
      <c r="CBV31" s="72"/>
      <c r="CBW31" s="72"/>
      <c r="CBX31" s="72"/>
      <c r="CBY31" s="72"/>
      <c r="CBZ31" s="72"/>
      <c r="CCA31" s="72"/>
      <c r="CCB31" s="72"/>
      <c r="CCC31" s="72"/>
      <c r="CCD31" s="72"/>
      <c r="CCE31" s="72"/>
      <c r="CCF31" s="72"/>
      <c r="CCG31" s="72"/>
      <c r="CCH31" s="72"/>
      <c r="CCI31" s="72"/>
      <c r="CCJ31" s="72"/>
      <c r="CCK31" s="72"/>
      <c r="CCL31" s="72"/>
      <c r="CCM31" s="72"/>
      <c r="CCN31" s="72"/>
      <c r="CCO31" s="72"/>
      <c r="CCP31" s="72"/>
      <c r="CCQ31" s="72"/>
      <c r="CCR31" s="72"/>
      <c r="CCS31" s="72"/>
      <c r="CCT31" s="72"/>
      <c r="CCU31" s="72"/>
      <c r="CCV31" s="72"/>
      <c r="CCW31" s="72"/>
      <c r="CCX31" s="72"/>
      <c r="CCY31" s="72"/>
      <c r="CCZ31" s="72"/>
      <c r="CDA31" s="72"/>
      <c r="CDB31" s="72"/>
      <c r="CDC31" s="72"/>
      <c r="CDD31" s="72"/>
      <c r="CDE31" s="72"/>
      <c r="CDF31" s="72"/>
      <c r="CDG31" s="72"/>
      <c r="CDH31" s="72"/>
      <c r="CDI31" s="72"/>
      <c r="CDJ31" s="72"/>
      <c r="CDK31" s="72"/>
      <c r="CDL31" s="72"/>
      <c r="CDM31" s="72"/>
      <c r="CDN31" s="72"/>
      <c r="CDO31" s="72"/>
      <c r="CDP31" s="72"/>
      <c r="CDQ31" s="72"/>
      <c r="CDR31" s="72"/>
      <c r="CDS31" s="72"/>
      <c r="CDT31" s="72"/>
      <c r="CDU31" s="72"/>
      <c r="CDV31" s="72"/>
      <c r="CDW31" s="72"/>
      <c r="CDX31" s="72"/>
      <c r="CDY31" s="72"/>
      <c r="CDZ31" s="72"/>
      <c r="CEA31" s="72"/>
      <c r="CEB31" s="72"/>
      <c r="CEC31" s="72"/>
      <c r="CED31" s="72"/>
      <c r="CEE31" s="72"/>
      <c r="CEF31" s="72"/>
      <c r="CEG31" s="72"/>
      <c r="CEH31" s="72"/>
      <c r="CEI31" s="72"/>
      <c r="CEJ31" s="72"/>
      <c r="CEK31" s="72"/>
      <c r="CEL31" s="72"/>
      <c r="CEM31" s="72"/>
      <c r="CEN31" s="72"/>
      <c r="CEO31" s="72"/>
      <c r="CEP31" s="72"/>
      <c r="CEQ31" s="72"/>
      <c r="CER31" s="72"/>
      <c r="CES31" s="72"/>
      <c r="CET31" s="72"/>
      <c r="CEU31" s="72"/>
      <c r="CEV31" s="72"/>
      <c r="CEW31" s="72"/>
      <c r="CEX31" s="72"/>
      <c r="CEY31" s="72"/>
      <c r="CEZ31" s="72"/>
      <c r="CFA31" s="72"/>
      <c r="CFB31" s="72"/>
      <c r="CFC31" s="72"/>
      <c r="CFD31" s="72"/>
      <c r="CFE31" s="72"/>
      <c r="CFF31" s="72"/>
      <c r="CFG31" s="72"/>
      <c r="CFH31" s="72"/>
      <c r="CFI31" s="72"/>
      <c r="CFJ31" s="72"/>
      <c r="CFK31" s="72"/>
      <c r="CFL31" s="72"/>
      <c r="CFM31" s="72"/>
      <c r="CFN31" s="72"/>
      <c r="CFO31" s="72"/>
      <c r="CFP31" s="72"/>
      <c r="CFQ31" s="72"/>
      <c r="CFR31" s="72"/>
      <c r="CFS31" s="72"/>
      <c r="CFT31" s="72"/>
      <c r="CFU31" s="72"/>
      <c r="CFV31" s="72"/>
      <c r="CFW31" s="72"/>
      <c r="CFX31" s="72"/>
      <c r="CFY31" s="72"/>
      <c r="CFZ31" s="72"/>
      <c r="CGA31" s="72"/>
      <c r="CGB31" s="72"/>
      <c r="CGC31" s="72"/>
      <c r="CGD31" s="72"/>
      <c r="CGE31" s="72"/>
      <c r="CGF31" s="72"/>
      <c r="CGG31" s="72"/>
      <c r="CGH31" s="72"/>
      <c r="CGI31" s="72"/>
      <c r="CGJ31" s="72"/>
      <c r="CGK31" s="72"/>
      <c r="CGL31" s="72"/>
      <c r="CGM31" s="72"/>
      <c r="CGN31" s="72"/>
      <c r="CGO31" s="72"/>
      <c r="CGP31" s="72"/>
      <c r="CGQ31" s="72"/>
      <c r="CGR31" s="72"/>
      <c r="CGS31" s="72"/>
      <c r="CGT31" s="72"/>
      <c r="CGU31" s="72"/>
      <c r="CGV31" s="72"/>
      <c r="CGW31" s="72"/>
      <c r="CGX31" s="72"/>
      <c r="CGY31" s="72"/>
      <c r="CGZ31" s="72"/>
      <c r="CHA31" s="72"/>
      <c r="CHB31" s="72"/>
      <c r="CHC31" s="72"/>
      <c r="CHD31" s="72"/>
      <c r="CHE31" s="72"/>
      <c r="CHF31" s="72"/>
      <c r="CHG31" s="72"/>
      <c r="CHH31" s="72"/>
      <c r="CHI31" s="72"/>
      <c r="CHJ31" s="72"/>
      <c r="CHK31" s="72"/>
      <c r="CHL31" s="72"/>
      <c r="CHM31" s="72"/>
      <c r="CHN31" s="72"/>
      <c r="CHO31" s="72"/>
      <c r="CHP31" s="72"/>
      <c r="CHQ31" s="72"/>
      <c r="CHR31" s="72"/>
      <c r="CHS31" s="72"/>
      <c r="CHT31" s="72"/>
      <c r="CHU31" s="72"/>
      <c r="CHV31" s="72"/>
      <c r="CHW31" s="72"/>
      <c r="CHX31" s="72"/>
      <c r="CHY31" s="72"/>
      <c r="CHZ31" s="72"/>
      <c r="CIA31" s="72"/>
      <c r="CIB31" s="72"/>
      <c r="CIC31" s="72"/>
      <c r="CID31" s="72"/>
      <c r="CIE31" s="72"/>
      <c r="CIF31" s="72"/>
      <c r="CIG31" s="72"/>
      <c r="CIH31" s="72"/>
      <c r="CII31" s="72"/>
      <c r="CIJ31" s="72"/>
      <c r="CIK31" s="72"/>
      <c r="CIL31" s="72"/>
      <c r="CIM31" s="72"/>
      <c r="CIN31" s="72"/>
      <c r="CIO31" s="72"/>
      <c r="CIP31" s="72"/>
      <c r="CIQ31" s="72"/>
      <c r="CIR31" s="72"/>
      <c r="CIS31" s="72"/>
      <c r="CIT31" s="72"/>
      <c r="CIU31" s="72"/>
      <c r="CIV31" s="72"/>
      <c r="CIW31" s="72"/>
      <c r="CIX31" s="72"/>
      <c r="CIY31" s="72"/>
      <c r="CIZ31" s="72"/>
      <c r="CJA31" s="72"/>
      <c r="CJB31" s="72"/>
      <c r="CJC31" s="72"/>
      <c r="CJD31" s="72"/>
      <c r="CJE31" s="72"/>
      <c r="CJF31" s="72"/>
      <c r="CJG31" s="72"/>
      <c r="CJH31" s="72"/>
      <c r="CJI31" s="72"/>
      <c r="CJJ31" s="72"/>
      <c r="CJK31" s="72"/>
      <c r="CJL31" s="72"/>
      <c r="CJM31" s="72"/>
      <c r="CJN31" s="72"/>
      <c r="CJO31" s="72"/>
      <c r="CJP31" s="72"/>
      <c r="CJQ31" s="72"/>
      <c r="CJR31" s="72"/>
      <c r="CJS31" s="72"/>
      <c r="CJT31" s="72"/>
      <c r="CJU31" s="72"/>
      <c r="CJV31" s="72"/>
      <c r="CJW31" s="72"/>
      <c r="CJX31" s="72"/>
      <c r="CJY31" s="72"/>
      <c r="CJZ31" s="72"/>
      <c r="CKA31" s="72"/>
      <c r="CKB31" s="72"/>
      <c r="CKC31" s="72"/>
      <c r="CKD31" s="72"/>
      <c r="CKE31" s="72"/>
      <c r="CKF31" s="72"/>
      <c r="CKG31" s="72"/>
      <c r="CKH31" s="72"/>
      <c r="CKI31" s="72"/>
      <c r="CKJ31" s="72"/>
      <c r="CKK31" s="72"/>
      <c r="CKL31" s="72"/>
      <c r="CKM31" s="72"/>
      <c r="CKN31" s="72"/>
      <c r="CKO31" s="72"/>
      <c r="CKP31" s="72"/>
      <c r="CKQ31" s="72"/>
      <c r="CKR31" s="72"/>
      <c r="CKS31" s="72"/>
      <c r="CKT31" s="72"/>
      <c r="CKU31" s="72"/>
      <c r="CKV31" s="72"/>
      <c r="CKW31" s="72"/>
      <c r="CKX31" s="72"/>
      <c r="CKY31" s="72"/>
      <c r="CKZ31" s="72"/>
      <c r="CLA31" s="72"/>
      <c r="CLB31" s="72"/>
      <c r="CLC31" s="72"/>
      <c r="CLD31" s="72"/>
      <c r="CLE31" s="72"/>
      <c r="CLF31" s="72"/>
      <c r="CLG31" s="72"/>
      <c r="CLH31" s="72"/>
      <c r="CLI31" s="72"/>
      <c r="CLJ31" s="72"/>
      <c r="CLK31" s="72"/>
      <c r="CLL31" s="72"/>
      <c r="CLM31" s="72"/>
      <c r="CLN31" s="72"/>
      <c r="CLO31" s="72"/>
      <c r="CLP31" s="72"/>
      <c r="CLQ31" s="72"/>
      <c r="CLR31" s="72"/>
      <c r="CLS31" s="72"/>
      <c r="CLT31" s="72"/>
      <c r="CLU31" s="72"/>
      <c r="CLV31" s="72"/>
      <c r="CLW31" s="72"/>
      <c r="CLX31" s="72"/>
      <c r="CLY31" s="72"/>
      <c r="CLZ31" s="72"/>
      <c r="CMA31" s="72"/>
      <c r="CMB31" s="72"/>
      <c r="CMC31" s="72"/>
      <c r="CMD31" s="72"/>
      <c r="CME31" s="72"/>
      <c r="CMF31" s="72"/>
      <c r="CMG31" s="72"/>
      <c r="CMH31" s="72"/>
      <c r="CMI31" s="72"/>
      <c r="CMJ31" s="72"/>
      <c r="CMK31" s="72"/>
      <c r="CML31" s="72"/>
      <c r="CMM31" s="72"/>
      <c r="CMN31" s="72"/>
      <c r="CMO31" s="72"/>
      <c r="CMP31" s="72"/>
      <c r="CMQ31" s="72"/>
      <c r="CMR31" s="72"/>
      <c r="CMS31" s="72"/>
      <c r="CMT31" s="72"/>
      <c r="CMU31" s="72"/>
      <c r="CMV31" s="72"/>
      <c r="CMW31" s="72"/>
      <c r="CMX31" s="72"/>
      <c r="CMY31" s="72"/>
      <c r="CMZ31" s="72"/>
      <c r="CNA31" s="72"/>
      <c r="CNB31" s="72"/>
      <c r="CNC31" s="72"/>
      <c r="CND31" s="72"/>
      <c r="CNE31" s="72"/>
      <c r="CNF31" s="72"/>
      <c r="CNG31" s="72"/>
      <c r="CNH31" s="72"/>
      <c r="CNI31" s="72"/>
      <c r="CNJ31" s="72"/>
      <c r="CNK31" s="72"/>
      <c r="CNL31" s="72"/>
      <c r="CNM31" s="72"/>
      <c r="CNN31" s="72"/>
      <c r="CNO31" s="72"/>
      <c r="CNP31" s="72"/>
      <c r="CNQ31" s="72"/>
      <c r="CNR31" s="72"/>
      <c r="CNS31" s="72"/>
      <c r="CNT31" s="72"/>
      <c r="CNU31" s="72"/>
      <c r="CNV31" s="72"/>
      <c r="CNW31" s="72"/>
      <c r="CNX31" s="72"/>
      <c r="CNY31" s="72"/>
      <c r="CNZ31" s="72"/>
      <c r="COA31" s="72"/>
      <c r="COB31" s="72"/>
      <c r="COC31" s="72"/>
      <c r="COD31" s="72"/>
      <c r="COE31" s="72"/>
      <c r="COF31" s="72"/>
      <c r="COG31" s="72"/>
      <c r="COH31" s="72"/>
      <c r="COI31" s="72"/>
      <c r="COJ31" s="72"/>
      <c r="COK31" s="72"/>
      <c r="COL31" s="72"/>
      <c r="COM31" s="72"/>
      <c r="CON31" s="72"/>
      <c r="COO31" s="72"/>
      <c r="COP31" s="72"/>
      <c r="COQ31" s="72"/>
      <c r="COR31" s="72"/>
      <c r="COS31" s="72"/>
      <c r="COT31" s="72"/>
      <c r="COU31" s="72"/>
      <c r="COV31" s="72"/>
      <c r="COW31" s="72"/>
      <c r="COX31" s="72"/>
      <c r="COY31" s="72"/>
      <c r="COZ31" s="72"/>
      <c r="CPA31" s="72"/>
      <c r="CPB31" s="72"/>
      <c r="CPC31" s="72"/>
      <c r="CPD31" s="72"/>
      <c r="CPE31" s="72"/>
      <c r="CPF31" s="72"/>
      <c r="CPG31" s="72"/>
      <c r="CPH31" s="72"/>
      <c r="CPI31" s="72"/>
      <c r="CPJ31" s="72"/>
      <c r="CPK31" s="72"/>
      <c r="CPL31" s="72"/>
      <c r="CPM31" s="72"/>
      <c r="CPN31" s="72"/>
      <c r="CPO31" s="72"/>
      <c r="CPP31" s="72"/>
      <c r="CPQ31" s="72"/>
      <c r="CPR31" s="72"/>
      <c r="CPS31" s="72"/>
      <c r="CPT31" s="72"/>
      <c r="CPU31" s="72"/>
      <c r="CPV31" s="72"/>
      <c r="CPW31" s="72"/>
      <c r="CPX31" s="72"/>
      <c r="CPY31" s="72"/>
      <c r="CPZ31" s="72"/>
      <c r="CQA31" s="72"/>
      <c r="CQB31" s="72"/>
      <c r="CQC31" s="72"/>
      <c r="CQD31" s="72"/>
      <c r="CQE31" s="72"/>
      <c r="CQF31" s="72"/>
      <c r="CQG31" s="72"/>
      <c r="CQH31" s="72"/>
      <c r="CQI31" s="72"/>
      <c r="CQJ31" s="72"/>
      <c r="CQK31" s="72"/>
      <c r="CQL31" s="72"/>
      <c r="CQM31" s="72"/>
      <c r="CQN31" s="72"/>
      <c r="CQO31" s="72"/>
      <c r="CQP31" s="72"/>
      <c r="CQQ31" s="72"/>
      <c r="CQR31" s="72"/>
      <c r="CQS31" s="72"/>
      <c r="CQT31" s="72"/>
      <c r="CQU31" s="72"/>
      <c r="CQV31" s="72"/>
      <c r="CQW31" s="72"/>
      <c r="CQX31" s="72"/>
      <c r="CQY31" s="72"/>
      <c r="CQZ31" s="72"/>
      <c r="CRA31" s="72"/>
      <c r="CRB31" s="72"/>
      <c r="CRC31" s="72"/>
      <c r="CRD31" s="72"/>
      <c r="CRE31" s="72"/>
      <c r="CRF31" s="72"/>
      <c r="CRG31" s="72"/>
      <c r="CRH31" s="72"/>
      <c r="CRI31" s="72"/>
      <c r="CRJ31" s="72"/>
      <c r="CRK31" s="72"/>
      <c r="CRL31" s="72"/>
      <c r="CRM31" s="72"/>
      <c r="CRN31" s="72"/>
      <c r="CRO31" s="72"/>
      <c r="CRP31" s="72"/>
      <c r="CRQ31" s="72"/>
      <c r="CRR31" s="72"/>
      <c r="CRS31" s="72"/>
      <c r="CRT31" s="72"/>
      <c r="CRU31" s="72"/>
      <c r="CRV31" s="72"/>
      <c r="CRW31" s="72"/>
      <c r="CRX31" s="72"/>
      <c r="CRY31" s="72"/>
      <c r="CRZ31" s="72"/>
      <c r="CSA31" s="72"/>
      <c r="CSB31" s="72"/>
      <c r="CSC31" s="72"/>
      <c r="CSD31" s="72"/>
      <c r="CSE31" s="72"/>
      <c r="CSF31" s="72"/>
      <c r="CSG31" s="72"/>
      <c r="CSH31" s="72"/>
      <c r="CSI31" s="72"/>
      <c r="CSJ31" s="72"/>
      <c r="CSK31" s="72"/>
      <c r="CSL31" s="72"/>
      <c r="CSM31" s="72"/>
      <c r="CSN31" s="72"/>
      <c r="CSO31" s="72"/>
      <c r="CSP31" s="72"/>
      <c r="CSQ31" s="72"/>
      <c r="CSR31" s="72"/>
      <c r="CSS31" s="72"/>
      <c r="CST31" s="72"/>
      <c r="CSU31" s="72"/>
      <c r="CSV31" s="72"/>
      <c r="CSW31" s="72"/>
      <c r="CSX31" s="72"/>
      <c r="CSY31" s="72"/>
      <c r="CSZ31" s="72"/>
      <c r="CTA31" s="72"/>
      <c r="CTB31" s="72"/>
      <c r="CTC31" s="72"/>
      <c r="CTD31" s="72"/>
      <c r="CTE31" s="72"/>
      <c r="CTF31" s="72"/>
      <c r="CTG31" s="72"/>
      <c r="CTH31" s="72"/>
      <c r="CTI31" s="72"/>
      <c r="CTJ31" s="72"/>
      <c r="CTK31" s="72"/>
      <c r="CTL31" s="72"/>
      <c r="CTM31" s="72"/>
      <c r="CTN31" s="72"/>
      <c r="CTO31" s="72"/>
      <c r="CTP31" s="72"/>
      <c r="CTQ31" s="72"/>
      <c r="CTR31" s="72"/>
      <c r="CTS31" s="72"/>
      <c r="CTT31" s="72"/>
      <c r="CTU31" s="72"/>
      <c r="CTV31" s="72"/>
      <c r="CTW31" s="72"/>
      <c r="CTX31" s="72"/>
      <c r="CTY31" s="72"/>
      <c r="CTZ31" s="72"/>
      <c r="CUA31" s="72"/>
      <c r="CUB31" s="72"/>
      <c r="CUC31" s="72"/>
      <c r="CUD31" s="72"/>
      <c r="CUE31" s="72"/>
      <c r="CUF31" s="72"/>
      <c r="CUG31" s="72"/>
      <c r="CUH31" s="72"/>
      <c r="CUI31" s="72"/>
      <c r="CUJ31" s="72"/>
      <c r="CUK31" s="72"/>
      <c r="CUL31" s="72"/>
      <c r="CUM31" s="72"/>
      <c r="CUN31" s="72"/>
      <c r="CUO31" s="72"/>
      <c r="CUP31" s="72"/>
      <c r="CUQ31" s="72"/>
      <c r="CUR31" s="72"/>
      <c r="CUS31" s="72"/>
      <c r="CUT31" s="72"/>
      <c r="CUU31" s="72"/>
      <c r="CUV31" s="72"/>
      <c r="CUW31" s="72"/>
      <c r="CUX31" s="72"/>
      <c r="CUY31" s="72"/>
      <c r="CUZ31" s="72"/>
      <c r="CVA31" s="72"/>
      <c r="CVB31" s="72"/>
      <c r="CVC31" s="72"/>
      <c r="CVD31" s="72"/>
      <c r="CVE31" s="72"/>
      <c r="CVF31" s="72"/>
      <c r="CVG31" s="72"/>
      <c r="CVH31" s="72"/>
      <c r="CVI31" s="72"/>
      <c r="CVJ31" s="72"/>
      <c r="CVK31" s="72"/>
      <c r="CVL31" s="72"/>
      <c r="CVM31" s="72"/>
      <c r="CVN31" s="72"/>
      <c r="CVO31" s="72"/>
      <c r="CVP31" s="72"/>
      <c r="CVQ31" s="72"/>
      <c r="CVR31" s="72"/>
      <c r="CVS31" s="72"/>
      <c r="CVT31" s="72"/>
      <c r="CVU31" s="72"/>
      <c r="CVV31" s="72"/>
      <c r="CVW31" s="72"/>
      <c r="CVX31" s="72"/>
      <c r="CVY31" s="72"/>
      <c r="CVZ31" s="72"/>
      <c r="CWA31" s="72"/>
      <c r="CWB31" s="72"/>
      <c r="CWC31" s="72"/>
      <c r="CWD31" s="72"/>
      <c r="CWE31" s="72"/>
      <c r="CWF31" s="72"/>
      <c r="CWG31" s="72"/>
      <c r="CWH31" s="72"/>
      <c r="CWI31" s="72"/>
      <c r="CWJ31" s="72"/>
      <c r="CWK31" s="72"/>
      <c r="CWL31" s="72"/>
      <c r="CWM31" s="72"/>
      <c r="CWN31" s="72"/>
      <c r="CWO31" s="72"/>
      <c r="CWP31" s="72"/>
      <c r="CWQ31" s="72"/>
      <c r="CWR31" s="72"/>
      <c r="CWS31" s="72"/>
      <c r="CWT31" s="72"/>
      <c r="CWU31" s="72"/>
      <c r="CWV31" s="72"/>
      <c r="CWW31" s="72"/>
      <c r="CWX31" s="72"/>
      <c r="CWY31" s="72"/>
      <c r="CWZ31" s="72"/>
      <c r="CXA31" s="72"/>
      <c r="CXB31" s="72"/>
      <c r="CXC31" s="72"/>
      <c r="CXD31" s="72"/>
      <c r="CXE31" s="72"/>
      <c r="CXF31" s="72"/>
      <c r="CXG31" s="72"/>
      <c r="CXH31" s="72"/>
      <c r="CXI31" s="72"/>
      <c r="CXJ31" s="72"/>
      <c r="CXK31" s="72"/>
      <c r="CXL31" s="72"/>
      <c r="CXM31" s="72"/>
      <c r="CXN31" s="72"/>
      <c r="CXO31" s="72"/>
      <c r="CXP31" s="72"/>
      <c r="CXQ31" s="72"/>
      <c r="CXR31" s="72"/>
      <c r="CXS31" s="72"/>
      <c r="CXT31" s="72"/>
      <c r="CXU31" s="72"/>
      <c r="CXV31" s="72"/>
      <c r="CXW31" s="72"/>
      <c r="CXX31" s="72"/>
      <c r="CXY31" s="72"/>
      <c r="CXZ31" s="72"/>
      <c r="CYA31" s="72"/>
      <c r="CYB31" s="72"/>
      <c r="CYC31" s="72"/>
      <c r="CYD31" s="72"/>
      <c r="CYE31" s="72"/>
      <c r="CYF31" s="72"/>
      <c r="CYG31" s="72"/>
      <c r="CYH31" s="72"/>
      <c r="CYI31" s="72"/>
      <c r="CYJ31" s="72"/>
      <c r="CYK31" s="72"/>
      <c r="CYL31" s="72"/>
      <c r="CYM31" s="72"/>
      <c r="CYN31" s="72"/>
      <c r="CYO31" s="72"/>
      <c r="CYP31" s="72"/>
      <c r="CYQ31" s="72"/>
      <c r="CYR31" s="72"/>
      <c r="CYS31" s="72"/>
      <c r="CYT31" s="72"/>
      <c r="CYU31" s="72"/>
      <c r="CYV31" s="72"/>
      <c r="CYW31" s="72"/>
      <c r="CYX31" s="72"/>
      <c r="CYY31" s="72"/>
      <c r="CYZ31" s="72"/>
      <c r="CZA31" s="72"/>
      <c r="CZB31" s="72"/>
      <c r="CZC31" s="72"/>
      <c r="CZD31" s="72"/>
      <c r="CZE31" s="72"/>
      <c r="CZF31" s="72"/>
      <c r="CZG31" s="72"/>
      <c r="CZH31" s="72"/>
      <c r="CZI31" s="72"/>
      <c r="CZJ31" s="72"/>
      <c r="CZK31" s="72"/>
      <c r="CZL31" s="72"/>
      <c r="CZM31" s="72"/>
      <c r="CZN31" s="72"/>
      <c r="CZO31" s="72"/>
      <c r="CZP31" s="72"/>
      <c r="CZQ31" s="72"/>
      <c r="CZR31" s="72"/>
      <c r="CZS31" s="72"/>
      <c r="CZT31" s="72"/>
      <c r="CZU31" s="72"/>
      <c r="CZV31" s="72"/>
      <c r="CZW31" s="72"/>
      <c r="CZX31" s="72"/>
      <c r="CZY31" s="72"/>
      <c r="CZZ31" s="72"/>
      <c r="DAA31" s="72"/>
      <c r="DAB31" s="72"/>
      <c r="DAC31" s="72"/>
      <c r="DAD31" s="72"/>
      <c r="DAE31" s="72"/>
      <c r="DAF31" s="72"/>
      <c r="DAG31" s="72"/>
      <c r="DAH31" s="72"/>
      <c r="DAI31" s="72"/>
      <c r="DAJ31" s="72"/>
      <c r="DAK31" s="72"/>
      <c r="DAL31" s="72"/>
      <c r="DAM31" s="72"/>
      <c r="DAN31" s="72"/>
      <c r="DAO31" s="72"/>
      <c r="DAP31" s="72"/>
      <c r="DAQ31" s="72"/>
      <c r="DAR31" s="72"/>
      <c r="DAS31" s="72"/>
      <c r="DAT31" s="72"/>
      <c r="DAU31" s="72"/>
      <c r="DAV31" s="72"/>
      <c r="DAW31" s="72"/>
      <c r="DAX31" s="72"/>
      <c r="DAY31" s="72"/>
      <c r="DAZ31" s="72"/>
      <c r="DBA31" s="72"/>
      <c r="DBB31" s="72"/>
      <c r="DBC31" s="72"/>
      <c r="DBD31" s="72"/>
      <c r="DBE31" s="72"/>
      <c r="DBF31" s="72"/>
      <c r="DBG31" s="72"/>
      <c r="DBH31" s="72"/>
      <c r="DBI31" s="72"/>
      <c r="DBJ31" s="72"/>
      <c r="DBK31" s="72"/>
      <c r="DBL31" s="72"/>
      <c r="DBM31" s="72"/>
      <c r="DBN31" s="72"/>
      <c r="DBO31" s="72"/>
      <c r="DBP31" s="72"/>
      <c r="DBQ31" s="72"/>
      <c r="DBR31" s="72"/>
      <c r="DBS31" s="72"/>
      <c r="DBT31" s="72"/>
      <c r="DBU31" s="72"/>
      <c r="DBV31" s="72"/>
      <c r="DBW31" s="72"/>
      <c r="DBX31" s="72"/>
      <c r="DBY31" s="72"/>
      <c r="DBZ31" s="72"/>
      <c r="DCA31" s="72"/>
      <c r="DCB31" s="72"/>
      <c r="DCC31" s="72"/>
      <c r="DCD31" s="72"/>
      <c r="DCE31" s="72"/>
      <c r="DCF31" s="72"/>
      <c r="DCG31" s="72"/>
      <c r="DCH31" s="72"/>
      <c r="DCI31" s="72"/>
      <c r="DCJ31" s="72"/>
      <c r="DCK31" s="72"/>
      <c r="DCL31" s="72"/>
      <c r="DCM31" s="72"/>
      <c r="DCN31" s="72"/>
      <c r="DCO31" s="72"/>
      <c r="DCP31" s="72"/>
      <c r="DCQ31" s="72"/>
      <c r="DCR31" s="72"/>
      <c r="DCS31" s="72"/>
      <c r="DCT31" s="72"/>
      <c r="DCU31" s="72"/>
      <c r="DCV31" s="72"/>
      <c r="DCW31" s="72"/>
      <c r="DCX31" s="72"/>
      <c r="DCY31" s="72"/>
      <c r="DCZ31" s="72"/>
      <c r="DDA31" s="72"/>
      <c r="DDB31" s="72"/>
      <c r="DDC31" s="72"/>
      <c r="DDD31" s="72"/>
      <c r="DDE31" s="72"/>
      <c r="DDF31" s="72"/>
      <c r="DDG31" s="72"/>
      <c r="DDH31" s="72"/>
      <c r="DDI31" s="72"/>
      <c r="DDJ31" s="72"/>
      <c r="DDK31" s="72"/>
      <c r="DDL31" s="72"/>
      <c r="DDM31" s="72"/>
      <c r="DDN31" s="72"/>
      <c r="DDO31" s="72"/>
      <c r="DDP31" s="72"/>
      <c r="DDQ31" s="72"/>
      <c r="DDR31" s="72"/>
      <c r="DDS31" s="72"/>
      <c r="DDT31" s="72"/>
      <c r="DDU31" s="72"/>
      <c r="DDV31" s="72"/>
      <c r="DDW31" s="72"/>
      <c r="DDX31" s="72"/>
      <c r="DDY31" s="72"/>
      <c r="DDZ31" s="72"/>
      <c r="DEA31" s="72"/>
      <c r="DEB31" s="72"/>
      <c r="DEC31" s="72"/>
      <c r="DED31" s="72"/>
      <c r="DEE31" s="72"/>
      <c r="DEF31" s="72"/>
      <c r="DEG31" s="72"/>
      <c r="DEH31" s="72"/>
      <c r="DEI31" s="72"/>
      <c r="DEJ31" s="72"/>
      <c r="DEK31" s="72"/>
      <c r="DEL31" s="72"/>
      <c r="DEM31" s="72"/>
      <c r="DEN31" s="72"/>
      <c r="DEO31" s="72"/>
      <c r="DEP31" s="72"/>
      <c r="DEQ31" s="72"/>
      <c r="DER31" s="72"/>
      <c r="DES31" s="72"/>
      <c r="DET31" s="72"/>
      <c r="DEU31" s="72"/>
      <c r="DEV31" s="72"/>
      <c r="DEW31" s="72"/>
      <c r="DEX31" s="72"/>
      <c r="DEY31" s="72"/>
      <c r="DEZ31" s="72"/>
      <c r="DFA31" s="72"/>
      <c r="DFB31" s="72"/>
      <c r="DFC31" s="72"/>
      <c r="DFD31" s="72"/>
      <c r="DFE31" s="72"/>
      <c r="DFF31" s="72"/>
      <c r="DFG31" s="72"/>
      <c r="DFH31" s="72"/>
      <c r="DFI31" s="72"/>
      <c r="DFJ31" s="72"/>
      <c r="DFK31" s="72"/>
      <c r="DFL31" s="72"/>
      <c r="DFM31" s="72"/>
      <c r="DFN31" s="72"/>
      <c r="DFO31" s="72"/>
      <c r="DFP31" s="72"/>
      <c r="DFQ31" s="72"/>
      <c r="DFR31" s="72"/>
      <c r="DFS31" s="72"/>
      <c r="DFT31" s="72"/>
      <c r="DFU31" s="72"/>
      <c r="DFV31" s="72"/>
      <c r="DFW31" s="72"/>
      <c r="DFX31" s="72"/>
      <c r="DFY31" s="72"/>
      <c r="DFZ31" s="72"/>
      <c r="DGA31" s="72"/>
      <c r="DGB31" s="72"/>
      <c r="DGC31" s="72"/>
      <c r="DGD31" s="72"/>
      <c r="DGE31" s="72"/>
      <c r="DGF31" s="72"/>
      <c r="DGG31" s="72"/>
      <c r="DGH31" s="72"/>
      <c r="DGI31" s="72"/>
      <c r="DGJ31" s="72"/>
      <c r="DGK31" s="72"/>
      <c r="DGL31" s="72"/>
      <c r="DGM31" s="72"/>
      <c r="DGN31" s="72"/>
      <c r="DGO31" s="72"/>
      <c r="DGP31" s="72"/>
      <c r="DGQ31" s="72"/>
      <c r="DGR31" s="72"/>
      <c r="DGS31" s="72"/>
      <c r="DGT31" s="72"/>
      <c r="DGU31" s="72"/>
      <c r="DGV31" s="72"/>
      <c r="DGW31" s="72"/>
      <c r="DGX31" s="72"/>
      <c r="DGY31" s="72"/>
      <c r="DGZ31" s="72"/>
      <c r="DHA31" s="72"/>
      <c r="DHB31" s="72"/>
      <c r="DHC31" s="72"/>
      <c r="DHD31" s="72"/>
      <c r="DHE31" s="72"/>
      <c r="DHF31" s="72"/>
      <c r="DHG31" s="72"/>
      <c r="DHH31" s="72"/>
      <c r="DHI31" s="72"/>
      <c r="DHJ31" s="72"/>
      <c r="DHK31" s="72"/>
      <c r="DHL31" s="72"/>
      <c r="DHM31" s="72"/>
      <c r="DHN31" s="72"/>
      <c r="DHO31" s="72"/>
      <c r="DHP31" s="72"/>
      <c r="DHQ31" s="72"/>
      <c r="DHR31" s="72"/>
      <c r="DHS31" s="72"/>
      <c r="DHT31" s="72"/>
      <c r="DHU31" s="72"/>
      <c r="DHV31" s="72"/>
      <c r="DHW31" s="72"/>
      <c r="DHX31" s="72"/>
      <c r="DHY31" s="72"/>
      <c r="DHZ31" s="72"/>
      <c r="DIA31" s="72"/>
      <c r="DIB31" s="72"/>
      <c r="DIC31" s="72"/>
      <c r="DID31" s="72"/>
      <c r="DIE31" s="72"/>
      <c r="DIF31" s="72"/>
      <c r="DIG31" s="72"/>
      <c r="DIH31" s="72"/>
      <c r="DII31" s="72"/>
      <c r="DIJ31" s="72"/>
      <c r="DIK31" s="72"/>
      <c r="DIL31" s="72"/>
      <c r="DIM31" s="72"/>
      <c r="DIN31" s="72"/>
      <c r="DIO31" s="72"/>
      <c r="DIP31" s="72"/>
      <c r="DIQ31" s="72"/>
      <c r="DIR31" s="72"/>
      <c r="DIS31" s="72"/>
      <c r="DIT31" s="72"/>
      <c r="DIU31" s="72"/>
      <c r="DIV31" s="72"/>
      <c r="DIW31" s="72"/>
      <c r="DIX31" s="72"/>
      <c r="DIY31" s="72"/>
      <c r="DIZ31" s="72"/>
      <c r="DJA31" s="72"/>
      <c r="DJB31" s="72"/>
      <c r="DJC31" s="72"/>
      <c r="DJD31" s="72"/>
      <c r="DJE31" s="72"/>
      <c r="DJF31" s="72"/>
      <c r="DJG31" s="72"/>
      <c r="DJH31" s="72"/>
      <c r="DJI31" s="72"/>
      <c r="DJJ31" s="72"/>
      <c r="DJK31" s="72"/>
      <c r="DJL31" s="72"/>
      <c r="DJM31" s="72"/>
      <c r="DJN31" s="72"/>
      <c r="DJO31" s="72"/>
      <c r="DJP31" s="72"/>
      <c r="DJQ31" s="72"/>
      <c r="DJR31" s="72"/>
      <c r="DJS31" s="72"/>
      <c r="DJT31" s="72"/>
      <c r="DJU31" s="72"/>
      <c r="DJV31" s="72"/>
      <c r="DJW31" s="72"/>
      <c r="DJX31" s="72"/>
      <c r="DJY31" s="72"/>
      <c r="DJZ31" s="72"/>
      <c r="DKA31" s="72"/>
      <c r="DKB31" s="72"/>
      <c r="DKC31" s="72"/>
      <c r="DKD31" s="72"/>
      <c r="DKE31" s="72"/>
      <c r="DKF31" s="72"/>
      <c r="DKG31" s="72"/>
      <c r="DKH31" s="72"/>
      <c r="DKI31" s="72"/>
      <c r="DKJ31" s="72"/>
      <c r="DKK31" s="72"/>
      <c r="DKL31" s="72"/>
      <c r="DKM31" s="72"/>
      <c r="DKN31" s="72"/>
      <c r="DKO31" s="72"/>
      <c r="DKP31" s="72"/>
      <c r="DKQ31" s="72"/>
      <c r="DKR31" s="72"/>
      <c r="DKS31" s="72"/>
      <c r="DKT31" s="72"/>
      <c r="DKU31" s="72"/>
      <c r="DKV31" s="72"/>
      <c r="DKW31" s="72"/>
      <c r="DKX31" s="72"/>
      <c r="DKY31" s="72"/>
      <c r="DKZ31" s="72"/>
      <c r="DLA31" s="72"/>
      <c r="DLB31" s="72"/>
      <c r="DLC31" s="72"/>
      <c r="DLD31" s="72"/>
      <c r="DLE31" s="72"/>
      <c r="DLF31" s="72"/>
      <c r="DLG31" s="72"/>
      <c r="DLH31" s="72"/>
      <c r="DLI31" s="72"/>
      <c r="DLJ31" s="72"/>
      <c r="DLK31" s="72"/>
      <c r="DLL31" s="72"/>
      <c r="DLM31" s="72"/>
      <c r="DLN31" s="72"/>
      <c r="DLO31" s="72"/>
      <c r="DLP31" s="72"/>
      <c r="DLQ31" s="72"/>
      <c r="DLR31" s="72"/>
      <c r="DLS31" s="72"/>
      <c r="DLT31" s="72"/>
      <c r="DLU31" s="72"/>
      <c r="DLV31" s="72"/>
      <c r="DLW31" s="72"/>
      <c r="DLX31" s="72"/>
      <c r="DLY31" s="72"/>
      <c r="DLZ31" s="72"/>
      <c r="DMA31" s="72"/>
      <c r="DMB31" s="72"/>
      <c r="DMC31" s="72"/>
      <c r="DMD31" s="72"/>
      <c r="DME31" s="72"/>
      <c r="DMF31" s="72"/>
      <c r="DMG31" s="72"/>
      <c r="DMH31" s="72"/>
      <c r="DMI31" s="72"/>
      <c r="DMJ31" s="72"/>
      <c r="DMK31" s="72"/>
      <c r="DML31" s="72"/>
      <c r="DMM31" s="72"/>
      <c r="DMN31" s="72"/>
      <c r="DMO31" s="72"/>
      <c r="DMP31" s="72"/>
      <c r="DMQ31" s="72"/>
      <c r="DMR31" s="72"/>
      <c r="DMS31" s="72"/>
      <c r="DMT31" s="72"/>
      <c r="DMU31" s="72"/>
      <c r="DMV31" s="72"/>
      <c r="DMW31" s="72"/>
      <c r="DMX31" s="72"/>
      <c r="DMY31" s="72"/>
      <c r="DMZ31" s="72"/>
      <c r="DNA31" s="72"/>
      <c r="DNB31" s="72"/>
      <c r="DNC31" s="72"/>
      <c r="DND31" s="72"/>
      <c r="DNE31" s="72"/>
      <c r="DNF31" s="72"/>
      <c r="DNG31" s="72"/>
      <c r="DNH31" s="72"/>
      <c r="DNI31" s="72"/>
      <c r="DNJ31" s="72"/>
      <c r="DNK31" s="72"/>
      <c r="DNL31" s="72"/>
      <c r="DNM31" s="72"/>
      <c r="DNN31" s="72"/>
      <c r="DNO31" s="72"/>
      <c r="DNP31" s="72"/>
      <c r="DNQ31" s="72"/>
      <c r="DNR31" s="72"/>
      <c r="DNS31" s="72"/>
      <c r="DNT31" s="72"/>
      <c r="DNU31" s="72"/>
      <c r="DNV31" s="72"/>
      <c r="DNW31" s="72"/>
      <c r="DNX31" s="72"/>
      <c r="DNY31" s="72"/>
      <c r="DNZ31" s="72"/>
      <c r="DOA31" s="72"/>
      <c r="DOB31" s="72"/>
      <c r="DOC31" s="72"/>
      <c r="DOD31" s="72"/>
      <c r="DOE31" s="72"/>
      <c r="DOF31" s="72"/>
      <c r="DOG31" s="72"/>
      <c r="DOH31" s="72"/>
      <c r="DOI31" s="72"/>
      <c r="DOJ31" s="72"/>
      <c r="DOK31" s="72"/>
      <c r="DOL31" s="72"/>
      <c r="DOM31" s="72"/>
      <c r="DON31" s="72"/>
      <c r="DOO31" s="72"/>
      <c r="DOP31" s="72"/>
      <c r="DOQ31" s="72"/>
      <c r="DOR31" s="72"/>
      <c r="DOS31" s="72"/>
      <c r="DOT31" s="72"/>
      <c r="DOU31" s="72"/>
      <c r="DOV31" s="72"/>
      <c r="DOW31" s="72"/>
      <c r="DOX31" s="72"/>
      <c r="DOY31" s="72"/>
      <c r="DOZ31" s="72"/>
      <c r="DPA31" s="72"/>
      <c r="DPB31" s="72"/>
      <c r="DPC31" s="72"/>
      <c r="DPD31" s="72"/>
      <c r="DPE31" s="72"/>
      <c r="DPF31" s="72"/>
      <c r="DPG31" s="72"/>
      <c r="DPH31" s="72"/>
      <c r="DPI31" s="72"/>
      <c r="DPJ31" s="72"/>
      <c r="DPK31" s="72"/>
      <c r="DPL31" s="72"/>
      <c r="DPM31" s="72"/>
      <c r="DPN31" s="72"/>
      <c r="DPO31" s="72"/>
      <c r="DPP31" s="72"/>
      <c r="DPQ31" s="72"/>
      <c r="DPR31" s="72"/>
      <c r="DPS31" s="72"/>
      <c r="DPT31" s="72"/>
      <c r="DPU31" s="72"/>
      <c r="DPV31" s="72"/>
      <c r="DPW31" s="72"/>
      <c r="DPX31" s="72"/>
      <c r="DPY31" s="72"/>
      <c r="DPZ31" s="72"/>
      <c r="DQA31" s="72"/>
      <c r="DQB31" s="72"/>
      <c r="DQC31" s="72"/>
      <c r="DQD31" s="72"/>
      <c r="DQE31" s="72"/>
      <c r="DQF31" s="72"/>
      <c r="DQG31" s="72"/>
      <c r="DQH31" s="72"/>
      <c r="DQI31" s="72"/>
      <c r="DQJ31" s="72"/>
      <c r="DQK31" s="72"/>
      <c r="DQL31" s="72"/>
      <c r="DQM31" s="72"/>
      <c r="DQN31" s="72"/>
      <c r="DQO31" s="72"/>
      <c r="DQP31" s="72"/>
      <c r="DQQ31" s="72"/>
      <c r="DQR31" s="72"/>
      <c r="DQS31" s="72"/>
      <c r="DQT31" s="72"/>
      <c r="DQU31" s="72"/>
      <c r="DQV31" s="72"/>
      <c r="DQW31" s="72"/>
      <c r="DQX31" s="72"/>
      <c r="DQY31" s="72"/>
      <c r="DQZ31" s="72"/>
      <c r="DRA31" s="72"/>
      <c r="DRB31" s="72"/>
      <c r="DRC31" s="72"/>
      <c r="DRD31" s="72"/>
      <c r="DRE31" s="72"/>
      <c r="DRF31" s="72"/>
      <c r="DRG31" s="72"/>
      <c r="DRH31" s="72"/>
      <c r="DRI31" s="72"/>
      <c r="DRJ31" s="72"/>
      <c r="DRK31" s="72"/>
      <c r="DRL31" s="72"/>
      <c r="DRM31" s="72"/>
      <c r="DRN31" s="72"/>
      <c r="DRO31" s="72"/>
      <c r="DRP31" s="72"/>
      <c r="DRQ31" s="72"/>
      <c r="DRR31" s="72"/>
      <c r="DRS31" s="72"/>
      <c r="DRT31" s="72"/>
      <c r="DRU31" s="72"/>
      <c r="DRV31" s="72"/>
      <c r="DRW31" s="72"/>
      <c r="DRX31" s="72"/>
      <c r="DRY31" s="72"/>
      <c r="DRZ31" s="72"/>
      <c r="DSA31" s="72"/>
      <c r="DSB31" s="72"/>
      <c r="DSC31" s="72"/>
      <c r="DSD31" s="72"/>
      <c r="DSE31" s="72"/>
      <c r="DSF31" s="72"/>
      <c r="DSG31" s="72"/>
      <c r="DSH31" s="72"/>
      <c r="DSI31" s="72"/>
      <c r="DSJ31" s="72"/>
      <c r="DSK31" s="72"/>
      <c r="DSL31" s="72"/>
      <c r="DSM31" s="72"/>
      <c r="DSN31" s="72"/>
      <c r="DSO31" s="72"/>
      <c r="DSP31" s="72"/>
      <c r="DSQ31" s="72"/>
      <c r="DSR31" s="72"/>
      <c r="DSS31" s="72"/>
      <c r="DST31" s="72"/>
      <c r="DSU31" s="72"/>
      <c r="DSV31" s="72"/>
      <c r="DSW31" s="72"/>
      <c r="DSX31" s="72"/>
      <c r="DSY31" s="72"/>
      <c r="DSZ31" s="72"/>
      <c r="DTA31" s="72"/>
      <c r="DTB31" s="72"/>
      <c r="DTC31" s="72"/>
      <c r="DTD31" s="72"/>
      <c r="DTE31" s="72"/>
      <c r="DTF31" s="72"/>
      <c r="DTG31" s="72"/>
      <c r="DTH31" s="72"/>
      <c r="DTI31" s="72"/>
      <c r="DTJ31" s="72"/>
      <c r="DTK31" s="72"/>
      <c r="DTL31" s="72"/>
      <c r="DTM31" s="72"/>
      <c r="DTN31" s="72"/>
      <c r="DTO31" s="72"/>
      <c r="DTP31" s="72"/>
      <c r="DTQ31" s="72"/>
      <c r="DTR31" s="72"/>
      <c r="DTS31" s="72"/>
      <c r="DTT31" s="72"/>
      <c r="DTU31" s="72"/>
      <c r="DTV31" s="72"/>
      <c r="DTW31" s="72"/>
      <c r="DTX31" s="72"/>
      <c r="DTY31" s="72"/>
      <c r="DTZ31" s="72"/>
      <c r="DUA31" s="72"/>
      <c r="DUB31" s="72"/>
      <c r="DUC31" s="72"/>
      <c r="DUD31" s="72"/>
      <c r="DUE31" s="72"/>
      <c r="DUF31" s="72"/>
      <c r="DUG31" s="72"/>
      <c r="DUH31" s="72"/>
      <c r="DUI31" s="72"/>
      <c r="DUJ31" s="72"/>
      <c r="DUK31" s="72"/>
      <c r="DUL31" s="72"/>
      <c r="DUM31" s="72"/>
      <c r="DUN31" s="72"/>
      <c r="DUO31" s="72"/>
      <c r="DUP31" s="72"/>
      <c r="DUQ31" s="72"/>
      <c r="DUR31" s="72"/>
      <c r="DUS31" s="72"/>
      <c r="DUT31" s="72"/>
      <c r="DUU31" s="72"/>
      <c r="DUV31" s="72"/>
      <c r="DUW31" s="72"/>
      <c r="DUX31" s="72"/>
      <c r="DUY31" s="72"/>
      <c r="DUZ31" s="72"/>
      <c r="DVA31" s="72"/>
      <c r="DVB31" s="72"/>
      <c r="DVC31" s="72"/>
      <c r="DVD31" s="72"/>
      <c r="DVE31" s="72"/>
      <c r="DVF31" s="72"/>
      <c r="DVG31" s="72"/>
      <c r="DVH31" s="72"/>
      <c r="DVI31" s="72"/>
      <c r="DVJ31" s="72"/>
      <c r="DVK31" s="72"/>
      <c r="DVL31" s="72"/>
      <c r="DVM31" s="72"/>
      <c r="DVN31" s="72"/>
      <c r="DVO31" s="72"/>
      <c r="DVP31" s="72"/>
      <c r="DVQ31" s="72"/>
      <c r="DVR31" s="72"/>
      <c r="DVS31" s="72"/>
      <c r="DVT31" s="72"/>
      <c r="DVU31" s="72"/>
      <c r="DVV31" s="72"/>
      <c r="DVW31" s="72"/>
      <c r="DVX31" s="72"/>
      <c r="DVY31" s="72"/>
      <c r="DVZ31" s="72"/>
      <c r="DWA31" s="72"/>
      <c r="DWB31" s="72"/>
      <c r="DWC31" s="72"/>
      <c r="DWD31" s="72"/>
      <c r="DWE31" s="72"/>
      <c r="DWF31" s="72"/>
      <c r="DWG31" s="72"/>
      <c r="DWH31" s="72"/>
      <c r="DWI31" s="72"/>
      <c r="DWJ31" s="72"/>
      <c r="DWK31" s="72"/>
      <c r="DWL31" s="72"/>
      <c r="DWM31" s="72"/>
      <c r="DWN31" s="72"/>
      <c r="DWO31" s="72"/>
      <c r="DWP31" s="72"/>
      <c r="DWQ31" s="72"/>
      <c r="DWR31" s="72"/>
      <c r="DWS31" s="72"/>
      <c r="DWT31" s="72"/>
      <c r="DWU31" s="72"/>
      <c r="DWV31" s="72"/>
      <c r="DWW31" s="72"/>
      <c r="DWX31" s="72"/>
      <c r="DWY31" s="72"/>
      <c r="DWZ31" s="72"/>
      <c r="DXA31" s="72"/>
      <c r="DXB31" s="72"/>
      <c r="DXC31" s="72"/>
      <c r="DXD31" s="72"/>
      <c r="DXE31" s="72"/>
      <c r="DXF31" s="72"/>
      <c r="DXG31" s="72"/>
      <c r="DXH31" s="72"/>
      <c r="DXI31" s="72"/>
      <c r="DXJ31" s="72"/>
      <c r="DXK31" s="72"/>
      <c r="DXL31" s="72"/>
      <c r="DXM31" s="72"/>
      <c r="DXN31" s="72"/>
      <c r="DXO31" s="72"/>
      <c r="DXP31" s="72"/>
      <c r="DXQ31" s="72"/>
      <c r="DXR31" s="72"/>
      <c r="DXS31" s="72"/>
      <c r="DXT31" s="72"/>
      <c r="DXU31" s="72"/>
      <c r="DXV31" s="72"/>
      <c r="DXW31" s="72"/>
      <c r="DXX31" s="72"/>
      <c r="DXY31" s="72"/>
      <c r="DXZ31" s="72"/>
      <c r="DYA31" s="72"/>
      <c r="DYB31" s="72"/>
      <c r="DYC31" s="72"/>
      <c r="DYD31" s="72"/>
      <c r="DYE31" s="72"/>
      <c r="DYF31" s="72"/>
      <c r="DYG31" s="72"/>
      <c r="DYH31" s="72"/>
      <c r="DYI31" s="72"/>
      <c r="DYJ31" s="72"/>
      <c r="DYK31" s="72"/>
      <c r="DYL31" s="72"/>
      <c r="DYM31" s="72"/>
      <c r="DYN31" s="72"/>
      <c r="DYO31" s="72"/>
      <c r="DYP31" s="72"/>
      <c r="DYQ31" s="72"/>
      <c r="DYR31" s="72"/>
      <c r="DYS31" s="72"/>
      <c r="DYT31" s="72"/>
      <c r="DYU31" s="72"/>
      <c r="DYV31" s="72"/>
      <c r="DYW31" s="72"/>
      <c r="DYX31" s="72"/>
      <c r="DYY31" s="72"/>
      <c r="DYZ31" s="72"/>
      <c r="DZA31" s="72"/>
      <c r="DZB31" s="72"/>
      <c r="DZC31" s="72"/>
      <c r="DZD31" s="72"/>
      <c r="DZE31" s="72"/>
      <c r="DZF31" s="72"/>
      <c r="DZG31" s="72"/>
      <c r="DZH31" s="72"/>
      <c r="DZI31" s="72"/>
      <c r="DZJ31" s="72"/>
      <c r="DZK31" s="72"/>
      <c r="DZL31" s="72"/>
      <c r="DZM31" s="72"/>
      <c r="DZN31" s="72"/>
      <c r="DZO31" s="72"/>
      <c r="DZP31" s="72"/>
      <c r="DZQ31" s="72"/>
      <c r="DZR31" s="72"/>
      <c r="DZS31" s="72"/>
      <c r="DZT31" s="72"/>
      <c r="DZU31" s="72"/>
      <c r="DZV31" s="72"/>
      <c r="DZW31" s="72"/>
      <c r="DZX31" s="72"/>
      <c r="DZY31" s="72"/>
      <c r="DZZ31" s="72"/>
      <c r="EAA31" s="72"/>
      <c r="EAB31" s="72"/>
      <c r="EAC31" s="72"/>
      <c r="EAD31" s="72"/>
      <c r="EAE31" s="72"/>
      <c r="EAF31" s="72"/>
      <c r="EAG31" s="72"/>
      <c r="EAH31" s="72"/>
      <c r="EAI31" s="72"/>
      <c r="EAJ31" s="72"/>
      <c r="EAK31" s="72"/>
      <c r="EAL31" s="72"/>
      <c r="EAM31" s="72"/>
      <c r="EAN31" s="72"/>
      <c r="EAO31" s="72"/>
      <c r="EAP31" s="72"/>
      <c r="EAQ31" s="72"/>
      <c r="EAR31" s="72"/>
      <c r="EAS31" s="72"/>
      <c r="EAT31" s="72"/>
      <c r="EAU31" s="72"/>
      <c r="EAV31" s="72"/>
      <c r="EAW31" s="72"/>
      <c r="EAX31" s="72"/>
      <c r="EAY31" s="72"/>
      <c r="EAZ31" s="72"/>
      <c r="EBA31" s="72"/>
      <c r="EBB31" s="72"/>
      <c r="EBC31" s="72"/>
      <c r="EBD31" s="72"/>
      <c r="EBE31" s="72"/>
      <c r="EBF31" s="72"/>
      <c r="EBG31" s="72"/>
      <c r="EBH31" s="72"/>
      <c r="EBI31" s="72"/>
      <c r="EBJ31" s="72"/>
      <c r="EBK31" s="72"/>
      <c r="EBL31" s="72"/>
      <c r="EBM31" s="72"/>
      <c r="EBN31" s="72"/>
      <c r="EBO31" s="72"/>
      <c r="EBP31" s="72"/>
      <c r="EBQ31" s="72"/>
      <c r="EBR31" s="72"/>
      <c r="EBS31" s="72"/>
      <c r="EBT31" s="72"/>
      <c r="EBU31" s="72"/>
      <c r="EBV31" s="72"/>
      <c r="EBW31" s="72"/>
      <c r="EBX31" s="72"/>
      <c r="EBY31" s="72"/>
      <c r="EBZ31" s="72"/>
      <c r="ECA31" s="72"/>
      <c r="ECB31" s="72"/>
      <c r="ECC31" s="72"/>
      <c r="ECD31" s="72"/>
      <c r="ECE31" s="72"/>
      <c r="ECF31" s="72"/>
      <c r="ECG31" s="72"/>
      <c r="ECH31" s="72"/>
      <c r="ECI31" s="72"/>
      <c r="ECJ31" s="72"/>
      <c r="ECK31" s="72"/>
      <c r="ECL31" s="72"/>
      <c r="ECM31" s="72"/>
      <c r="ECN31" s="72"/>
      <c r="ECO31" s="72"/>
      <c r="ECP31" s="72"/>
      <c r="ECQ31" s="72"/>
      <c r="ECR31" s="72"/>
      <c r="ECS31" s="72"/>
      <c r="ECT31" s="72"/>
      <c r="ECU31" s="72"/>
      <c r="ECV31" s="72"/>
      <c r="ECW31" s="72"/>
      <c r="ECX31" s="72"/>
      <c r="ECY31" s="72"/>
      <c r="ECZ31" s="72"/>
      <c r="EDA31" s="72"/>
      <c r="EDB31" s="72"/>
      <c r="EDC31" s="72"/>
      <c r="EDD31" s="72"/>
      <c r="EDE31" s="72"/>
      <c r="EDF31" s="72"/>
      <c r="EDG31" s="72"/>
      <c r="EDH31" s="72"/>
      <c r="EDI31" s="72"/>
      <c r="EDJ31" s="72"/>
      <c r="EDK31" s="72"/>
      <c r="EDL31" s="72"/>
      <c r="EDM31" s="72"/>
      <c r="EDN31" s="72"/>
      <c r="EDO31" s="72"/>
      <c r="EDP31" s="72"/>
      <c r="EDQ31" s="72"/>
      <c r="EDR31" s="72"/>
      <c r="EDS31" s="72"/>
      <c r="EDT31" s="72"/>
      <c r="EDU31" s="72"/>
      <c r="EDV31" s="72"/>
      <c r="EDW31" s="72"/>
      <c r="EDX31" s="72"/>
      <c r="EDY31" s="72"/>
      <c r="EDZ31" s="72"/>
      <c r="EEA31" s="72"/>
      <c r="EEB31" s="72"/>
      <c r="EEC31" s="72"/>
      <c r="EED31" s="72"/>
      <c r="EEE31" s="72"/>
      <c r="EEF31" s="72"/>
      <c r="EEG31" s="72"/>
      <c r="EEH31" s="72"/>
      <c r="EEI31" s="72"/>
      <c r="EEJ31" s="72"/>
      <c r="EEK31" s="72"/>
      <c r="EEL31" s="72"/>
      <c r="EEM31" s="72"/>
      <c r="EEN31" s="72"/>
      <c r="EEO31" s="72"/>
      <c r="EEP31" s="72"/>
      <c r="EEQ31" s="72"/>
      <c r="EER31" s="72"/>
      <c r="EES31" s="72"/>
      <c r="EET31" s="72"/>
      <c r="EEU31" s="72"/>
      <c r="EEV31" s="72"/>
      <c r="EEW31" s="72"/>
      <c r="EEX31" s="72"/>
      <c r="EEY31" s="72"/>
      <c r="EEZ31" s="72"/>
      <c r="EFA31" s="72"/>
      <c r="EFB31" s="72"/>
      <c r="EFC31" s="72"/>
      <c r="EFD31" s="72"/>
      <c r="EFE31" s="72"/>
      <c r="EFF31" s="72"/>
      <c r="EFG31" s="72"/>
      <c r="EFH31" s="72"/>
      <c r="EFI31" s="72"/>
      <c r="EFJ31" s="72"/>
      <c r="EFK31" s="72"/>
      <c r="EFL31" s="72"/>
      <c r="EFM31" s="72"/>
      <c r="EFN31" s="72"/>
      <c r="EFO31" s="72"/>
      <c r="EFP31" s="72"/>
      <c r="EFQ31" s="72"/>
      <c r="EFR31" s="72"/>
      <c r="EFS31" s="72"/>
      <c r="EFT31" s="72"/>
      <c r="EFU31" s="72"/>
      <c r="EFV31" s="72"/>
      <c r="EFW31" s="72"/>
      <c r="EFX31" s="72"/>
      <c r="EFY31" s="72"/>
      <c r="EFZ31" s="72"/>
      <c r="EGA31" s="72"/>
      <c r="EGB31" s="72"/>
      <c r="EGC31" s="72"/>
      <c r="EGD31" s="72"/>
      <c r="EGE31" s="72"/>
      <c r="EGF31" s="72"/>
      <c r="EGG31" s="72"/>
      <c r="EGH31" s="72"/>
      <c r="EGI31" s="72"/>
      <c r="EGJ31" s="72"/>
      <c r="EGK31" s="72"/>
      <c r="EGL31" s="72"/>
      <c r="EGM31" s="72"/>
      <c r="EGN31" s="72"/>
      <c r="EGO31" s="72"/>
      <c r="EGP31" s="72"/>
      <c r="EGQ31" s="72"/>
      <c r="EGR31" s="72"/>
      <c r="EGS31" s="72"/>
      <c r="EGT31" s="72"/>
      <c r="EGU31" s="72"/>
      <c r="EGV31" s="72"/>
      <c r="EGW31" s="72"/>
      <c r="EGX31" s="72"/>
      <c r="EGY31" s="72"/>
      <c r="EGZ31" s="72"/>
      <c r="EHA31" s="72"/>
      <c r="EHB31" s="72"/>
      <c r="EHC31" s="72"/>
      <c r="EHD31" s="72"/>
      <c r="EHE31" s="72"/>
      <c r="EHF31" s="72"/>
      <c r="EHG31" s="72"/>
      <c r="EHH31" s="72"/>
      <c r="EHI31" s="72"/>
      <c r="EHJ31" s="72"/>
      <c r="EHK31" s="72"/>
      <c r="EHL31" s="72"/>
      <c r="EHM31" s="72"/>
      <c r="EHN31" s="72"/>
      <c r="EHO31" s="72"/>
      <c r="EHP31" s="72"/>
      <c r="EHQ31" s="72"/>
      <c r="EHR31" s="72"/>
      <c r="EHS31" s="72"/>
      <c r="EHT31" s="72"/>
      <c r="EHU31" s="72"/>
      <c r="EHV31" s="72"/>
      <c r="EHW31" s="72"/>
      <c r="EHX31" s="72"/>
      <c r="EHY31" s="72"/>
      <c r="EHZ31" s="72"/>
      <c r="EIA31" s="72"/>
      <c r="EIB31" s="72"/>
      <c r="EIC31" s="72"/>
      <c r="EID31" s="72"/>
      <c r="EIE31" s="72"/>
      <c r="EIF31" s="72"/>
      <c r="EIG31" s="72"/>
      <c r="EIH31" s="72"/>
      <c r="EII31" s="72"/>
      <c r="EIJ31" s="72"/>
      <c r="EIK31" s="72"/>
      <c r="EIL31" s="72"/>
      <c r="EIM31" s="72"/>
      <c r="EIN31" s="72"/>
      <c r="EIO31" s="72"/>
      <c r="EIP31" s="72"/>
      <c r="EIQ31" s="72"/>
      <c r="EIR31" s="72"/>
      <c r="EIS31" s="72"/>
      <c r="EIT31" s="72"/>
      <c r="EIU31" s="72"/>
      <c r="EIV31" s="72"/>
      <c r="EIW31" s="72"/>
      <c r="EIX31" s="72"/>
      <c r="EIY31" s="72"/>
      <c r="EIZ31" s="72"/>
      <c r="EJA31" s="72"/>
      <c r="EJB31" s="72"/>
      <c r="EJC31" s="72"/>
      <c r="EJD31" s="72"/>
      <c r="EJE31" s="72"/>
      <c r="EJF31" s="72"/>
      <c r="EJG31" s="72"/>
      <c r="EJH31" s="72"/>
      <c r="EJI31" s="72"/>
      <c r="EJJ31" s="72"/>
      <c r="EJK31" s="72"/>
      <c r="EJL31" s="72"/>
      <c r="EJM31" s="72"/>
      <c r="EJN31" s="72"/>
      <c r="EJO31" s="72"/>
      <c r="EJP31" s="72"/>
      <c r="EJQ31" s="72"/>
      <c r="EJR31" s="72"/>
      <c r="EJS31" s="72"/>
      <c r="EJT31" s="72"/>
      <c r="EJU31" s="72"/>
      <c r="EJV31" s="72"/>
      <c r="EJW31" s="72"/>
      <c r="EJX31" s="72"/>
      <c r="EJY31" s="72"/>
      <c r="EJZ31" s="72"/>
      <c r="EKA31" s="72"/>
      <c r="EKB31" s="72"/>
      <c r="EKC31" s="72"/>
      <c r="EKD31" s="72"/>
      <c r="EKE31" s="72"/>
      <c r="EKF31" s="72"/>
      <c r="EKG31" s="72"/>
      <c r="EKH31" s="72"/>
      <c r="EKI31" s="72"/>
      <c r="EKJ31" s="72"/>
      <c r="EKK31" s="72"/>
      <c r="EKL31" s="72"/>
      <c r="EKM31" s="72"/>
      <c r="EKN31" s="72"/>
      <c r="EKO31" s="72"/>
      <c r="EKP31" s="72"/>
      <c r="EKQ31" s="72"/>
      <c r="EKR31" s="72"/>
      <c r="EKS31" s="72"/>
      <c r="EKT31" s="72"/>
      <c r="EKU31" s="72"/>
      <c r="EKV31" s="72"/>
      <c r="EKW31" s="72"/>
      <c r="EKX31" s="72"/>
      <c r="EKY31" s="72"/>
      <c r="EKZ31" s="72"/>
      <c r="ELA31" s="72"/>
      <c r="ELB31" s="72"/>
      <c r="ELC31" s="72"/>
      <c r="ELD31" s="72"/>
      <c r="ELE31" s="72"/>
      <c r="ELF31" s="72"/>
      <c r="ELG31" s="72"/>
      <c r="ELH31" s="72"/>
      <c r="ELI31" s="72"/>
      <c r="ELJ31" s="72"/>
      <c r="ELK31" s="72"/>
      <c r="ELL31" s="72"/>
      <c r="ELM31" s="72"/>
      <c r="ELN31" s="72"/>
      <c r="ELO31" s="72"/>
      <c r="ELP31" s="72"/>
      <c r="ELQ31" s="72"/>
      <c r="ELR31" s="72"/>
      <c r="ELS31" s="72"/>
      <c r="ELT31" s="72"/>
      <c r="ELU31" s="72"/>
      <c r="ELV31" s="72"/>
      <c r="ELW31" s="72"/>
      <c r="ELX31" s="72"/>
      <c r="ELY31" s="72"/>
      <c r="ELZ31" s="72"/>
      <c r="EMA31" s="72"/>
      <c r="EMB31" s="72"/>
      <c r="EMC31" s="72"/>
      <c r="EMD31" s="72"/>
      <c r="EME31" s="72"/>
      <c r="EMF31" s="72"/>
      <c r="EMG31" s="72"/>
      <c r="EMH31" s="72"/>
      <c r="EMI31" s="72"/>
      <c r="EMJ31" s="72"/>
      <c r="EMK31" s="72"/>
      <c r="EML31" s="72"/>
      <c r="EMM31" s="72"/>
      <c r="EMN31" s="72"/>
      <c r="EMO31" s="72"/>
      <c r="EMP31" s="72"/>
      <c r="EMQ31" s="72"/>
      <c r="EMR31" s="72"/>
      <c r="EMS31" s="72"/>
      <c r="EMT31" s="72"/>
      <c r="EMU31" s="72"/>
      <c r="EMV31" s="72"/>
      <c r="EMW31" s="72"/>
      <c r="EMX31" s="72"/>
      <c r="EMY31" s="72"/>
      <c r="EMZ31" s="72"/>
      <c r="ENA31" s="72"/>
      <c r="ENB31" s="72"/>
      <c r="ENC31" s="72"/>
      <c r="END31" s="72"/>
      <c r="ENE31" s="72"/>
      <c r="ENF31" s="72"/>
      <c r="ENG31" s="72"/>
      <c r="ENH31" s="72"/>
      <c r="ENI31" s="72"/>
      <c r="ENJ31" s="72"/>
      <c r="ENK31" s="72"/>
      <c r="ENL31" s="72"/>
      <c r="ENM31" s="72"/>
      <c r="ENN31" s="72"/>
      <c r="ENO31" s="72"/>
      <c r="ENP31" s="72"/>
      <c r="ENQ31" s="72"/>
      <c r="ENR31" s="72"/>
      <c r="ENS31" s="72"/>
      <c r="ENT31" s="72"/>
      <c r="ENU31" s="72"/>
      <c r="ENV31" s="72"/>
      <c r="ENW31" s="72"/>
      <c r="ENX31" s="72"/>
      <c r="ENY31" s="72"/>
      <c r="ENZ31" s="72"/>
      <c r="EOA31" s="72"/>
      <c r="EOB31" s="72"/>
      <c r="EOC31" s="72"/>
      <c r="EOD31" s="72"/>
      <c r="EOE31" s="72"/>
      <c r="EOF31" s="72"/>
      <c r="EOG31" s="72"/>
      <c r="EOH31" s="72"/>
      <c r="EOI31" s="72"/>
      <c r="EOJ31" s="72"/>
      <c r="EOK31" s="72"/>
      <c r="EOL31" s="72"/>
      <c r="EOM31" s="72"/>
      <c r="EON31" s="72"/>
      <c r="EOO31" s="72"/>
      <c r="EOP31" s="72"/>
      <c r="EOQ31" s="72"/>
      <c r="EOR31" s="72"/>
      <c r="EOS31" s="72"/>
      <c r="EOT31" s="72"/>
      <c r="EOU31" s="72"/>
      <c r="EOV31" s="72"/>
      <c r="EOW31" s="72"/>
      <c r="EOX31" s="72"/>
      <c r="EOY31" s="72"/>
      <c r="EOZ31" s="72"/>
      <c r="EPA31" s="72"/>
      <c r="EPB31" s="72"/>
      <c r="EPC31" s="72"/>
      <c r="EPD31" s="72"/>
      <c r="EPE31" s="72"/>
      <c r="EPF31" s="72"/>
      <c r="EPG31" s="72"/>
      <c r="EPH31" s="72"/>
      <c r="EPI31" s="72"/>
      <c r="EPJ31" s="72"/>
      <c r="EPK31" s="72"/>
      <c r="EPL31" s="72"/>
      <c r="EPM31" s="72"/>
      <c r="EPN31" s="72"/>
      <c r="EPO31" s="72"/>
      <c r="EPP31" s="72"/>
      <c r="EPQ31" s="72"/>
      <c r="EPR31" s="72"/>
      <c r="EPS31" s="72"/>
      <c r="EPT31" s="72"/>
      <c r="EPU31" s="72"/>
      <c r="EPV31" s="72"/>
      <c r="EPW31" s="72"/>
      <c r="EPX31" s="72"/>
      <c r="EPY31" s="72"/>
      <c r="EPZ31" s="72"/>
      <c r="EQA31" s="72"/>
      <c r="EQB31" s="72"/>
      <c r="EQC31" s="72"/>
      <c r="EQD31" s="72"/>
      <c r="EQE31" s="72"/>
      <c r="EQF31" s="72"/>
      <c r="EQG31" s="72"/>
      <c r="EQH31" s="72"/>
      <c r="EQI31" s="72"/>
      <c r="EQJ31" s="72"/>
      <c r="EQK31" s="72"/>
      <c r="EQL31" s="72"/>
      <c r="EQM31" s="72"/>
      <c r="EQN31" s="72"/>
      <c r="EQO31" s="72"/>
      <c r="EQP31" s="72"/>
      <c r="EQQ31" s="72"/>
      <c r="EQR31" s="72"/>
      <c r="EQS31" s="72"/>
      <c r="EQT31" s="72"/>
      <c r="EQU31" s="72"/>
      <c r="EQV31" s="72"/>
      <c r="EQW31" s="72"/>
      <c r="EQX31" s="72"/>
      <c r="EQY31" s="72"/>
      <c r="EQZ31" s="72"/>
      <c r="ERA31" s="72"/>
      <c r="ERB31" s="72"/>
      <c r="ERC31" s="72"/>
      <c r="ERD31" s="72"/>
      <c r="ERE31" s="72"/>
      <c r="ERF31" s="72"/>
      <c r="ERG31" s="72"/>
      <c r="ERH31" s="72"/>
      <c r="ERI31" s="72"/>
      <c r="ERJ31" s="72"/>
      <c r="ERK31" s="72"/>
      <c r="ERL31" s="72"/>
      <c r="ERM31" s="72"/>
      <c r="ERN31" s="72"/>
      <c r="ERO31" s="72"/>
      <c r="ERP31" s="72"/>
      <c r="ERQ31" s="72"/>
      <c r="ERR31" s="72"/>
      <c r="ERS31" s="72"/>
      <c r="ERT31" s="72"/>
      <c r="ERU31" s="72"/>
      <c r="ERV31" s="72"/>
      <c r="ERW31" s="72"/>
      <c r="ERX31" s="72"/>
      <c r="ERY31" s="72"/>
      <c r="ERZ31" s="72"/>
      <c r="ESA31" s="72"/>
      <c r="ESB31" s="72"/>
      <c r="ESC31" s="72"/>
      <c r="ESD31" s="72"/>
      <c r="ESE31" s="72"/>
      <c r="ESF31" s="72"/>
      <c r="ESG31" s="72"/>
      <c r="ESH31" s="72"/>
      <c r="ESI31" s="72"/>
      <c r="ESJ31" s="72"/>
      <c r="ESK31" s="72"/>
      <c r="ESL31" s="72"/>
      <c r="ESM31" s="72"/>
      <c r="ESN31" s="72"/>
      <c r="ESO31" s="72"/>
      <c r="ESP31" s="72"/>
      <c r="ESQ31" s="72"/>
      <c r="ESR31" s="72"/>
      <c r="ESS31" s="72"/>
      <c r="EST31" s="72"/>
      <c r="ESU31" s="72"/>
      <c r="ESV31" s="72"/>
      <c r="ESW31" s="72"/>
      <c r="ESX31" s="72"/>
      <c r="ESY31" s="72"/>
      <c r="ESZ31" s="72"/>
      <c r="ETA31" s="72"/>
      <c r="ETB31" s="72"/>
      <c r="ETC31" s="72"/>
      <c r="ETD31" s="72"/>
      <c r="ETE31" s="72"/>
      <c r="ETF31" s="72"/>
      <c r="ETG31" s="72"/>
      <c r="ETH31" s="72"/>
      <c r="ETI31" s="72"/>
      <c r="ETJ31" s="72"/>
      <c r="ETK31" s="72"/>
      <c r="ETL31" s="72"/>
      <c r="ETM31" s="72"/>
      <c r="ETN31" s="72"/>
      <c r="ETO31" s="72"/>
      <c r="ETP31" s="72"/>
      <c r="ETQ31" s="72"/>
      <c r="ETR31" s="72"/>
      <c r="ETS31" s="72"/>
      <c r="ETT31" s="72"/>
      <c r="ETU31" s="72"/>
      <c r="ETV31" s="72"/>
      <c r="ETW31" s="72"/>
      <c r="ETX31" s="72"/>
      <c r="ETY31" s="72"/>
      <c r="ETZ31" s="72"/>
      <c r="EUA31" s="72"/>
      <c r="EUB31" s="72"/>
      <c r="EUC31" s="72"/>
      <c r="EUD31" s="72"/>
      <c r="EUE31" s="72"/>
      <c r="EUF31" s="72"/>
      <c r="EUG31" s="72"/>
      <c r="EUH31" s="72"/>
      <c r="EUI31" s="72"/>
      <c r="EUJ31" s="72"/>
      <c r="EUK31" s="72"/>
      <c r="EUL31" s="72"/>
      <c r="EUM31" s="72"/>
      <c r="EUN31" s="72"/>
      <c r="EUO31" s="72"/>
      <c r="EUP31" s="72"/>
      <c r="EUQ31" s="72"/>
      <c r="EUR31" s="72"/>
      <c r="EUS31" s="72"/>
      <c r="EUT31" s="72"/>
      <c r="EUU31" s="72"/>
      <c r="EUV31" s="72"/>
      <c r="EUW31" s="72"/>
      <c r="EUX31" s="72"/>
      <c r="EUY31" s="72"/>
      <c r="EUZ31" s="72"/>
      <c r="EVA31" s="72"/>
      <c r="EVB31" s="72"/>
      <c r="EVC31" s="72"/>
      <c r="EVD31" s="72"/>
      <c r="EVE31" s="72"/>
      <c r="EVF31" s="72"/>
      <c r="EVG31" s="72"/>
      <c r="EVH31" s="72"/>
      <c r="EVI31" s="72"/>
      <c r="EVJ31" s="72"/>
      <c r="EVK31" s="72"/>
      <c r="EVL31" s="72"/>
      <c r="EVM31" s="72"/>
      <c r="EVN31" s="72"/>
      <c r="EVO31" s="72"/>
      <c r="EVP31" s="72"/>
      <c r="EVQ31" s="72"/>
      <c r="EVR31" s="72"/>
      <c r="EVS31" s="72"/>
      <c r="EVT31" s="72"/>
      <c r="EVU31" s="72"/>
      <c r="EVV31" s="72"/>
      <c r="EVW31" s="72"/>
      <c r="EVX31" s="72"/>
      <c r="EVY31" s="72"/>
      <c r="EVZ31" s="72"/>
      <c r="EWA31" s="72"/>
      <c r="EWB31" s="72"/>
      <c r="EWC31" s="72"/>
      <c r="EWD31" s="72"/>
      <c r="EWE31" s="72"/>
      <c r="EWF31" s="72"/>
      <c r="EWG31" s="72"/>
      <c r="EWH31" s="72"/>
      <c r="EWI31" s="72"/>
      <c r="EWJ31" s="72"/>
      <c r="EWK31" s="72"/>
      <c r="EWL31" s="72"/>
      <c r="EWM31" s="72"/>
      <c r="EWN31" s="72"/>
      <c r="EWO31" s="72"/>
      <c r="EWP31" s="72"/>
      <c r="EWQ31" s="72"/>
      <c r="EWR31" s="72"/>
      <c r="EWS31" s="72"/>
      <c r="EWT31" s="72"/>
      <c r="EWU31" s="72"/>
      <c r="EWV31" s="72"/>
      <c r="EWW31" s="72"/>
      <c r="EWX31" s="72"/>
      <c r="EWY31" s="72"/>
      <c r="EWZ31" s="72"/>
      <c r="EXA31" s="72"/>
      <c r="EXB31" s="72"/>
      <c r="EXC31" s="72"/>
      <c r="EXD31" s="72"/>
      <c r="EXE31" s="72"/>
      <c r="EXF31" s="72"/>
      <c r="EXG31" s="72"/>
      <c r="EXH31" s="72"/>
      <c r="EXI31" s="72"/>
      <c r="EXJ31" s="72"/>
      <c r="EXK31" s="72"/>
      <c r="EXL31" s="72"/>
      <c r="EXM31" s="72"/>
      <c r="EXN31" s="72"/>
      <c r="EXO31" s="72"/>
      <c r="EXP31" s="72"/>
      <c r="EXQ31" s="72"/>
      <c r="EXR31" s="72"/>
      <c r="EXS31" s="72"/>
      <c r="EXT31" s="72"/>
      <c r="EXU31" s="72"/>
      <c r="EXV31" s="72"/>
      <c r="EXW31" s="72"/>
      <c r="EXX31" s="72"/>
      <c r="EXY31" s="72"/>
      <c r="EXZ31" s="72"/>
      <c r="EYA31" s="72"/>
      <c r="EYB31" s="72"/>
      <c r="EYC31" s="72"/>
      <c r="EYD31" s="72"/>
      <c r="EYE31" s="72"/>
      <c r="EYF31" s="72"/>
      <c r="EYG31" s="72"/>
      <c r="EYH31" s="72"/>
      <c r="EYI31" s="72"/>
      <c r="EYJ31" s="72"/>
      <c r="EYK31" s="72"/>
      <c r="EYL31" s="72"/>
      <c r="EYM31" s="72"/>
      <c r="EYN31" s="72"/>
      <c r="EYO31" s="72"/>
      <c r="EYP31" s="72"/>
      <c r="EYQ31" s="72"/>
      <c r="EYR31" s="72"/>
      <c r="EYS31" s="72"/>
      <c r="EYT31" s="72"/>
      <c r="EYU31" s="72"/>
      <c r="EYV31" s="72"/>
      <c r="EYW31" s="72"/>
      <c r="EYX31" s="72"/>
      <c r="EYY31" s="72"/>
      <c r="EYZ31" s="72"/>
      <c r="EZA31" s="72"/>
      <c r="EZB31" s="72"/>
      <c r="EZC31" s="72"/>
      <c r="EZD31" s="72"/>
      <c r="EZE31" s="72"/>
      <c r="EZF31" s="72"/>
      <c r="EZG31" s="72"/>
      <c r="EZH31" s="72"/>
      <c r="EZI31" s="72"/>
      <c r="EZJ31" s="72"/>
      <c r="EZK31" s="72"/>
      <c r="EZL31" s="72"/>
      <c r="EZM31" s="72"/>
      <c r="EZN31" s="72"/>
      <c r="EZO31" s="72"/>
      <c r="EZP31" s="72"/>
      <c r="EZQ31" s="72"/>
      <c r="EZR31" s="72"/>
      <c r="EZS31" s="72"/>
      <c r="EZT31" s="72"/>
      <c r="EZU31" s="72"/>
      <c r="EZV31" s="72"/>
      <c r="EZW31" s="72"/>
      <c r="EZX31" s="72"/>
      <c r="EZY31" s="72"/>
      <c r="EZZ31" s="72"/>
      <c r="FAA31" s="72"/>
      <c r="FAB31" s="72"/>
      <c r="FAC31" s="72"/>
      <c r="FAD31" s="72"/>
      <c r="FAE31" s="72"/>
      <c r="FAF31" s="72"/>
      <c r="FAG31" s="72"/>
      <c r="FAH31" s="72"/>
      <c r="FAI31" s="72"/>
      <c r="FAJ31" s="72"/>
      <c r="FAK31" s="72"/>
      <c r="FAL31" s="72"/>
      <c r="FAM31" s="72"/>
      <c r="FAN31" s="72"/>
      <c r="FAO31" s="72"/>
      <c r="FAP31" s="72"/>
      <c r="FAQ31" s="72"/>
      <c r="FAR31" s="72"/>
      <c r="FAS31" s="72"/>
      <c r="FAT31" s="72"/>
      <c r="FAU31" s="72"/>
      <c r="FAV31" s="72"/>
      <c r="FAW31" s="72"/>
      <c r="FAX31" s="72"/>
      <c r="FAY31" s="72"/>
      <c r="FAZ31" s="72"/>
      <c r="FBA31" s="72"/>
      <c r="FBB31" s="72"/>
      <c r="FBC31" s="72"/>
      <c r="FBD31" s="72"/>
      <c r="FBE31" s="72"/>
      <c r="FBF31" s="72"/>
      <c r="FBG31" s="72"/>
      <c r="FBH31" s="72"/>
      <c r="FBI31" s="72"/>
      <c r="FBJ31" s="72"/>
      <c r="FBK31" s="72"/>
      <c r="FBL31" s="72"/>
      <c r="FBM31" s="72"/>
      <c r="FBN31" s="72"/>
      <c r="FBO31" s="72"/>
      <c r="FBP31" s="72"/>
      <c r="FBQ31" s="72"/>
      <c r="FBR31" s="72"/>
      <c r="FBS31" s="72"/>
      <c r="FBT31" s="72"/>
      <c r="FBU31" s="72"/>
      <c r="FBV31" s="72"/>
      <c r="FBW31" s="72"/>
      <c r="FBX31" s="72"/>
      <c r="FBY31" s="72"/>
      <c r="FBZ31" s="72"/>
      <c r="FCA31" s="72"/>
      <c r="FCB31" s="72"/>
      <c r="FCC31" s="72"/>
      <c r="FCD31" s="72"/>
      <c r="FCE31" s="72"/>
      <c r="FCF31" s="72"/>
      <c r="FCG31" s="72"/>
      <c r="FCH31" s="72"/>
      <c r="FCI31" s="72"/>
      <c r="FCJ31" s="72"/>
      <c r="FCK31" s="72"/>
      <c r="FCL31" s="72"/>
      <c r="FCM31" s="72"/>
      <c r="FCN31" s="72"/>
      <c r="FCO31" s="72"/>
      <c r="FCP31" s="72"/>
      <c r="FCQ31" s="72"/>
      <c r="FCR31" s="72"/>
      <c r="FCS31" s="72"/>
      <c r="FCT31" s="72"/>
      <c r="FCU31" s="72"/>
      <c r="FCV31" s="72"/>
      <c r="FCW31" s="72"/>
      <c r="FCX31" s="72"/>
      <c r="FCY31" s="72"/>
      <c r="FCZ31" s="72"/>
      <c r="FDA31" s="72"/>
      <c r="FDB31" s="72"/>
      <c r="FDC31" s="72"/>
      <c r="FDD31" s="72"/>
      <c r="FDE31" s="72"/>
      <c r="FDF31" s="72"/>
      <c r="FDG31" s="72"/>
      <c r="FDH31" s="72"/>
      <c r="FDI31" s="72"/>
      <c r="FDJ31" s="72"/>
      <c r="FDK31" s="72"/>
      <c r="FDL31" s="72"/>
      <c r="FDM31" s="72"/>
      <c r="FDN31" s="72"/>
      <c r="FDO31" s="72"/>
      <c r="FDP31" s="72"/>
      <c r="FDQ31" s="72"/>
      <c r="FDR31" s="72"/>
      <c r="FDS31" s="72"/>
      <c r="FDT31" s="72"/>
      <c r="FDU31" s="72"/>
      <c r="FDV31" s="72"/>
      <c r="FDW31" s="72"/>
      <c r="FDX31" s="72"/>
      <c r="FDY31" s="72"/>
      <c r="FDZ31" s="72"/>
      <c r="FEA31" s="72"/>
      <c r="FEB31" s="72"/>
      <c r="FEC31" s="72"/>
      <c r="FED31" s="72"/>
      <c r="FEE31" s="72"/>
      <c r="FEF31" s="72"/>
      <c r="FEG31" s="72"/>
      <c r="FEH31" s="72"/>
      <c r="FEI31" s="72"/>
      <c r="FEJ31" s="72"/>
      <c r="FEK31" s="72"/>
      <c r="FEL31" s="72"/>
      <c r="FEM31" s="72"/>
      <c r="FEN31" s="72"/>
      <c r="FEO31" s="72"/>
      <c r="FEP31" s="72"/>
      <c r="FEQ31" s="72"/>
      <c r="FER31" s="72"/>
      <c r="FES31" s="72"/>
      <c r="FET31" s="72"/>
      <c r="FEU31" s="72"/>
      <c r="FEV31" s="72"/>
      <c r="FEW31" s="72"/>
      <c r="FEX31" s="72"/>
      <c r="FEY31" s="72"/>
      <c r="FEZ31" s="72"/>
      <c r="FFA31" s="72"/>
      <c r="FFB31" s="72"/>
      <c r="FFC31" s="72"/>
      <c r="FFD31" s="72"/>
      <c r="FFE31" s="72"/>
      <c r="FFF31" s="72"/>
      <c r="FFG31" s="72"/>
      <c r="FFH31" s="72"/>
      <c r="FFI31" s="72"/>
      <c r="FFJ31" s="72"/>
      <c r="FFK31" s="72"/>
      <c r="FFL31" s="72"/>
      <c r="FFM31" s="72"/>
      <c r="FFN31" s="72"/>
      <c r="FFO31" s="72"/>
      <c r="FFP31" s="72"/>
      <c r="FFQ31" s="72"/>
      <c r="FFR31" s="72"/>
      <c r="FFS31" s="72"/>
      <c r="FFT31" s="72"/>
      <c r="FFU31" s="72"/>
      <c r="FFV31" s="72"/>
      <c r="FFW31" s="72"/>
      <c r="FFX31" s="72"/>
      <c r="FFY31" s="72"/>
      <c r="FFZ31" s="72"/>
      <c r="FGA31" s="72"/>
      <c r="FGB31" s="72"/>
      <c r="FGC31" s="72"/>
      <c r="FGD31" s="72"/>
      <c r="FGE31" s="72"/>
      <c r="FGF31" s="72"/>
      <c r="FGG31" s="72"/>
      <c r="FGH31" s="72"/>
      <c r="FGI31" s="72"/>
      <c r="FGJ31" s="72"/>
      <c r="FGK31" s="72"/>
      <c r="FGL31" s="72"/>
      <c r="FGM31" s="72"/>
      <c r="FGN31" s="72"/>
      <c r="FGO31" s="72"/>
      <c r="FGP31" s="72"/>
      <c r="FGQ31" s="72"/>
      <c r="FGR31" s="72"/>
      <c r="FGS31" s="72"/>
      <c r="FGT31" s="72"/>
      <c r="FGU31" s="72"/>
      <c r="FGV31" s="72"/>
      <c r="FGW31" s="72"/>
      <c r="FGX31" s="72"/>
      <c r="FGY31" s="72"/>
      <c r="FGZ31" s="72"/>
      <c r="FHA31" s="72"/>
      <c r="FHB31" s="72"/>
      <c r="FHC31" s="72"/>
      <c r="FHD31" s="72"/>
      <c r="FHE31" s="72"/>
      <c r="FHF31" s="72"/>
      <c r="FHG31" s="72"/>
      <c r="FHH31" s="72"/>
      <c r="FHI31" s="72"/>
      <c r="FHJ31" s="72"/>
      <c r="FHK31" s="72"/>
      <c r="FHL31" s="72"/>
      <c r="FHM31" s="72"/>
      <c r="FHN31" s="72"/>
      <c r="FHO31" s="72"/>
      <c r="FHP31" s="72"/>
      <c r="FHQ31" s="72"/>
      <c r="FHR31" s="72"/>
      <c r="FHS31" s="72"/>
      <c r="FHT31" s="72"/>
      <c r="FHU31" s="72"/>
      <c r="FHV31" s="72"/>
      <c r="FHW31" s="72"/>
      <c r="FHX31" s="72"/>
      <c r="FHY31" s="72"/>
      <c r="FHZ31" s="72"/>
      <c r="FIA31" s="72"/>
      <c r="FIB31" s="72"/>
      <c r="FIC31" s="72"/>
      <c r="FID31" s="72"/>
      <c r="FIE31" s="72"/>
      <c r="FIF31" s="72"/>
      <c r="FIG31" s="72"/>
      <c r="FIH31" s="72"/>
      <c r="FII31" s="72"/>
      <c r="FIJ31" s="72"/>
      <c r="FIK31" s="72"/>
      <c r="FIL31" s="72"/>
      <c r="FIM31" s="72"/>
      <c r="FIN31" s="72"/>
      <c r="FIO31" s="72"/>
      <c r="FIP31" s="72"/>
      <c r="FIQ31" s="72"/>
      <c r="FIR31" s="72"/>
      <c r="FIS31" s="72"/>
      <c r="FIT31" s="72"/>
      <c r="FIU31" s="72"/>
      <c r="FIV31" s="72"/>
      <c r="FIW31" s="72"/>
      <c r="FIX31" s="72"/>
      <c r="FIY31" s="72"/>
      <c r="FIZ31" s="72"/>
      <c r="FJA31" s="72"/>
      <c r="FJB31" s="72"/>
      <c r="FJC31" s="72"/>
      <c r="FJD31" s="72"/>
      <c r="FJE31" s="72"/>
      <c r="FJF31" s="72"/>
      <c r="FJG31" s="72"/>
      <c r="FJH31" s="72"/>
      <c r="FJI31" s="72"/>
      <c r="FJJ31" s="72"/>
      <c r="FJK31" s="72"/>
      <c r="FJL31" s="72"/>
      <c r="FJM31" s="72"/>
      <c r="FJN31" s="72"/>
      <c r="FJO31" s="72"/>
      <c r="FJP31" s="72"/>
      <c r="FJQ31" s="72"/>
      <c r="FJR31" s="72"/>
      <c r="FJS31" s="72"/>
      <c r="FJT31" s="72"/>
      <c r="FJU31" s="72"/>
      <c r="FJV31" s="72"/>
      <c r="FJW31" s="72"/>
      <c r="FJX31" s="72"/>
      <c r="FJY31" s="72"/>
      <c r="FJZ31" s="72"/>
      <c r="FKA31" s="72"/>
      <c r="FKB31" s="72"/>
      <c r="FKC31" s="72"/>
      <c r="FKD31" s="72"/>
      <c r="FKE31" s="72"/>
      <c r="FKF31" s="72"/>
      <c r="FKG31" s="72"/>
      <c r="FKH31" s="72"/>
      <c r="FKI31" s="72"/>
      <c r="FKJ31" s="72"/>
      <c r="FKK31" s="72"/>
      <c r="FKL31" s="72"/>
      <c r="FKM31" s="72"/>
      <c r="FKN31" s="72"/>
      <c r="FKO31" s="72"/>
      <c r="FKP31" s="72"/>
      <c r="FKQ31" s="72"/>
      <c r="FKR31" s="72"/>
      <c r="FKS31" s="72"/>
      <c r="FKT31" s="72"/>
      <c r="FKU31" s="72"/>
      <c r="FKV31" s="72"/>
      <c r="FKW31" s="72"/>
      <c r="FKX31" s="72"/>
      <c r="FKY31" s="72"/>
      <c r="FKZ31" s="72"/>
      <c r="FLA31" s="72"/>
      <c r="FLB31" s="72"/>
      <c r="FLC31" s="72"/>
      <c r="FLD31" s="72"/>
      <c r="FLE31" s="72"/>
      <c r="FLF31" s="72"/>
      <c r="FLG31" s="72"/>
      <c r="FLH31" s="72"/>
      <c r="FLI31" s="72"/>
      <c r="FLJ31" s="72"/>
      <c r="FLK31" s="72"/>
      <c r="FLL31" s="72"/>
      <c r="FLM31" s="72"/>
      <c r="FLN31" s="72"/>
      <c r="FLO31" s="72"/>
      <c r="FLP31" s="72"/>
      <c r="FLQ31" s="72"/>
      <c r="FLR31" s="72"/>
      <c r="FLS31" s="72"/>
      <c r="FLT31" s="72"/>
      <c r="FLU31" s="72"/>
      <c r="FLV31" s="72"/>
      <c r="FLW31" s="72"/>
      <c r="FLX31" s="72"/>
      <c r="FLY31" s="72"/>
      <c r="FLZ31" s="72"/>
      <c r="FMA31" s="72"/>
      <c r="FMB31" s="72"/>
      <c r="FMC31" s="72"/>
      <c r="FMD31" s="72"/>
      <c r="FME31" s="72"/>
      <c r="FMF31" s="72"/>
      <c r="FMG31" s="72"/>
      <c r="FMH31" s="72"/>
      <c r="FMI31" s="72"/>
      <c r="FMJ31" s="72"/>
      <c r="FMK31" s="72"/>
      <c r="FML31" s="72"/>
      <c r="FMM31" s="72"/>
      <c r="FMN31" s="72"/>
      <c r="FMO31" s="72"/>
      <c r="FMP31" s="72"/>
      <c r="FMQ31" s="72"/>
      <c r="FMR31" s="72"/>
      <c r="FMS31" s="72"/>
      <c r="FMT31" s="72"/>
      <c r="FMU31" s="72"/>
      <c r="FMV31" s="72"/>
      <c r="FMW31" s="72"/>
      <c r="FMX31" s="72"/>
      <c r="FMY31" s="72"/>
      <c r="FMZ31" s="72"/>
      <c r="FNA31" s="72"/>
      <c r="FNB31" s="72"/>
      <c r="FNC31" s="72"/>
      <c r="FND31" s="72"/>
      <c r="FNE31" s="72"/>
      <c r="FNF31" s="72"/>
      <c r="FNG31" s="72"/>
      <c r="FNH31" s="72"/>
      <c r="FNI31" s="72"/>
      <c r="FNJ31" s="72"/>
      <c r="FNK31" s="72"/>
      <c r="FNL31" s="72"/>
      <c r="FNM31" s="72"/>
      <c r="FNN31" s="72"/>
      <c r="FNO31" s="72"/>
      <c r="FNP31" s="72"/>
      <c r="FNQ31" s="72"/>
      <c r="FNR31" s="72"/>
      <c r="FNS31" s="72"/>
      <c r="FNT31" s="72"/>
      <c r="FNU31" s="72"/>
      <c r="FNV31" s="72"/>
      <c r="FNW31" s="72"/>
      <c r="FNX31" s="72"/>
      <c r="FNY31" s="72"/>
      <c r="FNZ31" s="72"/>
      <c r="FOA31" s="72"/>
      <c r="FOB31" s="72"/>
      <c r="FOC31" s="72"/>
      <c r="FOD31" s="72"/>
      <c r="FOE31" s="72"/>
      <c r="FOF31" s="72"/>
      <c r="FOG31" s="72"/>
      <c r="FOH31" s="72"/>
      <c r="FOI31" s="72"/>
      <c r="FOJ31" s="72"/>
      <c r="FOK31" s="72"/>
      <c r="FOL31" s="72"/>
      <c r="FOM31" s="72"/>
      <c r="FON31" s="72"/>
      <c r="FOO31" s="72"/>
      <c r="FOP31" s="72"/>
      <c r="FOQ31" s="72"/>
      <c r="FOR31" s="72"/>
      <c r="FOS31" s="72"/>
      <c r="FOT31" s="72"/>
      <c r="FOU31" s="72"/>
      <c r="FOV31" s="72"/>
      <c r="FOW31" s="72"/>
      <c r="FOX31" s="72"/>
      <c r="FOY31" s="72"/>
      <c r="FOZ31" s="72"/>
      <c r="FPA31" s="72"/>
      <c r="FPB31" s="72"/>
      <c r="FPC31" s="72"/>
      <c r="FPD31" s="72"/>
      <c r="FPE31" s="72"/>
      <c r="FPF31" s="72"/>
      <c r="FPG31" s="72"/>
      <c r="FPH31" s="72"/>
      <c r="FPI31" s="72"/>
      <c r="FPJ31" s="72"/>
      <c r="FPK31" s="72"/>
      <c r="FPL31" s="72"/>
      <c r="FPM31" s="72"/>
      <c r="FPN31" s="72"/>
      <c r="FPO31" s="72"/>
      <c r="FPP31" s="72"/>
      <c r="FPQ31" s="72"/>
      <c r="FPR31" s="72"/>
      <c r="FPS31" s="72"/>
      <c r="FPT31" s="72"/>
      <c r="FPU31" s="72"/>
      <c r="FPV31" s="72"/>
      <c r="FPW31" s="72"/>
      <c r="FPX31" s="72"/>
      <c r="FPY31" s="72"/>
      <c r="FPZ31" s="72"/>
      <c r="FQA31" s="72"/>
      <c r="FQB31" s="72"/>
      <c r="FQC31" s="72"/>
      <c r="FQD31" s="72"/>
      <c r="FQE31" s="72"/>
      <c r="FQF31" s="72"/>
      <c r="FQG31" s="72"/>
      <c r="FQH31" s="72"/>
      <c r="FQI31" s="72"/>
      <c r="FQJ31" s="72"/>
      <c r="FQK31" s="72"/>
      <c r="FQL31" s="72"/>
      <c r="FQM31" s="72"/>
      <c r="FQN31" s="72"/>
      <c r="FQO31" s="72"/>
      <c r="FQP31" s="72"/>
      <c r="FQQ31" s="72"/>
      <c r="FQR31" s="72"/>
      <c r="FQS31" s="72"/>
      <c r="FQT31" s="72"/>
      <c r="FQU31" s="72"/>
      <c r="FQV31" s="72"/>
      <c r="FQW31" s="72"/>
      <c r="FQX31" s="72"/>
      <c r="FQY31" s="72"/>
      <c r="FQZ31" s="72"/>
      <c r="FRA31" s="72"/>
      <c r="FRB31" s="72"/>
      <c r="FRC31" s="72"/>
      <c r="FRD31" s="72"/>
      <c r="FRE31" s="72"/>
      <c r="FRF31" s="72"/>
      <c r="FRG31" s="72"/>
      <c r="FRH31" s="72"/>
      <c r="FRI31" s="72"/>
      <c r="FRJ31" s="72"/>
      <c r="FRK31" s="72"/>
      <c r="FRL31" s="72"/>
      <c r="FRM31" s="72"/>
      <c r="FRN31" s="72"/>
      <c r="FRO31" s="72"/>
      <c r="FRP31" s="72"/>
      <c r="FRQ31" s="72"/>
      <c r="FRR31" s="72"/>
      <c r="FRS31" s="72"/>
      <c r="FRT31" s="72"/>
      <c r="FRU31" s="72"/>
      <c r="FRV31" s="72"/>
      <c r="FRW31" s="72"/>
      <c r="FRX31" s="72"/>
      <c r="FRY31" s="72"/>
      <c r="FRZ31" s="72"/>
      <c r="FSA31" s="72"/>
      <c r="FSB31" s="72"/>
      <c r="FSC31" s="72"/>
      <c r="FSD31" s="72"/>
      <c r="FSE31" s="72"/>
      <c r="FSF31" s="72"/>
      <c r="FSG31" s="72"/>
      <c r="FSH31" s="72"/>
      <c r="FSI31" s="72"/>
      <c r="FSJ31" s="72"/>
      <c r="FSK31" s="72"/>
      <c r="FSL31" s="72"/>
      <c r="FSM31" s="72"/>
      <c r="FSN31" s="72"/>
      <c r="FSO31" s="72"/>
      <c r="FSP31" s="72"/>
      <c r="FSQ31" s="72"/>
      <c r="FSR31" s="72"/>
      <c r="FSS31" s="72"/>
      <c r="FST31" s="72"/>
      <c r="FSU31" s="72"/>
      <c r="FSV31" s="72"/>
      <c r="FSW31" s="72"/>
      <c r="FSX31" s="72"/>
      <c r="FSY31" s="72"/>
      <c r="FSZ31" s="72"/>
      <c r="FTA31" s="72"/>
      <c r="FTB31" s="72"/>
      <c r="FTC31" s="72"/>
      <c r="FTD31" s="72"/>
      <c r="FTE31" s="72"/>
      <c r="FTF31" s="72"/>
      <c r="FTG31" s="72"/>
      <c r="FTH31" s="72"/>
      <c r="FTI31" s="72"/>
      <c r="FTJ31" s="72"/>
      <c r="FTK31" s="72"/>
      <c r="FTL31" s="72"/>
      <c r="FTM31" s="72"/>
      <c r="FTN31" s="72"/>
      <c r="FTO31" s="72"/>
      <c r="FTP31" s="72"/>
      <c r="FTQ31" s="72"/>
      <c r="FTR31" s="72"/>
      <c r="FTS31" s="72"/>
      <c r="FTT31" s="72"/>
      <c r="FTU31" s="72"/>
      <c r="FTV31" s="72"/>
      <c r="FTW31" s="72"/>
      <c r="FTX31" s="72"/>
      <c r="FTY31" s="72"/>
      <c r="FTZ31" s="72"/>
      <c r="FUA31" s="72"/>
      <c r="FUB31" s="72"/>
      <c r="FUC31" s="72"/>
      <c r="FUD31" s="72"/>
      <c r="FUE31" s="72"/>
      <c r="FUF31" s="72"/>
      <c r="FUG31" s="72"/>
      <c r="FUH31" s="72"/>
      <c r="FUI31" s="72"/>
      <c r="FUJ31" s="72"/>
      <c r="FUK31" s="72"/>
      <c r="FUL31" s="72"/>
      <c r="FUM31" s="72"/>
      <c r="FUN31" s="72"/>
      <c r="FUO31" s="72"/>
      <c r="FUP31" s="72"/>
      <c r="FUQ31" s="72"/>
      <c r="FUR31" s="72"/>
      <c r="FUS31" s="72"/>
      <c r="FUT31" s="72"/>
      <c r="FUU31" s="72"/>
      <c r="FUV31" s="72"/>
      <c r="FUW31" s="72"/>
      <c r="FUX31" s="72"/>
      <c r="FUY31" s="72"/>
      <c r="FUZ31" s="72"/>
      <c r="FVA31" s="72"/>
      <c r="FVB31" s="72"/>
      <c r="FVC31" s="72"/>
      <c r="FVD31" s="72"/>
      <c r="FVE31" s="72"/>
      <c r="FVF31" s="72"/>
      <c r="FVG31" s="72"/>
      <c r="FVH31" s="72"/>
      <c r="FVI31" s="72"/>
      <c r="FVJ31" s="72"/>
      <c r="FVK31" s="72"/>
      <c r="FVL31" s="72"/>
      <c r="FVM31" s="72"/>
      <c r="FVN31" s="72"/>
      <c r="FVO31" s="72"/>
      <c r="FVP31" s="72"/>
      <c r="FVQ31" s="72"/>
      <c r="FVR31" s="72"/>
      <c r="FVS31" s="72"/>
      <c r="FVT31" s="72"/>
      <c r="FVU31" s="72"/>
      <c r="FVV31" s="72"/>
      <c r="FVW31" s="72"/>
      <c r="FVX31" s="72"/>
      <c r="FVY31" s="72"/>
      <c r="FVZ31" s="72"/>
      <c r="FWA31" s="72"/>
      <c r="FWB31" s="72"/>
      <c r="FWC31" s="72"/>
      <c r="FWD31" s="72"/>
      <c r="FWE31" s="72"/>
      <c r="FWF31" s="72"/>
      <c r="FWG31" s="72"/>
      <c r="FWH31" s="72"/>
      <c r="FWI31" s="72"/>
      <c r="FWJ31" s="72"/>
      <c r="FWK31" s="72"/>
      <c r="FWL31" s="72"/>
      <c r="FWM31" s="72"/>
      <c r="FWN31" s="72"/>
      <c r="FWO31" s="72"/>
      <c r="FWP31" s="72"/>
      <c r="FWQ31" s="72"/>
      <c r="FWR31" s="72"/>
      <c r="FWS31" s="72"/>
      <c r="FWT31" s="72"/>
      <c r="FWU31" s="72"/>
      <c r="FWV31" s="72"/>
      <c r="FWW31" s="72"/>
      <c r="FWX31" s="72"/>
      <c r="FWY31" s="72"/>
      <c r="FWZ31" s="72"/>
      <c r="FXA31" s="72"/>
      <c r="FXB31" s="72"/>
      <c r="FXC31" s="72"/>
      <c r="FXD31" s="72"/>
      <c r="FXE31" s="72"/>
      <c r="FXF31" s="72"/>
      <c r="FXG31" s="72"/>
      <c r="FXH31" s="72"/>
      <c r="FXI31" s="72"/>
      <c r="FXJ31" s="72"/>
      <c r="FXK31" s="72"/>
      <c r="FXL31" s="72"/>
      <c r="FXM31" s="72"/>
      <c r="FXN31" s="72"/>
      <c r="FXO31" s="72"/>
      <c r="FXP31" s="72"/>
      <c r="FXQ31" s="72"/>
      <c r="FXR31" s="72"/>
      <c r="FXS31" s="72"/>
      <c r="FXT31" s="72"/>
      <c r="FXU31" s="72"/>
      <c r="FXV31" s="72"/>
      <c r="FXW31" s="72"/>
      <c r="FXX31" s="72"/>
      <c r="FXY31" s="72"/>
      <c r="FXZ31" s="72"/>
      <c r="FYA31" s="72"/>
      <c r="FYB31" s="72"/>
      <c r="FYC31" s="72"/>
      <c r="FYD31" s="72"/>
      <c r="FYE31" s="72"/>
      <c r="FYF31" s="72"/>
      <c r="FYG31" s="72"/>
      <c r="FYH31" s="72"/>
      <c r="FYI31" s="72"/>
      <c r="FYJ31" s="72"/>
      <c r="FYK31" s="72"/>
      <c r="FYL31" s="72"/>
      <c r="FYM31" s="72"/>
      <c r="FYN31" s="72"/>
      <c r="FYO31" s="72"/>
      <c r="FYP31" s="72"/>
      <c r="FYQ31" s="72"/>
      <c r="FYR31" s="72"/>
      <c r="FYS31" s="72"/>
      <c r="FYT31" s="72"/>
      <c r="FYU31" s="72"/>
      <c r="FYV31" s="72"/>
      <c r="FYW31" s="72"/>
      <c r="FYX31" s="72"/>
      <c r="FYY31" s="72"/>
      <c r="FYZ31" s="72"/>
      <c r="FZA31" s="72"/>
      <c r="FZB31" s="72"/>
      <c r="FZC31" s="72"/>
      <c r="FZD31" s="72"/>
      <c r="FZE31" s="72"/>
      <c r="FZF31" s="72"/>
      <c r="FZG31" s="72"/>
      <c r="FZH31" s="72"/>
      <c r="FZI31" s="72"/>
      <c r="FZJ31" s="72"/>
      <c r="FZK31" s="72"/>
      <c r="FZL31" s="72"/>
      <c r="FZM31" s="72"/>
      <c r="FZN31" s="72"/>
      <c r="FZO31" s="72"/>
      <c r="FZP31" s="72"/>
      <c r="FZQ31" s="72"/>
      <c r="FZR31" s="72"/>
      <c r="FZS31" s="72"/>
      <c r="FZT31" s="72"/>
      <c r="FZU31" s="72"/>
      <c r="FZV31" s="72"/>
      <c r="FZW31" s="72"/>
      <c r="FZX31" s="72"/>
      <c r="FZY31" s="72"/>
      <c r="FZZ31" s="72"/>
      <c r="GAA31" s="72"/>
      <c r="GAB31" s="72"/>
      <c r="GAC31" s="72"/>
      <c r="GAD31" s="72"/>
      <c r="GAE31" s="72"/>
      <c r="GAF31" s="72"/>
      <c r="GAG31" s="72"/>
      <c r="GAH31" s="72"/>
      <c r="GAI31" s="72"/>
      <c r="GAJ31" s="72"/>
      <c r="GAK31" s="72"/>
      <c r="GAL31" s="72"/>
      <c r="GAM31" s="72"/>
      <c r="GAN31" s="72"/>
      <c r="GAO31" s="72"/>
      <c r="GAP31" s="72"/>
      <c r="GAQ31" s="72"/>
      <c r="GAR31" s="72"/>
      <c r="GAS31" s="72"/>
      <c r="GAT31" s="72"/>
      <c r="GAU31" s="72"/>
      <c r="GAV31" s="72"/>
      <c r="GAW31" s="72"/>
      <c r="GAX31" s="72"/>
      <c r="GAY31" s="72"/>
      <c r="GAZ31" s="72"/>
      <c r="GBA31" s="72"/>
      <c r="GBB31" s="72"/>
      <c r="GBC31" s="72"/>
      <c r="GBD31" s="72"/>
      <c r="GBE31" s="72"/>
      <c r="GBF31" s="72"/>
      <c r="GBG31" s="72"/>
      <c r="GBH31" s="72"/>
      <c r="GBI31" s="72"/>
      <c r="GBJ31" s="72"/>
      <c r="GBK31" s="72"/>
      <c r="GBL31" s="72"/>
      <c r="GBM31" s="72"/>
      <c r="GBN31" s="72"/>
      <c r="GBO31" s="72"/>
      <c r="GBP31" s="72"/>
      <c r="GBQ31" s="72"/>
      <c r="GBR31" s="72"/>
      <c r="GBS31" s="72"/>
      <c r="GBT31" s="72"/>
      <c r="GBU31" s="72"/>
      <c r="GBV31" s="72"/>
      <c r="GBW31" s="72"/>
      <c r="GBX31" s="72"/>
      <c r="GBY31" s="72"/>
      <c r="GBZ31" s="72"/>
      <c r="GCA31" s="72"/>
      <c r="GCB31" s="72"/>
      <c r="GCC31" s="72"/>
      <c r="GCD31" s="72"/>
      <c r="GCE31" s="72"/>
      <c r="GCF31" s="72"/>
      <c r="GCG31" s="72"/>
      <c r="GCH31" s="72"/>
      <c r="GCI31" s="72"/>
      <c r="GCJ31" s="72"/>
      <c r="GCK31" s="72"/>
      <c r="GCL31" s="72"/>
      <c r="GCM31" s="72"/>
      <c r="GCN31" s="72"/>
      <c r="GCO31" s="72"/>
      <c r="GCP31" s="72"/>
      <c r="GCQ31" s="72"/>
      <c r="GCR31" s="72"/>
      <c r="GCS31" s="72"/>
      <c r="GCT31" s="72"/>
      <c r="GCU31" s="72"/>
      <c r="GCV31" s="72"/>
      <c r="GCW31" s="72"/>
      <c r="GCX31" s="72"/>
      <c r="GCY31" s="72"/>
      <c r="GCZ31" s="72"/>
      <c r="GDA31" s="72"/>
      <c r="GDB31" s="72"/>
      <c r="GDC31" s="72"/>
      <c r="GDD31" s="72"/>
      <c r="GDE31" s="72"/>
      <c r="GDF31" s="72"/>
      <c r="GDG31" s="72"/>
      <c r="GDH31" s="72"/>
      <c r="GDI31" s="72"/>
      <c r="GDJ31" s="72"/>
      <c r="GDK31" s="72"/>
      <c r="GDL31" s="72"/>
      <c r="GDM31" s="72"/>
      <c r="GDN31" s="72"/>
      <c r="GDO31" s="72"/>
      <c r="GDP31" s="72"/>
      <c r="GDQ31" s="72"/>
      <c r="GDR31" s="72"/>
      <c r="GDS31" s="72"/>
      <c r="GDT31" s="72"/>
      <c r="GDU31" s="72"/>
      <c r="GDV31" s="72"/>
      <c r="GDW31" s="72"/>
      <c r="GDX31" s="72"/>
      <c r="GDY31" s="72"/>
      <c r="GDZ31" s="72"/>
      <c r="GEA31" s="72"/>
      <c r="GEB31" s="72"/>
      <c r="GEC31" s="72"/>
      <c r="GED31" s="72"/>
      <c r="GEE31" s="72"/>
      <c r="GEF31" s="72"/>
      <c r="GEG31" s="72"/>
      <c r="GEH31" s="72"/>
      <c r="GEI31" s="72"/>
      <c r="GEJ31" s="72"/>
      <c r="GEK31" s="72"/>
      <c r="GEL31" s="72"/>
      <c r="GEM31" s="72"/>
      <c r="GEN31" s="72"/>
      <c r="GEO31" s="72"/>
      <c r="GEP31" s="72"/>
      <c r="GEQ31" s="72"/>
      <c r="GER31" s="72"/>
      <c r="GES31" s="72"/>
      <c r="GET31" s="72"/>
      <c r="GEU31" s="72"/>
      <c r="GEV31" s="72"/>
      <c r="GEW31" s="72"/>
      <c r="GEX31" s="72"/>
      <c r="GEY31" s="72"/>
      <c r="GEZ31" s="72"/>
      <c r="GFA31" s="72"/>
      <c r="GFB31" s="72"/>
      <c r="GFC31" s="72"/>
      <c r="GFD31" s="72"/>
      <c r="GFE31" s="72"/>
      <c r="GFF31" s="72"/>
      <c r="GFG31" s="72"/>
      <c r="GFH31" s="72"/>
      <c r="GFI31" s="72"/>
      <c r="GFJ31" s="72"/>
      <c r="GFK31" s="72"/>
      <c r="GFL31" s="72"/>
      <c r="GFM31" s="72"/>
      <c r="GFN31" s="72"/>
      <c r="GFO31" s="72"/>
      <c r="GFP31" s="72"/>
      <c r="GFQ31" s="72"/>
      <c r="GFR31" s="72"/>
      <c r="GFS31" s="72"/>
      <c r="GFT31" s="72"/>
      <c r="GFU31" s="72"/>
      <c r="GFV31" s="72"/>
      <c r="GFW31" s="72"/>
      <c r="GFX31" s="72"/>
      <c r="GFY31" s="72"/>
      <c r="GFZ31" s="72"/>
      <c r="GGA31" s="72"/>
      <c r="GGB31" s="72"/>
      <c r="GGC31" s="72"/>
      <c r="GGD31" s="72"/>
      <c r="GGE31" s="72"/>
      <c r="GGF31" s="72"/>
      <c r="GGG31" s="72"/>
      <c r="GGH31" s="72"/>
      <c r="GGI31" s="72"/>
      <c r="GGJ31" s="72"/>
      <c r="GGK31" s="72"/>
      <c r="GGL31" s="72"/>
      <c r="GGM31" s="72"/>
      <c r="GGN31" s="72"/>
      <c r="GGO31" s="72"/>
      <c r="GGP31" s="72"/>
      <c r="GGQ31" s="72"/>
      <c r="GGR31" s="72"/>
      <c r="GGS31" s="72"/>
      <c r="GGT31" s="72"/>
      <c r="GGU31" s="72"/>
      <c r="GGV31" s="72"/>
      <c r="GGW31" s="72"/>
      <c r="GGX31" s="72"/>
      <c r="GGY31" s="72"/>
      <c r="GGZ31" s="72"/>
      <c r="GHA31" s="72"/>
      <c r="GHB31" s="72"/>
      <c r="GHC31" s="72"/>
      <c r="GHD31" s="72"/>
      <c r="GHE31" s="72"/>
      <c r="GHF31" s="72"/>
      <c r="GHG31" s="72"/>
      <c r="GHH31" s="72"/>
      <c r="GHI31" s="72"/>
      <c r="GHJ31" s="72"/>
      <c r="GHK31" s="72"/>
      <c r="GHL31" s="72"/>
      <c r="GHM31" s="72"/>
      <c r="GHN31" s="72"/>
      <c r="GHO31" s="72"/>
      <c r="GHP31" s="72"/>
      <c r="GHQ31" s="72"/>
      <c r="GHR31" s="72"/>
      <c r="GHS31" s="72"/>
      <c r="GHT31" s="72"/>
      <c r="GHU31" s="72"/>
      <c r="GHV31" s="72"/>
      <c r="GHW31" s="72"/>
      <c r="GHX31" s="72"/>
      <c r="GHY31" s="72"/>
      <c r="GHZ31" s="72"/>
      <c r="GIA31" s="72"/>
      <c r="GIB31" s="72"/>
      <c r="GIC31" s="72"/>
      <c r="GID31" s="72"/>
      <c r="GIE31" s="72"/>
      <c r="GIF31" s="72"/>
      <c r="GIG31" s="72"/>
      <c r="GIH31" s="72"/>
      <c r="GII31" s="72"/>
      <c r="GIJ31" s="72"/>
      <c r="GIK31" s="72"/>
      <c r="GIL31" s="72"/>
      <c r="GIM31" s="72"/>
      <c r="GIN31" s="72"/>
      <c r="GIO31" s="72"/>
      <c r="GIP31" s="72"/>
      <c r="GIQ31" s="72"/>
      <c r="GIR31" s="72"/>
      <c r="GIS31" s="72"/>
      <c r="GIT31" s="72"/>
      <c r="GIU31" s="72"/>
      <c r="GIV31" s="72"/>
      <c r="GIW31" s="72"/>
      <c r="GIX31" s="72"/>
      <c r="GIY31" s="72"/>
      <c r="GIZ31" s="72"/>
      <c r="GJA31" s="72"/>
      <c r="GJB31" s="72"/>
      <c r="GJC31" s="72"/>
      <c r="GJD31" s="72"/>
      <c r="GJE31" s="72"/>
      <c r="GJF31" s="72"/>
      <c r="GJG31" s="72"/>
      <c r="GJH31" s="72"/>
      <c r="GJI31" s="72"/>
      <c r="GJJ31" s="72"/>
      <c r="GJK31" s="72"/>
      <c r="GJL31" s="72"/>
      <c r="GJM31" s="72"/>
      <c r="GJN31" s="72"/>
      <c r="GJO31" s="72"/>
      <c r="GJP31" s="72"/>
      <c r="GJQ31" s="72"/>
      <c r="GJR31" s="72"/>
      <c r="GJS31" s="72"/>
      <c r="GJT31" s="72"/>
      <c r="GJU31" s="72"/>
      <c r="GJV31" s="72"/>
      <c r="GJW31" s="72"/>
      <c r="GJX31" s="72"/>
      <c r="GJY31" s="72"/>
      <c r="GJZ31" s="72"/>
      <c r="GKA31" s="72"/>
      <c r="GKB31" s="72"/>
      <c r="GKC31" s="72"/>
      <c r="GKD31" s="72"/>
      <c r="GKE31" s="72"/>
      <c r="GKF31" s="72"/>
      <c r="GKG31" s="72"/>
      <c r="GKH31" s="72"/>
      <c r="GKI31" s="72"/>
      <c r="GKJ31" s="72"/>
      <c r="GKK31" s="72"/>
      <c r="GKL31" s="72"/>
      <c r="GKM31" s="72"/>
      <c r="GKN31" s="72"/>
      <c r="GKO31" s="72"/>
      <c r="GKP31" s="72"/>
      <c r="GKQ31" s="72"/>
      <c r="GKR31" s="72"/>
      <c r="GKS31" s="72"/>
      <c r="GKT31" s="72"/>
      <c r="GKU31" s="72"/>
      <c r="GKV31" s="72"/>
      <c r="GKW31" s="72"/>
      <c r="GKX31" s="72"/>
      <c r="GKY31" s="72"/>
      <c r="GKZ31" s="72"/>
      <c r="GLA31" s="72"/>
      <c r="GLB31" s="72"/>
      <c r="GLC31" s="72"/>
      <c r="GLD31" s="72"/>
      <c r="GLE31" s="72"/>
      <c r="GLF31" s="72"/>
      <c r="GLG31" s="72"/>
      <c r="GLH31" s="72"/>
      <c r="GLI31" s="72"/>
      <c r="GLJ31" s="72"/>
      <c r="GLK31" s="72"/>
      <c r="GLL31" s="72"/>
      <c r="GLM31" s="72"/>
      <c r="GLN31" s="72"/>
      <c r="GLO31" s="72"/>
      <c r="GLP31" s="72"/>
      <c r="GLQ31" s="72"/>
      <c r="GLR31" s="72"/>
      <c r="GLS31" s="72"/>
      <c r="GLT31" s="72"/>
      <c r="GLU31" s="72"/>
      <c r="GLV31" s="72"/>
      <c r="GLW31" s="72"/>
      <c r="GLX31" s="72"/>
      <c r="GLY31" s="72"/>
      <c r="GLZ31" s="72"/>
      <c r="GMA31" s="72"/>
      <c r="GMB31" s="72"/>
      <c r="GMC31" s="72"/>
      <c r="GMD31" s="72"/>
      <c r="GME31" s="72"/>
      <c r="GMF31" s="72"/>
      <c r="GMG31" s="72"/>
      <c r="GMH31" s="72"/>
      <c r="GMI31" s="72"/>
      <c r="GMJ31" s="72"/>
      <c r="GMK31" s="72"/>
      <c r="GML31" s="72"/>
      <c r="GMM31" s="72"/>
      <c r="GMN31" s="72"/>
      <c r="GMO31" s="72"/>
      <c r="GMP31" s="72"/>
      <c r="GMQ31" s="72"/>
      <c r="GMR31" s="72"/>
      <c r="GMS31" s="72"/>
      <c r="GMT31" s="72"/>
      <c r="GMU31" s="72"/>
      <c r="GMV31" s="72"/>
      <c r="GMW31" s="72"/>
      <c r="GMX31" s="72"/>
      <c r="GMY31" s="72"/>
      <c r="GMZ31" s="72"/>
      <c r="GNA31" s="72"/>
      <c r="GNB31" s="72"/>
      <c r="GNC31" s="72"/>
      <c r="GND31" s="72"/>
      <c r="GNE31" s="72"/>
      <c r="GNF31" s="72"/>
      <c r="GNG31" s="72"/>
      <c r="GNH31" s="72"/>
      <c r="GNI31" s="72"/>
      <c r="GNJ31" s="72"/>
      <c r="GNK31" s="72"/>
      <c r="GNL31" s="72"/>
      <c r="GNM31" s="72"/>
      <c r="GNN31" s="72"/>
      <c r="GNO31" s="72"/>
      <c r="GNP31" s="72"/>
      <c r="GNQ31" s="72"/>
      <c r="GNR31" s="72"/>
      <c r="GNS31" s="72"/>
      <c r="GNT31" s="72"/>
      <c r="GNU31" s="72"/>
      <c r="GNV31" s="72"/>
      <c r="GNW31" s="72"/>
      <c r="GNX31" s="72"/>
      <c r="GNY31" s="72"/>
      <c r="GNZ31" s="72"/>
      <c r="GOA31" s="72"/>
      <c r="GOB31" s="72"/>
      <c r="GOC31" s="72"/>
      <c r="GOD31" s="72"/>
      <c r="GOE31" s="72"/>
      <c r="GOF31" s="72"/>
      <c r="GOG31" s="72"/>
      <c r="GOH31" s="72"/>
      <c r="GOI31" s="72"/>
      <c r="GOJ31" s="72"/>
      <c r="GOK31" s="72"/>
      <c r="GOL31" s="72"/>
      <c r="GOM31" s="72"/>
      <c r="GON31" s="72"/>
      <c r="GOO31" s="72"/>
      <c r="GOP31" s="72"/>
      <c r="GOQ31" s="72"/>
      <c r="GOR31" s="72"/>
      <c r="GOS31" s="72"/>
      <c r="GOT31" s="72"/>
      <c r="GOU31" s="72"/>
      <c r="GOV31" s="72"/>
      <c r="GOW31" s="72"/>
      <c r="GOX31" s="72"/>
      <c r="GOY31" s="72"/>
      <c r="GOZ31" s="72"/>
      <c r="GPA31" s="72"/>
      <c r="GPB31" s="72"/>
      <c r="GPC31" s="72"/>
      <c r="GPD31" s="72"/>
      <c r="GPE31" s="72"/>
      <c r="GPF31" s="72"/>
      <c r="GPG31" s="72"/>
      <c r="GPH31" s="72"/>
      <c r="GPI31" s="72"/>
      <c r="GPJ31" s="72"/>
      <c r="GPK31" s="72"/>
      <c r="GPL31" s="72"/>
      <c r="GPM31" s="72"/>
      <c r="GPN31" s="72"/>
      <c r="GPO31" s="72"/>
      <c r="GPP31" s="72"/>
      <c r="GPQ31" s="72"/>
      <c r="GPR31" s="72"/>
      <c r="GPS31" s="72"/>
      <c r="GPT31" s="72"/>
      <c r="GPU31" s="72"/>
      <c r="GPV31" s="72"/>
      <c r="GPW31" s="72"/>
      <c r="GPX31" s="72"/>
      <c r="GPY31" s="72"/>
      <c r="GPZ31" s="72"/>
      <c r="GQA31" s="72"/>
      <c r="GQB31" s="72"/>
      <c r="GQC31" s="72"/>
      <c r="GQD31" s="72"/>
      <c r="GQE31" s="72"/>
      <c r="GQF31" s="72"/>
      <c r="GQG31" s="72"/>
      <c r="GQH31" s="72"/>
      <c r="GQI31" s="72"/>
      <c r="GQJ31" s="72"/>
      <c r="GQK31" s="72"/>
      <c r="GQL31" s="72"/>
      <c r="GQM31" s="72"/>
      <c r="GQN31" s="72"/>
      <c r="GQO31" s="72"/>
      <c r="GQP31" s="72"/>
      <c r="GQQ31" s="72"/>
      <c r="GQR31" s="72"/>
      <c r="GQS31" s="72"/>
      <c r="GQT31" s="72"/>
      <c r="GQU31" s="72"/>
      <c r="GQV31" s="72"/>
      <c r="GQW31" s="72"/>
      <c r="GQX31" s="72"/>
      <c r="GQY31" s="72"/>
      <c r="GQZ31" s="72"/>
      <c r="GRA31" s="72"/>
      <c r="GRB31" s="72"/>
      <c r="GRC31" s="72"/>
      <c r="GRD31" s="72"/>
      <c r="GRE31" s="72"/>
      <c r="GRF31" s="72"/>
      <c r="GRG31" s="72"/>
      <c r="GRH31" s="72"/>
      <c r="GRI31" s="72"/>
      <c r="GRJ31" s="72"/>
      <c r="GRK31" s="72"/>
      <c r="GRL31" s="72"/>
      <c r="GRM31" s="72"/>
      <c r="GRN31" s="72"/>
      <c r="GRO31" s="72"/>
      <c r="GRP31" s="72"/>
      <c r="GRQ31" s="72"/>
      <c r="GRR31" s="72"/>
      <c r="GRS31" s="72"/>
      <c r="GRT31" s="72"/>
      <c r="GRU31" s="72"/>
      <c r="GRV31" s="72"/>
      <c r="GRW31" s="72"/>
      <c r="GRX31" s="72"/>
      <c r="GRY31" s="72"/>
      <c r="GRZ31" s="72"/>
      <c r="GSA31" s="72"/>
      <c r="GSB31" s="72"/>
      <c r="GSC31" s="72"/>
      <c r="GSD31" s="72"/>
      <c r="GSE31" s="72"/>
      <c r="GSF31" s="72"/>
      <c r="GSG31" s="72"/>
      <c r="GSH31" s="72"/>
      <c r="GSI31" s="72"/>
      <c r="GSJ31" s="72"/>
      <c r="GSK31" s="72"/>
      <c r="GSL31" s="72"/>
      <c r="GSM31" s="72"/>
      <c r="GSN31" s="72"/>
      <c r="GSO31" s="72"/>
      <c r="GSP31" s="72"/>
      <c r="GSQ31" s="72"/>
      <c r="GSR31" s="72"/>
      <c r="GSS31" s="72"/>
      <c r="GST31" s="72"/>
      <c r="GSU31" s="72"/>
      <c r="GSV31" s="72"/>
      <c r="GSW31" s="72"/>
      <c r="GSX31" s="72"/>
      <c r="GSY31" s="72"/>
      <c r="GSZ31" s="72"/>
      <c r="GTA31" s="72"/>
      <c r="GTB31" s="72"/>
      <c r="GTC31" s="72"/>
      <c r="GTD31" s="72"/>
      <c r="GTE31" s="72"/>
      <c r="GTF31" s="72"/>
      <c r="GTG31" s="72"/>
      <c r="GTH31" s="72"/>
      <c r="GTI31" s="72"/>
      <c r="GTJ31" s="72"/>
      <c r="GTK31" s="72"/>
      <c r="GTL31" s="72"/>
      <c r="GTM31" s="72"/>
      <c r="GTN31" s="72"/>
      <c r="GTO31" s="72"/>
      <c r="GTP31" s="72"/>
      <c r="GTQ31" s="72"/>
      <c r="GTR31" s="72"/>
      <c r="GTS31" s="72"/>
      <c r="GTT31" s="72"/>
      <c r="GTU31" s="72"/>
      <c r="GTV31" s="72"/>
      <c r="GTW31" s="72"/>
      <c r="GTX31" s="72"/>
      <c r="GTY31" s="72"/>
      <c r="GTZ31" s="72"/>
      <c r="GUA31" s="72"/>
      <c r="GUB31" s="72"/>
      <c r="GUC31" s="72"/>
      <c r="GUD31" s="72"/>
      <c r="GUE31" s="72"/>
      <c r="GUF31" s="72"/>
      <c r="GUG31" s="72"/>
      <c r="GUH31" s="72"/>
      <c r="GUI31" s="72"/>
      <c r="GUJ31" s="72"/>
      <c r="GUK31" s="72"/>
      <c r="GUL31" s="72"/>
      <c r="GUM31" s="72"/>
      <c r="GUN31" s="72"/>
      <c r="GUO31" s="72"/>
      <c r="GUP31" s="72"/>
      <c r="GUQ31" s="72"/>
      <c r="GUR31" s="72"/>
      <c r="GUS31" s="72"/>
      <c r="GUT31" s="72"/>
      <c r="GUU31" s="72"/>
      <c r="GUV31" s="72"/>
      <c r="GUW31" s="72"/>
      <c r="GUX31" s="72"/>
      <c r="GUY31" s="72"/>
      <c r="GUZ31" s="72"/>
      <c r="GVA31" s="72"/>
      <c r="GVB31" s="72"/>
      <c r="GVC31" s="72"/>
      <c r="GVD31" s="72"/>
      <c r="GVE31" s="72"/>
      <c r="GVF31" s="72"/>
      <c r="GVG31" s="72"/>
      <c r="GVH31" s="72"/>
      <c r="GVI31" s="72"/>
      <c r="GVJ31" s="72"/>
      <c r="GVK31" s="72"/>
      <c r="GVL31" s="72"/>
      <c r="GVM31" s="72"/>
      <c r="GVN31" s="72"/>
      <c r="GVO31" s="72"/>
      <c r="GVP31" s="72"/>
      <c r="GVQ31" s="72"/>
      <c r="GVR31" s="72"/>
      <c r="GVS31" s="72"/>
      <c r="GVT31" s="72"/>
      <c r="GVU31" s="72"/>
      <c r="GVV31" s="72"/>
      <c r="GVW31" s="72"/>
      <c r="GVX31" s="72"/>
      <c r="GVY31" s="72"/>
      <c r="GVZ31" s="72"/>
      <c r="GWA31" s="72"/>
      <c r="GWB31" s="72"/>
      <c r="GWC31" s="72"/>
      <c r="GWD31" s="72"/>
      <c r="GWE31" s="72"/>
      <c r="GWF31" s="72"/>
      <c r="GWG31" s="72"/>
      <c r="GWH31" s="72"/>
      <c r="GWI31" s="72"/>
      <c r="GWJ31" s="72"/>
      <c r="GWK31" s="72"/>
      <c r="GWL31" s="72"/>
      <c r="GWM31" s="72"/>
      <c r="GWN31" s="72"/>
      <c r="GWO31" s="72"/>
      <c r="GWP31" s="72"/>
      <c r="GWQ31" s="72"/>
      <c r="GWR31" s="72"/>
      <c r="GWS31" s="72"/>
      <c r="GWT31" s="72"/>
      <c r="GWU31" s="72"/>
      <c r="GWV31" s="72"/>
      <c r="GWW31" s="72"/>
      <c r="GWX31" s="72"/>
      <c r="GWY31" s="72"/>
      <c r="GWZ31" s="72"/>
      <c r="GXA31" s="72"/>
      <c r="GXB31" s="72"/>
      <c r="GXC31" s="72"/>
      <c r="GXD31" s="72"/>
      <c r="GXE31" s="72"/>
      <c r="GXF31" s="72"/>
      <c r="GXG31" s="72"/>
      <c r="GXH31" s="72"/>
      <c r="GXI31" s="72"/>
      <c r="GXJ31" s="72"/>
      <c r="GXK31" s="72"/>
      <c r="GXL31" s="72"/>
      <c r="GXM31" s="72"/>
      <c r="GXN31" s="72"/>
      <c r="GXO31" s="72"/>
      <c r="GXP31" s="72"/>
      <c r="GXQ31" s="72"/>
      <c r="GXR31" s="72"/>
      <c r="GXS31" s="72"/>
      <c r="GXT31" s="72"/>
      <c r="GXU31" s="72"/>
      <c r="GXV31" s="72"/>
      <c r="GXW31" s="72"/>
      <c r="GXX31" s="72"/>
      <c r="GXY31" s="72"/>
      <c r="GXZ31" s="72"/>
      <c r="GYA31" s="72"/>
      <c r="GYB31" s="72"/>
      <c r="GYC31" s="72"/>
      <c r="GYD31" s="72"/>
      <c r="GYE31" s="72"/>
      <c r="GYF31" s="72"/>
      <c r="GYG31" s="72"/>
      <c r="GYH31" s="72"/>
      <c r="GYI31" s="72"/>
      <c r="GYJ31" s="72"/>
      <c r="GYK31" s="72"/>
      <c r="GYL31" s="72"/>
      <c r="GYM31" s="72"/>
      <c r="GYN31" s="72"/>
      <c r="GYO31" s="72"/>
      <c r="GYP31" s="72"/>
      <c r="GYQ31" s="72"/>
      <c r="GYR31" s="72"/>
      <c r="GYS31" s="72"/>
      <c r="GYT31" s="72"/>
      <c r="GYU31" s="72"/>
      <c r="GYV31" s="72"/>
      <c r="GYW31" s="72"/>
      <c r="GYX31" s="72"/>
      <c r="GYY31" s="72"/>
      <c r="GYZ31" s="72"/>
      <c r="GZA31" s="72"/>
      <c r="GZB31" s="72"/>
      <c r="GZC31" s="72"/>
      <c r="GZD31" s="72"/>
      <c r="GZE31" s="72"/>
      <c r="GZF31" s="72"/>
      <c r="GZG31" s="72"/>
      <c r="GZH31" s="72"/>
      <c r="GZI31" s="72"/>
      <c r="GZJ31" s="72"/>
      <c r="GZK31" s="72"/>
      <c r="GZL31" s="72"/>
      <c r="GZM31" s="72"/>
      <c r="GZN31" s="72"/>
      <c r="GZO31" s="72"/>
      <c r="GZP31" s="72"/>
      <c r="GZQ31" s="72"/>
      <c r="GZR31" s="72"/>
      <c r="GZS31" s="72"/>
      <c r="GZT31" s="72"/>
      <c r="GZU31" s="72"/>
      <c r="GZV31" s="72"/>
      <c r="GZW31" s="72"/>
      <c r="GZX31" s="72"/>
      <c r="GZY31" s="72"/>
      <c r="GZZ31" s="72"/>
      <c r="HAA31" s="72"/>
      <c r="HAB31" s="72"/>
      <c r="HAC31" s="72"/>
      <c r="HAD31" s="72"/>
      <c r="HAE31" s="72"/>
      <c r="HAF31" s="72"/>
      <c r="HAG31" s="72"/>
      <c r="HAH31" s="72"/>
      <c r="HAI31" s="72"/>
      <c r="HAJ31" s="72"/>
      <c r="HAK31" s="72"/>
      <c r="HAL31" s="72"/>
      <c r="HAM31" s="72"/>
      <c r="HAN31" s="72"/>
      <c r="HAO31" s="72"/>
      <c r="HAP31" s="72"/>
      <c r="HAQ31" s="72"/>
      <c r="HAR31" s="72"/>
      <c r="HAS31" s="72"/>
      <c r="HAT31" s="72"/>
      <c r="HAU31" s="72"/>
      <c r="HAV31" s="72"/>
      <c r="HAW31" s="72"/>
      <c r="HAX31" s="72"/>
      <c r="HAY31" s="72"/>
      <c r="HAZ31" s="72"/>
      <c r="HBA31" s="72"/>
      <c r="HBB31" s="72"/>
      <c r="HBC31" s="72"/>
      <c r="HBD31" s="72"/>
      <c r="HBE31" s="72"/>
      <c r="HBF31" s="72"/>
      <c r="HBG31" s="72"/>
      <c r="HBH31" s="72"/>
      <c r="HBI31" s="72"/>
      <c r="HBJ31" s="72"/>
      <c r="HBK31" s="72"/>
      <c r="HBL31" s="72"/>
      <c r="HBM31" s="72"/>
      <c r="HBN31" s="72"/>
      <c r="HBO31" s="72"/>
      <c r="HBP31" s="72"/>
      <c r="HBQ31" s="72"/>
      <c r="HBR31" s="72"/>
      <c r="HBS31" s="72"/>
      <c r="HBT31" s="72"/>
      <c r="HBU31" s="72"/>
      <c r="HBV31" s="72"/>
      <c r="HBW31" s="72"/>
      <c r="HBX31" s="72"/>
      <c r="HBY31" s="72"/>
      <c r="HBZ31" s="72"/>
      <c r="HCA31" s="72"/>
      <c r="HCB31" s="72"/>
      <c r="HCC31" s="72"/>
      <c r="HCD31" s="72"/>
      <c r="HCE31" s="72"/>
      <c r="HCF31" s="72"/>
      <c r="HCG31" s="72"/>
      <c r="HCH31" s="72"/>
      <c r="HCI31" s="72"/>
      <c r="HCJ31" s="72"/>
      <c r="HCK31" s="72"/>
      <c r="HCL31" s="72"/>
      <c r="HCM31" s="72"/>
      <c r="HCN31" s="72"/>
      <c r="HCO31" s="72"/>
      <c r="HCP31" s="72"/>
      <c r="HCQ31" s="72"/>
      <c r="HCR31" s="72"/>
      <c r="HCS31" s="72"/>
      <c r="HCT31" s="72"/>
      <c r="HCU31" s="72"/>
      <c r="HCV31" s="72"/>
      <c r="HCW31" s="72"/>
      <c r="HCX31" s="72"/>
      <c r="HCY31" s="72"/>
      <c r="HCZ31" s="72"/>
      <c r="HDA31" s="72"/>
      <c r="HDB31" s="72"/>
      <c r="HDC31" s="72"/>
      <c r="HDD31" s="72"/>
      <c r="HDE31" s="72"/>
      <c r="HDF31" s="72"/>
      <c r="HDG31" s="72"/>
      <c r="HDH31" s="72"/>
      <c r="HDI31" s="72"/>
      <c r="HDJ31" s="72"/>
      <c r="HDK31" s="72"/>
      <c r="HDL31" s="72"/>
      <c r="HDM31" s="72"/>
      <c r="HDN31" s="72"/>
      <c r="HDO31" s="72"/>
      <c r="HDP31" s="72"/>
      <c r="HDQ31" s="72"/>
      <c r="HDR31" s="72"/>
      <c r="HDS31" s="72"/>
      <c r="HDT31" s="72"/>
      <c r="HDU31" s="72"/>
      <c r="HDV31" s="72"/>
      <c r="HDW31" s="72"/>
      <c r="HDX31" s="72"/>
      <c r="HDY31" s="72"/>
      <c r="HDZ31" s="72"/>
      <c r="HEA31" s="72"/>
      <c r="HEB31" s="72"/>
      <c r="HEC31" s="72"/>
      <c r="HED31" s="72"/>
      <c r="HEE31" s="72"/>
      <c r="HEF31" s="72"/>
      <c r="HEG31" s="72"/>
      <c r="HEH31" s="72"/>
      <c r="HEI31" s="72"/>
      <c r="HEJ31" s="72"/>
      <c r="HEK31" s="72"/>
      <c r="HEL31" s="72"/>
      <c r="HEM31" s="72"/>
      <c r="HEN31" s="72"/>
      <c r="HEO31" s="72"/>
      <c r="HEP31" s="72"/>
      <c r="HEQ31" s="72"/>
      <c r="HER31" s="72"/>
      <c r="HES31" s="72"/>
      <c r="HET31" s="72"/>
      <c r="HEU31" s="72"/>
      <c r="HEV31" s="72"/>
      <c r="HEW31" s="72"/>
      <c r="HEX31" s="72"/>
      <c r="HEY31" s="72"/>
      <c r="HEZ31" s="72"/>
      <c r="HFA31" s="72"/>
      <c r="HFB31" s="72"/>
      <c r="HFC31" s="72"/>
      <c r="HFD31" s="72"/>
      <c r="HFE31" s="72"/>
      <c r="HFF31" s="72"/>
      <c r="HFG31" s="72"/>
      <c r="HFH31" s="72"/>
      <c r="HFI31" s="72"/>
      <c r="HFJ31" s="72"/>
      <c r="HFK31" s="72"/>
      <c r="HFL31" s="72"/>
      <c r="HFM31" s="72"/>
      <c r="HFN31" s="72"/>
      <c r="HFO31" s="72"/>
      <c r="HFP31" s="72"/>
      <c r="HFQ31" s="72"/>
      <c r="HFR31" s="72"/>
      <c r="HFS31" s="72"/>
      <c r="HFT31" s="72"/>
      <c r="HFU31" s="72"/>
      <c r="HFV31" s="72"/>
      <c r="HFW31" s="72"/>
      <c r="HFX31" s="72"/>
      <c r="HFY31" s="72"/>
      <c r="HFZ31" s="72"/>
      <c r="HGA31" s="72"/>
      <c r="HGB31" s="72"/>
      <c r="HGC31" s="72"/>
      <c r="HGD31" s="72"/>
      <c r="HGE31" s="72"/>
      <c r="HGF31" s="72"/>
      <c r="HGG31" s="72"/>
      <c r="HGH31" s="72"/>
      <c r="HGI31" s="72"/>
      <c r="HGJ31" s="72"/>
      <c r="HGK31" s="72"/>
      <c r="HGL31" s="72"/>
      <c r="HGM31" s="72"/>
      <c r="HGN31" s="72"/>
      <c r="HGO31" s="72"/>
      <c r="HGP31" s="72"/>
      <c r="HGQ31" s="72"/>
      <c r="HGR31" s="72"/>
      <c r="HGS31" s="72"/>
      <c r="HGT31" s="72"/>
      <c r="HGU31" s="72"/>
      <c r="HGV31" s="72"/>
      <c r="HGW31" s="72"/>
      <c r="HGX31" s="72"/>
      <c r="HGY31" s="72"/>
      <c r="HGZ31" s="72"/>
      <c r="HHA31" s="72"/>
      <c r="HHB31" s="72"/>
      <c r="HHC31" s="72"/>
      <c r="HHD31" s="72"/>
      <c r="HHE31" s="72"/>
      <c r="HHF31" s="72"/>
      <c r="HHG31" s="72"/>
      <c r="HHH31" s="72"/>
      <c r="HHI31" s="72"/>
      <c r="HHJ31" s="72"/>
      <c r="HHK31" s="72"/>
      <c r="HHL31" s="72"/>
      <c r="HHM31" s="72"/>
      <c r="HHN31" s="72"/>
      <c r="HHO31" s="72"/>
      <c r="HHP31" s="72"/>
      <c r="HHQ31" s="72"/>
      <c r="HHR31" s="72"/>
      <c r="HHS31" s="72"/>
      <c r="HHT31" s="72"/>
      <c r="HHU31" s="72"/>
      <c r="HHV31" s="72"/>
      <c r="HHW31" s="72"/>
      <c r="HHX31" s="72"/>
      <c r="HHY31" s="72"/>
      <c r="HHZ31" s="72"/>
      <c r="HIA31" s="72"/>
      <c r="HIB31" s="72"/>
      <c r="HIC31" s="72"/>
      <c r="HID31" s="72"/>
      <c r="HIE31" s="72"/>
      <c r="HIF31" s="72"/>
      <c r="HIG31" s="72"/>
      <c r="HIH31" s="72"/>
      <c r="HII31" s="72"/>
      <c r="HIJ31" s="72"/>
      <c r="HIK31" s="72"/>
      <c r="HIL31" s="72"/>
      <c r="HIM31" s="72"/>
      <c r="HIN31" s="72"/>
      <c r="HIO31" s="72"/>
      <c r="HIP31" s="72"/>
      <c r="HIQ31" s="72"/>
      <c r="HIR31" s="72"/>
      <c r="HIS31" s="72"/>
      <c r="HIT31" s="72"/>
      <c r="HIU31" s="72"/>
      <c r="HIV31" s="72"/>
      <c r="HIW31" s="72"/>
      <c r="HIX31" s="72"/>
      <c r="HIY31" s="72"/>
      <c r="HIZ31" s="72"/>
      <c r="HJA31" s="72"/>
      <c r="HJB31" s="72"/>
      <c r="HJC31" s="72"/>
      <c r="HJD31" s="72"/>
      <c r="HJE31" s="72"/>
      <c r="HJF31" s="72"/>
      <c r="HJG31" s="72"/>
      <c r="HJH31" s="72"/>
      <c r="HJI31" s="72"/>
      <c r="HJJ31" s="72"/>
      <c r="HJK31" s="72"/>
      <c r="HJL31" s="72"/>
      <c r="HJM31" s="72"/>
      <c r="HJN31" s="72"/>
      <c r="HJO31" s="72"/>
      <c r="HJP31" s="72"/>
      <c r="HJQ31" s="72"/>
      <c r="HJR31" s="72"/>
      <c r="HJS31" s="72"/>
      <c r="HJT31" s="72"/>
      <c r="HJU31" s="72"/>
      <c r="HJV31" s="72"/>
      <c r="HJW31" s="72"/>
      <c r="HJX31" s="72"/>
      <c r="HJY31" s="72"/>
      <c r="HJZ31" s="72"/>
      <c r="HKA31" s="72"/>
      <c r="HKB31" s="72"/>
      <c r="HKC31" s="72"/>
      <c r="HKD31" s="72"/>
      <c r="HKE31" s="72"/>
      <c r="HKF31" s="72"/>
      <c r="HKG31" s="72"/>
      <c r="HKH31" s="72"/>
      <c r="HKI31" s="72"/>
      <c r="HKJ31" s="72"/>
      <c r="HKK31" s="72"/>
      <c r="HKL31" s="72"/>
      <c r="HKM31" s="72"/>
      <c r="HKN31" s="72"/>
      <c r="HKO31" s="72"/>
      <c r="HKP31" s="72"/>
      <c r="HKQ31" s="72"/>
      <c r="HKR31" s="72"/>
      <c r="HKS31" s="72"/>
      <c r="HKT31" s="72"/>
      <c r="HKU31" s="72"/>
      <c r="HKV31" s="72"/>
      <c r="HKW31" s="72"/>
      <c r="HKX31" s="72"/>
      <c r="HKY31" s="72"/>
      <c r="HKZ31" s="72"/>
      <c r="HLA31" s="72"/>
      <c r="HLB31" s="72"/>
      <c r="HLC31" s="72"/>
      <c r="HLD31" s="72"/>
      <c r="HLE31" s="72"/>
      <c r="HLF31" s="72"/>
      <c r="HLG31" s="72"/>
      <c r="HLH31" s="72"/>
      <c r="HLI31" s="72"/>
      <c r="HLJ31" s="72"/>
      <c r="HLK31" s="72"/>
      <c r="HLL31" s="72"/>
      <c r="HLM31" s="72"/>
      <c r="HLN31" s="72"/>
      <c r="HLO31" s="72"/>
      <c r="HLP31" s="72"/>
      <c r="HLQ31" s="72"/>
      <c r="HLR31" s="72"/>
      <c r="HLS31" s="72"/>
      <c r="HLT31" s="72"/>
      <c r="HLU31" s="72"/>
      <c r="HLV31" s="72"/>
      <c r="HLW31" s="72"/>
      <c r="HLX31" s="72"/>
      <c r="HLY31" s="72"/>
      <c r="HLZ31" s="72"/>
      <c r="HMA31" s="72"/>
      <c r="HMB31" s="72"/>
      <c r="HMC31" s="72"/>
      <c r="HMD31" s="72"/>
      <c r="HME31" s="72"/>
      <c r="HMF31" s="72"/>
      <c r="HMG31" s="72"/>
      <c r="HMH31" s="72"/>
      <c r="HMI31" s="72"/>
      <c r="HMJ31" s="72"/>
      <c r="HMK31" s="72"/>
      <c r="HML31" s="72"/>
      <c r="HMM31" s="72"/>
      <c r="HMN31" s="72"/>
      <c r="HMO31" s="72"/>
      <c r="HMP31" s="72"/>
      <c r="HMQ31" s="72"/>
      <c r="HMR31" s="72"/>
      <c r="HMS31" s="72"/>
      <c r="HMT31" s="72"/>
      <c r="HMU31" s="72"/>
      <c r="HMV31" s="72"/>
      <c r="HMW31" s="72"/>
      <c r="HMX31" s="72"/>
      <c r="HMY31" s="72"/>
      <c r="HMZ31" s="72"/>
      <c r="HNA31" s="72"/>
      <c r="HNB31" s="72"/>
      <c r="HNC31" s="72"/>
      <c r="HND31" s="72"/>
      <c r="HNE31" s="72"/>
      <c r="HNF31" s="72"/>
      <c r="HNG31" s="72"/>
      <c r="HNH31" s="72"/>
      <c r="HNI31" s="72"/>
      <c r="HNJ31" s="72"/>
      <c r="HNK31" s="72"/>
      <c r="HNL31" s="72"/>
      <c r="HNM31" s="72"/>
      <c r="HNN31" s="72"/>
      <c r="HNO31" s="72"/>
      <c r="HNP31" s="72"/>
      <c r="HNQ31" s="72"/>
      <c r="HNR31" s="72"/>
      <c r="HNS31" s="72"/>
      <c r="HNT31" s="72"/>
      <c r="HNU31" s="72"/>
      <c r="HNV31" s="72"/>
      <c r="HNW31" s="72"/>
      <c r="HNX31" s="72"/>
      <c r="HNY31" s="72"/>
      <c r="HNZ31" s="72"/>
      <c r="HOA31" s="72"/>
      <c r="HOB31" s="72"/>
      <c r="HOC31" s="72"/>
      <c r="HOD31" s="72"/>
      <c r="HOE31" s="72"/>
      <c r="HOF31" s="72"/>
      <c r="HOG31" s="72"/>
      <c r="HOH31" s="72"/>
      <c r="HOI31" s="72"/>
      <c r="HOJ31" s="72"/>
      <c r="HOK31" s="72"/>
      <c r="HOL31" s="72"/>
      <c r="HOM31" s="72"/>
      <c r="HON31" s="72"/>
      <c r="HOO31" s="72"/>
      <c r="HOP31" s="72"/>
      <c r="HOQ31" s="72"/>
      <c r="HOR31" s="72"/>
      <c r="HOS31" s="72"/>
      <c r="HOT31" s="72"/>
      <c r="HOU31" s="72"/>
      <c r="HOV31" s="72"/>
      <c r="HOW31" s="72"/>
      <c r="HOX31" s="72"/>
      <c r="HOY31" s="72"/>
      <c r="HOZ31" s="72"/>
      <c r="HPA31" s="72"/>
      <c r="HPB31" s="72"/>
      <c r="HPC31" s="72"/>
      <c r="HPD31" s="72"/>
      <c r="HPE31" s="72"/>
      <c r="HPF31" s="72"/>
      <c r="HPG31" s="72"/>
      <c r="HPH31" s="72"/>
      <c r="HPI31" s="72"/>
      <c r="HPJ31" s="72"/>
      <c r="HPK31" s="72"/>
      <c r="HPL31" s="72"/>
      <c r="HPM31" s="72"/>
      <c r="HPN31" s="72"/>
      <c r="HPO31" s="72"/>
      <c r="HPP31" s="72"/>
      <c r="HPQ31" s="72"/>
      <c r="HPR31" s="72"/>
      <c r="HPS31" s="72"/>
      <c r="HPT31" s="72"/>
      <c r="HPU31" s="72"/>
      <c r="HPV31" s="72"/>
      <c r="HPW31" s="72"/>
      <c r="HPX31" s="72"/>
      <c r="HPY31" s="72"/>
      <c r="HPZ31" s="72"/>
      <c r="HQA31" s="72"/>
      <c r="HQB31" s="72"/>
      <c r="HQC31" s="72"/>
      <c r="HQD31" s="72"/>
      <c r="HQE31" s="72"/>
      <c r="HQF31" s="72"/>
      <c r="HQG31" s="72"/>
      <c r="HQH31" s="72"/>
      <c r="HQI31" s="72"/>
      <c r="HQJ31" s="72"/>
      <c r="HQK31" s="72"/>
      <c r="HQL31" s="72"/>
      <c r="HQM31" s="72"/>
      <c r="HQN31" s="72"/>
      <c r="HQO31" s="72"/>
      <c r="HQP31" s="72"/>
      <c r="HQQ31" s="72"/>
      <c r="HQR31" s="72"/>
      <c r="HQS31" s="72"/>
      <c r="HQT31" s="72"/>
      <c r="HQU31" s="72"/>
      <c r="HQV31" s="72"/>
      <c r="HQW31" s="72"/>
      <c r="HQX31" s="72"/>
      <c r="HQY31" s="72"/>
      <c r="HQZ31" s="72"/>
      <c r="HRA31" s="72"/>
      <c r="HRB31" s="72"/>
      <c r="HRC31" s="72"/>
      <c r="HRD31" s="72"/>
      <c r="HRE31" s="72"/>
      <c r="HRF31" s="72"/>
      <c r="HRG31" s="72"/>
      <c r="HRH31" s="72"/>
      <c r="HRI31" s="72"/>
      <c r="HRJ31" s="72"/>
      <c r="HRK31" s="72"/>
      <c r="HRL31" s="72"/>
      <c r="HRM31" s="72"/>
      <c r="HRN31" s="72"/>
      <c r="HRO31" s="72"/>
      <c r="HRP31" s="72"/>
      <c r="HRQ31" s="72"/>
      <c r="HRR31" s="72"/>
      <c r="HRS31" s="72"/>
      <c r="HRT31" s="72"/>
      <c r="HRU31" s="72"/>
      <c r="HRV31" s="72"/>
      <c r="HRW31" s="72"/>
      <c r="HRX31" s="72"/>
      <c r="HRY31" s="72"/>
      <c r="HRZ31" s="72"/>
      <c r="HSA31" s="72"/>
      <c r="HSB31" s="72"/>
      <c r="HSC31" s="72"/>
      <c r="HSD31" s="72"/>
      <c r="HSE31" s="72"/>
      <c r="HSF31" s="72"/>
      <c r="HSG31" s="72"/>
      <c r="HSH31" s="72"/>
      <c r="HSI31" s="72"/>
      <c r="HSJ31" s="72"/>
      <c r="HSK31" s="72"/>
      <c r="HSL31" s="72"/>
      <c r="HSM31" s="72"/>
      <c r="HSN31" s="72"/>
      <c r="HSO31" s="72"/>
      <c r="HSP31" s="72"/>
      <c r="HSQ31" s="72"/>
      <c r="HSR31" s="72"/>
      <c r="HSS31" s="72"/>
      <c r="HST31" s="72"/>
      <c r="HSU31" s="72"/>
      <c r="HSV31" s="72"/>
      <c r="HSW31" s="72"/>
      <c r="HSX31" s="72"/>
      <c r="HSY31" s="72"/>
      <c r="HSZ31" s="72"/>
      <c r="HTA31" s="72"/>
      <c r="HTB31" s="72"/>
      <c r="HTC31" s="72"/>
      <c r="HTD31" s="72"/>
      <c r="HTE31" s="72"/>
      <c r="HTF31" s="72"/>
      <c r="HTG31" s="72"/>
      <c r="HTH31" s="72"/>
      <c r="HTI31" s="72"/>
      <c r="HTJ31" s="72"/>
      <c r="HTK31" s="72"/>
      <c r="HTL31" s="72"/>
      <c r="HTM31" s="72"/>
      <c r="HTN31" s="72"/>
      <c r="HTO31" s="72"/>
      <c r="HTP31" s="72"/>
      <c r="HTQ31" s="72"/>
      <c r="HTR31" s="72"/>
      <c r="HTS31" s="72"/>
      <c r="HTT31" s="72"/>
      <c r="HTU31" s="72"/>
      <c r="HTV31" s="72"/>
      <c r="HTW31" s="72"/>
      <c r="HTX31" s="72"/>
      <c r="HTY31" s="72"/>
      <c r="HTZ31" s="72"/>
      <c r="HUA31" s="72"/>
      <c r="HUB31" s="72"/>
      <c r="HUC31" s="72"/>
      <c r="HUD31" s="72"/>
      <c r="HUE31" s="72"/>
      <c r="HUF31" s="72"/>
      <c r="HUG31" s="72"/>
      <c r="HUH31" s="72"/>
      <c r="HUI31" s="72"/>
      <c r="HUJ31" s="72"/>
      <c r="HUK31" s="72"/>
      <c r="HUL31" s="72"/>
      <c r="HUM31" s="72"/>
      <c r="HUN31" s="72"/>
      <c r="HUO31" s="72"/>
      <c r="HUP31" s="72"/>
      <c r="HUQ31" s="72"/>
      <c r="HUR31" s="72"/>
      <c r="HUS31" s="72"/>
      <c r="HUT31" s="72"/>
      <c r="HUU31" s="72"/>
      <c r="HUV31" s="72"/>
      <c r="HUW31" s="72"/>
      <c r="HUX31" s="72"/>
      <c r="HUY31" s="72"/>
      <c r="HUZ31" s="72"/>
      <c r="HVA31" s="72"/>
      <c r="HVB31" s="72"/>
      <c r="HVC31" s="72"/>
      <c r="HVD31" s="72"/>
      <c r="HVE31" s="72"/>
      <c r="HVF31" s="72"/>
      <c r="HVG31" s="72"/>
      <c r="HVH31" s="72"/>
      <c r="HVI31" s="72"/>
      <c r="HVJ31" s="72"/>
      <c r="HVK31" s="72"/>
      <c r="HVL31" s="72"/>
      <c r="HVM31" s="72"/>
      <c r="HVN31" s="72"/>
      <c r="HVO31" s="72"/>
      <c r="HVP31" s="72"/>
      <c r="HVQ31" s="72"/>
      <c r="HVR31" s="72"/>
      <c r="HVS31" s="72"/>
      <c r="HVT31" s="72"/>
      <c r="HVU31" s="72"/>
      <c r="HVV31" s="72"/>
      <c r="HVW31" s="72"/>
      <c r="HVX31" s="72"/>
      <c r="HVY31" s="72"/>
      <c r="HVZ31" s="72"/>
      <c r="HWA31" s="72"/>
      <c r="HWB31" s="72"/>
      <c r="HWC31" s="72"/>
      <c r="HWD31" s="72"/>
      <c r="HWE31" s="72"/>
      <c r="HWF31" s="72"/>
      <c r="HWG31" s="72"/>
      <c r="HWH31" s="72"/>
      <c r="HWI31" s="72"/>
      <c r="HWJ31" s="72"/>
      <c r="HWK31" s="72"/>
      <c r="HWL31" s="72"/>
      <c r="HWM31" s="72"/>
      <c r="HWN31" s="72"/>
      <c r="HWO31" s="72"/>
      <c r="HWP31" s="72"/>
      <c r="HWQ31" s="72"/>
      <c r="HWR31" s="72"/>
      <c r="HWS31" s="72"/>
      <c r="HWT31" s="72"/>
      <c r="HWU31" s="72"/>
      <c r="HWV31" s="72"/>
      <c r="HWW31" s="72"/>
      <c r="HWX31" s="72"/>
      <c r="HWY31" s="72"/>
      <c r="HWZ31" s="72"/>
      <c r="HXA31" s="72"/>
      <c r="HXB31" s="72"/>
      <c r="HXC31" s="72"/>
      <c r="HXD31" s="72"/>
      <c r="HXE31" s="72"/>
      <c r="HXF31" s="72"/>
      <c r="HXG31" s="72"/>
      <c r="HXH31" s="72"/>
      <c r="HXI31" s="72"/>
      <c r="HXJ31" s="72"/>
      <c r="HXK31" s="72"/>
      <c r="HXL31" s="72"/>
      <c r="HXM31" s="72"/>
      <c r="HXN31" s="72"/>
      <c r="HXO31" s="72"/>
      <c r="HXP31" s="72"/>
      <c r="HXQ31" s="72"/>
      <c r="HXR31" s="72"/>
      <c r="HXS31" s="72"/>
      <c r="HXT31" s="72"/>
      <c r="HXU31" s="72"/>
      <c r="HXV31" s="72"/>
      <c r="HXW31" s="72"/>
      <c r="HXX31" s="72"/>
      <c r="HXY31" s="72"/>
      <c r="HXZ31" s="72"/>
      <c r="HYA31" s="72"/>
      <c r="HYB31" s="72"/>
      <c r="HYC31" s="72"/>
      <c r="HYD31" s="72"/>
      <c r="HYE31" s="72"/>
      <c r="HYF31" s="72"/>
      <c r="HYG31" s="72"/>
      <c r="HYH31" s="72"/>
      <c r="HYI31" s="72"/>
      <c r="HYJ31" s="72"/>
      <c r="HYK31" s="72"/>
      <c r="HYL31" s="72"/>
      <c r="HYM31" s="72"/>
      <c r="HYN31" s="72"/>
      <c r="HYO31" s="72"/>
      <c r="HYP31" s="72"/>
      <c r="HYQ31" s="72"/>
      <c r="HYR31" s="72"/>
      <c r="HYS31" s="72"/>
      <c r="HYT31" s="72"/>
      <c r="HYU31" s="72"/>
      <c r="HYV31" s="72"/>
      <c r="HYW31" s="72"/>
      <c r="HYX31" s="72"/>
      <c r="HYY31" s="72"/>
      <c r="HYZ31" s="72"/>
      <c r="HZA31" s="72"/>
      <c r="HZB31" s="72"/>
      <c r="HZC31" s="72"/>
      <c r="HZD31" s="72"/>
      <c r="HZE31" s="72"/>
      <c r="HZF31" s="72"/>
      <c r="HZG31" s="72"/>
      <c r="HZH31" s="72"/>
      <c r="HZI31" s="72"/>
      <c r="HZJ31" s="72"/>
      <c r="HZK31" s="72"/>
      <c r="HZL31" s="72"/>
      <c r="HZM31" s="72"/>
      <c r="HZN31" s="72"/>
      <c r="HZO31" s="72"/>
      <c r="HZP31" s="72"/>
      <c r="HZQ31" s="72"/>
      <c r="HZR31" s="72"/>
      <c r="HZS31" s="72"/>
      <c r="HZT31" s="72"/>
      <c r="HZU31" s="72"/>
      <c r="HZV31" s="72"/>
      <c r="HZW31" s="72"/>
      <c r="HZX31" s="72"/>
      <c r="HZY31" s="72"/>
      <c r="HZZ31" s="72"/>
      <c r="IAA31" s="72"/>
      <c r="IAB31" s="72"/>
      <c r="IAC31" s="72"/>
      <c r="IAD31" s="72"/>
      <c r="IAE31" s="72"/>
      <c r="IAF31" s="72"/>
      <c r="IAG31" s="72"/>
      <c r="IAH31" s="72"/>
      <c r="IAI31" s="72"/>
      <c r="IAJ31" s="72"/>
      <c r="IAK31" s="72"/>
      <c r="IAL31" s="72"/>
      <c r="IAM31" s="72"/>
      <c r="IAN31" s="72"/>
      <c r="IAO31" s="72"/>
      <c r="IAP31" s="72"/>
      <c r="IAQ31" s="72"/>
      <c r="IAR31" s="72"/>
      <c r="IAS31" s="72"/>
      <c r="IAT31" s="72"/>
      <c r="IAU31" s="72"/>
      <c r="IAV31" s="72"/>
      <c r="IAW31" s="72"/>
      <c r="IAX31" s="72"/>
      <c r="IAY31" s="72"/>
      <c r="IAZ31" s="72"/>
      <c r="IBA31" s="72"/>
      <c r="IBB31" s="72"/>
      <c r="IBC31" s="72"/>
      <c r="IBD31" s="72"/>
      <c r="IBE31" s="72"/>
      <c r="IBF31" s="72"/>
      <c r="IBG31" s="72"/>
      <c r="IBH31" s="72"/>
      <c r="IBI31" s="72"/>
      <c r="IBJ31" s="72"/>
      <c r="IBK31" s="72"/>
      <c r="IBL31" s="72"/>
      <c r="IBM31" s="72"/>
      <c r="IBN31" s="72"/>
      <c r="IBO31" s="72"/>
      <c r="IBP31" s="72"/>
      <c r="IBQ31" s="72"/>
      <c r="IBR31" s="72"/>
      <c r="IBS31" s="72"/>
      <c r="IBT31" s="72"/>
      <c r="IBU31" s="72"/>
      <c r="IBV31" s="72"/>
      <c r="IBW31" s="72"/>
      <c r="IBX31" s="72"/>
      <c r="IBY31" s="72"/>
      <c r="IBZ31" s="72"/>
      <c r="ICA31" s="72"/>
      <c r="ICB31" s="72"/>
      <c r="ICC31" s="72"/>
      <c r="ICD31" s="72"/>
      <c r="ICE31" s="72"/>
      <c r="ICF31" s="72"/>
      <c r="ICG31" s="72"/>
      <c r="ICH31" s="72"/>
      <c r="ICI31" s="72"/>
      <c r="ICJ31" s="72"/>
      <c r="ICK31" s="72"/>
      <c r="ICL31" s="72"/>
      <c r="ICM31" s="72"/>
      <c r="ICN31" s="72"/>
      <c r="ICO31" s="72"/>
      <c r="ICP31" s="72"/>
      <c r="ICQ31" s="72"/>
      <c r="ICR31" s="72"/>
      <c r="ICS31" s="72"/>
      <c r="ICT31" s="72"/>
      <c r="ICU31" s="72"/>
      <c r="ICV31" s="72"/>
      <c r="ICW31" s="72"/>
      <c r="ICX31" s="72"/>
      <c r="ICY31" s="72"/>
      <c r="ICZ31" s="72"/>
      <c r="IDA31" s="72"/>
      <c r="IDB31" s="72"/>
      <c r="IDC31" s="72"/>
      <c r="IDD31" s="72"/>
      <c r="IDE31" s="72"/>
      <c r="IDF31" s="72"/>
      <c r="IDG31" s="72"/>
      <c r="IDH31" s="72"/>
      <c r="IDI31" s="72"/>
      <c r="IDJ31" s="72"/>
      <c r="IDK31" s="72"/>
      <c r="IDL31" s="72"/>
      <c r="IDM31" s="72"/>
      <c r="IDN31" s="72"/>
      <c r="IDO31" s="72"/>
      <c r="IDP31" s="72"/>
      <c r="IDQ31" s="72"/>
      <c r="IDR31" s="72"/>
      <c r="IDS31" s="72"/>
      <c r="IDT31" s="72"/>
      <c r="IDU31" s="72"/>
      <c r="IDV31" s="72"/>
      <c r="IDW31" s="72"/>
      <c r="IDX31" s="72"/>
      <c r="IDY31" s="72"/>
      <c r="IDZ31" s="72"/>
      <c r="IEA31" s="72"/>
      <c r="IEB31" s="72"/>
      <c r="IEC31" s="72"/>
      <c r="IED31" s="72"/>
      <c r="IEE31" s="72"/>
      <c r="IEF31" s="72"/>
      <c r="IEG31" s="72"/>
      <c r="IEH31" s="72"/>
      <c r="IEI31" s="72"/>
      <c r="IEJ31" s="72"/>
      <c r="IEK31" s="72"/>
      <c r="IEL31" s="72"/>
      <c r="IEM31" s="72"/>
      <c r="IEN31" s="72"/>
      <c r="IEO31" s="72"/>
      <c r="IEP31" s="72"/>
      <c r="IEQ31" s="72"/>
      <c r="IER31" s="72"/>
      <c r="IES31" s="72"/>
      <c r="IET31" s="72"/>
      <c r="IEU31" s="72"/>
      <c r="IEV31" s="72"/>
      <c r="IEW31" s="72"/>
      <c r="IEX31" s="72"/>
      <c r="IEY31" s="72"/>
      <c r="IEZ31" s="72"/>
      <c r="IFA31" s="72"/>
      <c r="IFB31" s="72"/>
      <c r="IFC31" s="72"/>
      <c r="IFD31" s="72"/>
      <c r="IFE31" s="72"/>
      <c r="IFF31" s="72"/>
      <c r="IFG31" s="72"/>
      <c r="IFH31" s="72"/>
      <c r="IFI31" s="72"/>
      <c r="IFJ31" s="72"/>
      <c r="IFK31" s="72"/>
      <c r="IFL31" s="72"/>
      <c r="IFM31" s="72"/>
      <c r="IFN31" s="72"/>
      <c r="IFO31" s="72"/>
      <c r="IFP31" s="72"/>
      <c r="IFQ31" s="72"/>
      <c r="IFR31" s="72"/>
      <c r="IFS31" s="72"/>
      <c r="IFT31" s="72"/>
      <c r="IFU31" s="72"/>
      <c r="IFV31" s="72"/>
      <c r="IFW31" s="72"/>
      <c r="IFX31" s="72"/>
      <c r="IFY31" s="72"/>
      <c r="IFZ31" s="72"/>
      <c r="IGA31" s="72"/>
      <c r="IGB31" s="72"/>
      <c r="IGC31" s="72"/>
      <c r="IGD31" s="72"/>
      <c r="IGE31" s="72"/>
      <c r="IGF31" s="72"/>
      <c r="IGG31" s="72"/>
      <c r="IGH31" s="72"/>
      <c r="IGI31" s="72"/>
      <c r="IGJ31" s="72"/>
      <c r="IGK31" s="72"/>
      <c r="IGL31" s="72"/>
      <c r="IGM31" s="72"/>
      <c r="IGN31" s="72"/>
      <c r="IGO31" s="72"/>
      <c r="IGP31" s="72"/>
      <c r="IGQ31" s="72"/>
      <c r="IGR31" s="72"/>
      <c r="IGS31" s="72"/>
      <c r="IGT31" s="72"/>
      <c r="IGU31" s="72"/>
      <c r="IGV31" s="72"/>
      <c r="IGW31" s="72"/>
      <c r="IGX31" s="72"/>
      <c r="IGY31" s="72"/>
      <c r="IGZ31" s="72"/>
      <c r="IHA31" s="72"/>
      <c r="IHB31" s="72"/>
      <c r="IHC31" s="72"/>
      <c r="IHD31" s="72"/>
      <c r="IHE31" s="72"/>
      <c r="IHF31" s="72"/>
      <c r="IHG31" s="72"/>
      <c r="IHH31" s="72"/>
      <c r="IHI31" s="72"/>
      <c r="IHJ31" s="72"/>
      <c r="IHK31" s="72"/>
      <c r="IHL31" s="72"/>
      <c r="IHM31" s="72"/>
      <c r="IHN31" s="72"/>
      <c r="IHO31" s="72"/>
      <c r="IHP31" s="72"/>
      <c r="IHQ31" s="72"/>
      <c r="IHR31" s="72"/>
      <c r="IHS31" s="72"/>
      <c r="IHT31" s="72"/>
      <c r="IHU31" s="72"/>
      <c r="IHV31" s="72"/>
      <c r="IHW31" s="72"/>
      <c r="IHX31" s="72"/>
      <c r="IHY31" s="72"/>
      <c r="IHZ31" s="72"/>
      <c r="IIA31" s="72"/>
      <c r="IIB31" s="72"/>
      <c r="IIC31" s="72"/>
      <c r="IID31" s="72"/>
      <c r="IIE31" s="72"/>
      <c r="IIF31" s="72"/>
      <c r="IIG31" s="72"/>
      <c r="IIH31" s="72"/>
      <c r="III31" s="72"/>
      <c r="IIJ31" s="72"/>
      <c r="IIK31" s="72"/>
      <c r="IIL31" s="72"/>
      <c r="IIM31" s="72"/>
      <c r="IIN31" s="72"/>
      <c r="IIO31" s="72"/>
      <c r="IIP31" s="72"/>
      <c r="IIQ31" s="72"/>
      <c r="IIR31" s="72"/>
      <c r="IIS31" s="72"/>
      <c r="IIT31" s="72"/>
      <c r="IIU31" s="72"/>
      <c r="IIV31" s="72"/>
      <c r="IIW31" s="72"/>
      <c r="IIX31" s="72"/>
      <c r="IIY31" s="72"/>
      <c r="IIZ31" s="72"/>
      <c r="IJA31" s="72"/>
      <c r="IJB31" s="72"/>
      <c r="IJC31" s="72"/>
      <c r="IJD31" s="72"/>
      <c r="IJE31" s="72"/>
      <c r="IJF31" s="72"/>
      <c r="IJG31" s="72"/>
      <c r="IJH31" s="72"/>
      <c r="IJI31" s="72"/>
      <c r="IJJ31" s="72"/>
      <c r="IJK31" s="72"/>
      <c r="IJL31" s="72"/>
      <c r="IJM31" s="72"/>
      <c r="IJN31" s="72"/>
      <c r="IJO31" s="72"/>
      <c r="IJP31" s="72"/>
      <c r="IJQ31" s="72"/>
      <c r="IJR31" s="72"/>
      <c r="IJS31" s="72"/>
      <c r="IJT31" s="72"/>
      <c r="IJU31" s="72"/>
      <c r="IJV31" s="72"/>
      <c r="IJW31" s="72"/>
      <c r="IJX31" s="72"/>
      <c r="IJY31" s="72"/>
      <c r="IJZ31" s="72"/>
      <c r="IKA31" s="72"/>
      <c r="IKB31" s="72"/>
      <c r="IKC31" s="72"/>
      <c r="IKD31" s="72"/>
      <c r="IKE31" s="72"/>
      <c r="IKF31" s="72"/>
      <c r="IKG31" s="72"/>
      <c r="IKH31" s="72"/>
      <c r="IKI31" s="72"/>
      <c r="IKJ31" s="72"/>
      <c r="IKK31" s="72"/>
      <c r="IKL31" s="72"/>
      <c r="IKM31" s="72"/>
      <c r="IKN31" s="72"/>
      <c r="IKO31" s="72"/>
      <c r="IKP31" s="72"/>
      <c r="IKQ31" s="72"/>
      <c r="IKR31" s="72"/>
      <c r="IKS31" s="72"/>
      <c r="IKT31" s="72"/>
      <c r="IKU31" s="72"/>
      <c r="IKV31" s="72"/>
      <c r="IKW31" s="72"/>
      <c r="IKX31" s="72"/>
      <c r="IKY31" s="72"/>
      <c r="IKZ31" s="72"/>
      <c r="ILA31" s="72"/>
      <c r="ILB31" s="72"/>
      <c r="ILC31" s="72"/>
      <c r="ILD31" s="72"/>
      <c r="ILE31" s="72"/>
      <c r="ILF31" s="72"/>
      <c r="ILG31" s="72"/>
      <c r="ILH31" s="72"/>
      <c r="ILI31" s="72"/>
      <c r="ILJ31" s="72"/>
      <c r="ILK31" s="72"/>
      <c r="ILL31" s="72"/>
      <c r="ILM31" s="72"/>
      <c r="ILN31" s="72"/>
      <c r="ILO31" s="72"/>
      <c r="ILP31" s="72"/>
      <c r="ILQ31" s="72"/>
      <c r="ILR31" s="72"/>
      <c r="ILS31" s="72"/>
      <c r="ILT31" s="72"/>
      <c r="ILU31" s="72"/>
      <c r="ILV31" s="72"/>
      <c r="ILW31" s="72"/>
      <c r="ILX31" s="72"/>
      <c r="ILY31" s="72"/>
      <c r="ILZ31" s="72"/>
      <c r="IMA31" s="72"/>
      <c r="IMB31" s="72"/>
      <c r="IMC31" s="72"/>
      <c r="IMD31" s="72"/>
      <c r="IME31" s="72"/>
      <c r="IMF31" s="72"/>
      <c r="IMG31" s="72"/>
      <c r="IMH31" s="72"/>
      <c r="IMI31" s="72"/>
      <c r="IMJ31" s="72"/>
      <c r="IMK31" s="72"/>
      <c r="IML31" s="72"/>
      <c r="IMM31" s="72"/>
      <c r="IMN31" s="72"/>
      <c r="IMO31" s="72"/>
      <c r="IMP31" s="72"/>
      <c r="IMQ31" s="72"/>
      <c r="IMR31" s="72"/>
      <c r="IMS31" s="72"/>
      <c r="IMT31" s="72"/>
      <c r="IMU31" s="72"/>
      <c r="IMV31" s="72"/>
      <c r="IMW31" s="72"/>
      <c r="IMX31" s="72"/>
      <c r="IMY31" s="72"/>
      <c r="IMZ31" s="72"/>
      <c r="INA31" s="72"/>
      <c r="INB31" s="72"/>
      <c r="INC31" s="72"/>
      <c r="IND31" s="72"/>
      <c r="INE31" s="72"/>
      <c r="INF31" s="72"/>
      <c r="ING31" s="72"/>
      <c r="INH31" s="72"/>
      <c r="INI31" s="72"/>
      <c r="INJ31" s="72"/>
      <c r="INK31" s="72"/>
      <c r="INL31" s="72"/>
      <c r="INM31" s="72"/>
      <c r="INN31" s="72"/>
      <c r="INO31" s="72"/>
      <c r="INP31" s="72"/>
      <c r="INQ31" s="72"/>
      <c r="INR31" s="72"/>
      <c r="INS31" s="72"/>
      <c r="INT31" s="72"/>
      <c r="INU31" s="72"/>
      <c r="INV31" s="72"/>
      <c r="INW31" s="72"/>
      <c r="INX31" s="72"/>
      <c r="INY31" s="72"/>
      <c r="INZ31" s="72"/>
      <c r="IOA31" s="72"/>
      <c r="IOB31" s="72"/>
      <c r="IOC31" s="72"/>
      <c r="IOD31" s="72"/>
      <c r="IOE31" s="72"/>
      <c r="IOF31" s="72"/>
      <c r="IOG31" s="72"/>
      <c r="IOH31" s="72"/>
      <c r="IOI31" s="72"/>
      <c r="IOJ31" s="72"/>
      <c r="IOK31" s="72"/>
      <c r="IOL31" s="72"/>
      <c r="IOM31" s="72"/>
      <c r="ION31" s="72"/>
      <c r="IOO31" s="72"/>
      <c r="IOP31" s="72"/>
      <c r="IOQ31" s="72"/>
      <c r="IOR31" s="72"/>
      <c r="IOS31" s="72"/>
      <c r="IOT31" s="72"/>
      <c r="IOU31" s="72"/>
      <c r="IOV31" s="72"/>
      <c r="IOW31" s="72"/>
      <c r="IOX31" s="72"/>
      <c r="IOY31" s="72"/>
      <c r="IOZ31" s="72"/>
      <c r="IPA31" s="72"/>
      <c r="IPB31" s="72"/>
      <c r="IPC31" s="72"/>
      <c r="IPD31" s="72"/>
      <c r="IPE31" s="72"/>
      <c r="IPF31" s="72"/>
      <c r="IPG31" s="72"/>
      <c r="IPH31" s="72"/>
      <c r="IPI31" s="72"/>
      <c r="IPJ31" s="72"/>
      <c r="IPK31" s="72"/>
      <c r="IPL31" s="72"/>
      <c r="IPM31" s="72"/>
      <c r="IPN31" s="72"/>
      <c r="IPO31" s="72"/>
      <c r="IPP31" s="72"/>
      <c r="IPQ31" s="72"/>
      <c r="IPR31" s="72"/>
      <c r="IPS31" s="72"/>
      <c r="IPT31" s="72"/>
      <c r="IPU31" s="72"/>
      <c r="IPV31" s="72"/>
      <c r="IPW31" s="72"/>
      <c r="IPX31" s="72"/>
      <c r="IPY31" s="72"/>
      <c r="IPZ31" s="72"/>
      <c r="IQA31" s="72"/>
      <c r="IQB31" s="72"/>
      <c r="IQC31" s="72"/>
      <c r="IQD31" s="72"/>
      <c r="IQE31" s="72"/>
      <c r="IQF31" s="72"/>
      <c r="IQG31" s="72"/>
      <c r="IQH31" s="72"/>
      <c r="IQI31" s="72"/>
      <c r="IQJ31" s="72"/>
      <c r="IQK31" s="72"/>
      <c r="IQL31" s="72"/>
      <c r="IQM31" s="72"/>
      <c r="IQN31" s="72"/>
      <c r="IQO31" s="72"/>
      <c r="IQP31" s="72"/>
      <c r="IQQ31" s="72"/>
      <c r="IQR31" s="72"/>
      <c r="IQS31" s="72"/>
      <c r="IQT31" s="72"/>
      <c r="IQU31" s="72"/>
      <c r="IQV31" s="72"/>
      <c r="IQW31" s="72"/>
      <c r="IQX31" s="72"/>
      <c r="IQY31" s="72"/>
      <c r="IQZ31" s="72"/>
      <c r="IRA31" s="72"/>
      <c r="IRB31" s="72"/>
      <c r="IRC31" s="72"/>
      <c r="IRD31" s="72"/>
      <c r="IRE31" s="72"/>
      <c r="IRF31" s="72"/>
      <c r="IRG31" s="72"/>
      <c r="IRH31" s="72"/>
      <c r="IRI31" s="72"/>
      <c r="IRJ31" s="72"/>
      <c r="IRK31" s="72"/>
      <c r="IRL31" s="72"/>
      <c r="IRM31" s="72"/>
      <c r="IRN31" s="72"/>
      <c r="IRO31" s="72"/>
      <c r="IRP31" s="72"/>
      <c r="IRQ31" s="72"/>
      <c r="IRR31" s="72"/>
      <c r="IRS31" s="72"/>
      <c r="IRT31" s="72"/>
      <c r="IRU31" s="72"/>
      <c r="IRV31" s="72"/>
      <c r="IRW31" s="72"/>
      <c r="IRX31" s="72"/>
      <c r="IRY31" s="72"/>
      <c r="IRZ31" s="72"/>
      <c r="ISA31" s="72"/>
      <c r="ISB31" s="72"/>
      <c r="ISC31" s="72"/>
      <c r="ISD31" s="72"/>
      <c r="ISE31" s="72"/>
      <c r="ISF31" s="72"/>
      <c r="ISG31" s="72"/>
      <c r="ISH31" s="72"/>
      <c r="ISI31" s="72"/>
      <c r="ISJ31" s="72"/>
      <c r="ISK31" s="72"/>
      <c r="ISL31" s="72"/>
      <c r="ISM31" s="72"/>
      <c r="ISN31" s="72"/>
      <c r="ISO31" s="72"/>
      <c r="ISP31" s="72"/>
      <c r="ISQ31" s="72"/>
      <c r="ISR31" s="72"/>
      <c r="ISS31" s="72"/>
      <c r="IST31" s="72"/>
      <c r="ISU31" s="72"/>
      <c r="ISV31" s="72"/>
      <c r="ISW31" s="72"/>
      <c r="ISX31" s="72"/>
      <c r="ISY31" s="72"/>
      <c r="ISZ31" s="72"/>
      <c r="ITA31" s="72"/>
      <c r="ITB31" s="72"/>
      <c r="ITC31" s="72"/>
      <c r="ITD31" s="72"/>
      <c r="ITE31" s="72"/>
      <c r="ITF31" s="72"/>
      <c r="ITG31" s="72"/>
      <c r="ITH31" s="72"/>
      <c r="ITI31" s="72"/>
      <c r="ITJ31" s="72"/>
      <c r="ITK31" s="72"/>
      <c r="ITL31" s="72"/>
      <c r="ITM31" s="72"/>
      <c r="ITN31" s="72"/>
      <c r="ITO31" s="72"/>
      <c r="ITP31" s="72"/>
      <c r="ITQ31" s="72"/>
      <c r="ITR31" s="72"/>
      <c r="ITS31" s="72"/>
      <c r="ITT31" s="72"/>
      <c r="ITU31" s="72"/>
      <c r="ITV31" s="72"/>
      <c r="ITW31" s="72"/>
      <c r="ITX31" s="72"/>
      <c r="ITY31" s="72"/>
      <c r="ITZ31" s="72"/>
      <c r="IUA31" s="72"/>
      <c r="IUB31" s="72"/>
      <c r="IUC31" s="72"/>
      <c r="IUD31" s="72"/>
      <c r="IUE31" s="72"/>
      <c r="IUF31" s="72"/>
      <c r="IUG31" s="72"/>
      <c r="IUH31" s="72"/>
      <c r="IUI31" s="72"/>
      <c r="IUJ31" s="72"/>
      <c r="IUK31" s="72"/>
      <c r="IUL31" s="72"/>
      <c r="IUM31" s="72"/>
      <c r="IUN31" s="72"/>
      <c r="IUO31" s="72"/>
      <c r="IUP31" s="72"/>
      <c r="IUQ31" s="72"/>
      <c r="IUR31" s="72"/>
      <c r="IUS31" s="72"/>
      <c r="IUT31" s="72"/>
      <c r="IUU31" s="72"/>
      <c r="IUV31" s="72"/>
      <c r="IUW31" s="72"/>
      <c r="IUX31" s="72"/>
      <c r="IUY31" s="72"/>
      <c r="IUZ31" s="72"/>
      <c r="IVA31" s="72"/>
      <c r="IVB31" s="72"/>
      <c r="IVC31" s="72"/>
      <c r="IVD31" s="72"/>
      <c r="IVE31" s="72"/>
      <c r="IVF31" s="72"/>
      <c r="IVG31" s="72"/>
      <c r="IVH31" s="72"/>
      <c r="IVI31" s="72"/>
      <c r="IVJ31" s="72"/>
      <c r="IVK31" s="72"/>
      <c r="IVL31" s="72"/>
      <c r="IVM31" s="72"/>
      <c r="IVN31" s="72"/>
      <c r="IVO31" s="72"/>
      <c r="IVP31" s="72"/>
      <c r="IVQ31" s="72"/>
      <c r="IVR31" s="72"/>
      <c r="IVS31" s="72"/>
      <c r="IVT31" s="72"/>
      <c r="IVU31" s="72"/>
      <c r="IVV31" s="72"/>
      <c r="IVW31" s="72"/>
      <c r="IVX31" s="72"/>
      <c r="IVY31" s="72"/>
      <c r="IVZ31" s="72"/>
      <c r="IWA31" s="72"/>
      <c r="IWB31" s="72"/>
      <c r="IWC31" s="72"/>
      <c r="IWD31" s="72"/>
      <c r="IWE31" s="72"/>
      <c r="IWF31" s="72"/>
      <c r="IWG31" s="72"/>
      <c r="IWH31" s="72"/>
      <c r="IWI31" s="72"/>
      <c r="IWJ31" s="72"/>
      <c r="IWK31" s="72"/>
      <c r="IWL31" s="72"/>
      <c r="IWM31" s="72"/>
      <c r="IWN31" s="72"/>
      <c r="IWO31" s="72"/>
      <c r="IWP31" s="72"/>
      <c r="IWQ31" s="72"/>
      <c r="IWR31" s="72"/>
      <c r="IWS31" s="72"/>
      <c r="IWT31" s="72"/>
      <c r="IWU31" s="72"/>
      <c r="IWV31" s="72"/>
      <c r="IWW31" s="72"/>
      <c r="IWX31" s="72"/>
      <c r="IWY31" s="72"/>
      <c r="IWZ31" s="72"/>
      <c r="IXA31" s="72"/>
      <c r="IXB31" s="72"/>
      <c r="IXC31" s="72"/>
      <c r="IXD31" s="72"/>
      <c r="IXE31" s="72"/>
      <c r="IXF31" s="72"/>
      <c r="IXG31" s="72"/>
      <c r="IXH31" s="72"/>
      <c r="IXI31" s="72"/>
      <c r="IXJ31" s="72"/>
      <c r="IXK31" s="72"/>
      <c r="IXL31" s="72"/>
      <c r="IXM31" s="72"/>
      <c r="IXN31" s="72"/>
      <c r="IXO31" s="72"/>
      <c r="IXP31" s="72"/>
      <c r="IXQ31" s="72"/>
      <c r="IXR31" s="72"/>
      <c r="IXS31" s="72"/>
      <c r="IXT31" s="72"/>
      <c r="IXU31" s="72"/>
      <c r="IXV31" s="72"/>
      <c r="IXW31" s="72"/>
      <c r="IXX31" s="72"/>
      <c r="IXY31" s="72"/>
      <c r="IXZ31" s="72"/>
      <c r="IYA31" s="72"/>
      <c r="IYB31" s="72"/>
      <c r="IYC31" s="72"/>
      <c r="IYD31" s="72"/>
      <c r="IYE31" s="72"/>
      <c r="IYF31" s="72"/>
      <c r="IYG31" s="72"/>
      <c r="IYH31" s="72"/>
      <c r="IYI31" s="72"/>
      <c r="IYJ31" s="72"/>
      <c r="IYK31" s="72"/>
      <c r="IYL31" s="72"/>
      <c r="IYM31" s="72"/>
      <c r="IYN31" s="72"/>
      <c r="IYO31" s="72"/>
      <c r="IYP31" s="72"/>
      <c r="IYQ31" s="72"/>
      <c r="IYR31" s="72"/>
      <c r="IYS31" s="72"/>
      <c r="IYT31" s="72"/>
      <c r="IYU31" s="72"/>
      <c r="IYV31" s="72"/>
      <c r="IYW31" s="72"/>
      <c r="IYX31" s="72"/>
      <c r="IYY31" s="72"/>
      <c r="IYZ31" s="72"/>
      <c r="IZA31" s="72"/>
      <c r="IZB31" s="72"/>
      <c r="IZC31" s="72"/>
      <c r="IZD31" s="72"/>
      <c r="IZE31" s="72"/>
      <c r="IZF31" s="72"/>
      <c r="IZG31" s="72"/>
      <c r="IZH31" s="72"/>
      <c r="IZI31" s="72"/>
      <c r="IZJ31" s="72"/>
      <c r="IZK31" s="72"/>
      <c r="IZL31" s="72"/>
      <c r="IZM31" s="72"/>
      <c r="IZN31" s="72"/>
      <c r="IZO31" s="72"/>
      <c r="IZP31" s="72"/>
      <c r="IZQ31" s="72"/>
      <c r="IZR31" s="72"/>
      <c r="IZS31" s="72"/>
      <c r="IZT31" s="72"/>
      <c r="IZU31" s="72"/>
      <c r="IZV31" s="72"/>
      <c r="IZW31" s="72"/>
      <c r="IZX31" s="72"/>
      <c r="IZY31" s="72"/>
      <c r="IZZ31" s="72"/>
      <c r="JAA31" s="72"/>
      <c r="JAB31" s="72"/>
      <c r="JAC31" s="72"/>
      <c r="JAD31" s="72"/>
      <c r="JAE31" s="72"/>
      <c r="JAF31" s="72"/>
      <c r="JAG31" s="72"/>
      <c r="JAH31" s="72"/>
      <c r="JAI31" s="72"/>
      <c r="JAJ31" s="72"/>
      <c r="JAK31" s="72"/>
      <c r="JAL31" s="72"/>
      <c r="JAM31" s="72"/>
      <c r="JAN31" s="72"/>
      <c r="JAO31" s="72"/>
      <c r="JAP31" s="72"/>
      <c r="JAQ31" s="72"/>
      <c r="JAR31" s="72"/>
      <c r="JAS31" s="72"/>
      <c r="JAT31" s="72"/>
      <c r="JAU31" s="72"/>
      <c r="JAV31" s="72"/>
      <c r="JAW31" s="72"/>
      <c r="JAX31" s="72"/>
      <c r="JAY31" s="72"/>
      <c r="JAZ31" s="72"/>
      <c r="JBA31" s="72"/>
      <c r="JBB31" s="72"/>
      <c r="JBC31" s="72"/>
      <c r="JBD31" s="72"/>
      <c r="JBE31" s="72"/>
      <c r="JBF31" s="72"/>
      <c r="JBG31" s="72"/>
      <c r="JBH31" s="72"/>
      <c r="JBI31" s="72"/>
      <c r="JBJ31" s="72"/>
      <c r="JBK31" s="72"/>
      <c r="JBL31" s="72"/>
      <c r="JBM31" s="72"/>
      <c r="JBN31" s="72"/>
      <c r="JBO31" s="72"/>
      <c r="JBP31" s="72"/>
      <c r="JBQ31" s="72"/>
      <c r="JBR31" s="72"/>
      <c r="JBS31" s="72"/>
      <c r="JBT31" s="72"/>
      <c r="JBU31" s="72"/>
      <c r="JBV31" s="72"/>
      <c r="JBW31" s="72"/>
      <c r="JBX31" s="72"/>
      <c r="JBY31" s="72"/>
      <c r="JBZ31" s="72"/>
      <c r="JCA31" s="72"/>
      <c r="JCB31" s="72"/>
      <c r="JCC31" s="72"/>
      <c r="JCD31" s="72"/>
      <c r="JCE31" s="72"/>
      <c r="JCF31" s="72"/>
      <c r="JCG31" s="72"/>
      <c r="JCH31" s="72"/>
      <c r="JCI31" s="72"/>
      <c r="JCJ31" s="72"/>
      <c r="JCK31" s="72"/>
      <c r="JCL31" s="72"/>
      <c r="JCM31" s="72"/>
      <c r="JCN31" s="72"/>
      <c r="JCO31" s="72"/>
      <c r="JCP31" s="72"/>
      <c r="JCQ31" s="72"/>
      <c r="JCR31" s="72"/>
      <c r="JCS31" s="72"/>
      <c r="JCT31" s="72"/>
      <c r="JCU31" s="72"/>
      <c r="JCV31" s="72"/>
      <c r="JCW31" s="72"/>
      <c r="JCX31" s="72"/>
      <c r="JCY31" s="72"/>
      <c r="JCZ31" s="72"/>
      <c r="JDA31" s="72"/>
      <c r="JDB31" s="72"/>
      <c r="JDC31" s="72"/>
      <c r="JDD31" s="72"/>
      <c r="JDE31" s="72"/>
      <c r="JDF31" s="72"/>
      <c r="JDG31" s="72"/>
      <c r="JDH31" s="72"/>
      <c r="JDI31" s="72"/>
      <c r="JDJ31" s="72"/>
      <c r="JDK31" s="72"/>
      <c r="JDL31" s="72"/>
      <c r="JDM31" s="72"/>
      <c r="JDN31" s="72"/>
      <c r="JDO31" s="72"/>
      <c r="JDP31" s="72"/>
      <c r="JDQ31" s="72"/>
      <c r="JDR31" s="72"/>
      <c r="JDS31" s="72"/>
      <c r="JDT31" s="72"/>
      <c r="JDU31" s="72"/>
      <c r="JDV31" s="72"/>
      <c r="JDW31" s="72"/>
      <c r="JDX31" s="72"/>
      <c r="JDY31" s="72"/>
      <c r="JDZ31" s="72"/>
      <c r="JEA31" s="72"/>
      <c r="JEB31" s="72"/>
      <c r="JEC31" s="72"/>
      <c r="JED31" s="72"/>
      <c r="JEE31" s="72"/>
      <c r="JEF31" s="72"/>
      <c r="JEG31" s="72"/>
      <c r="JEH31" s="72"/>
      <c r="JEI31" s="72"/>
      <c r="JEJ31" s="72"/>
      <c r="JEK31" s="72"/>
      <c r="JEL31" s="72"/>
      <c r="JEM31" s="72"/>
      <c r="JEN31" s="72"/>
      <c r="JEO31" s="72"/>
      <c r="JEP31" s="72"/>
      <c r="JEQ31" s="72"/>
      <c r="JER31" s="72"/>
      <c r="JES31" s="72"/>
      <c r="JET31" s="72"/>
      <c r="JEU31" s="72"/>
      <c r="JEV31" s="72"/>
      <c r="JEW31" s="72"/>
      <c r="JEX31" s="72"/>
      <c r="JEY31" s="72"/>
      <c r="JEZ31" s="72"/>
      <c r="JFA31" s="72"/>
      <c r="JFB31" s="72"/>
      <c r="JFC31" s="72"/>
      <c r="JFD31" s="72"/>
      <c r="JFE31" s="72"/>
      <c r="JFF31" s="72"/>
      <c r="JFG31" s="72"/>
      <c r="JFH31" s="72"/>
      <c r="JFI31" s="72"/>
      <c r="JFJ31" s="72"/>
      <c r="JFK31" s="72"/>
      <c r="JFL31" s="72"/>
      <c r="JFM31" s="72"/>
      <c r="JFN31" s="72"/>
      <c r="JFO31" s="72"/>
      <c r="JFP31" s="72"/>
      <c r="JFQ31" s="72"/>
      <c r="JFR31" s="72"/>
      <c r="JFS31" s="72"/>
      <c r="JFT31" s="72"/>
      <c r="JFU31" s="72"/>
      <c r="JFV31" s="72"/>
      <c r="JFW31" s="72"/>
      <c r="JFX31" s="72"/>
      <c r="JFY31" s="72"/>
      <c r="JFZ31" s="72"/>
      <c r="JGA31" s="72"/>
      <c r="JGB31" s="72"/>
      <c r="JGC31" s="72"/>
      <c r="JGD31" s="72"/>
      <c r="JGE31" s="72"/>
      <c r="JGF31" s="72"/>
      <c r="JGG31" s="72"/>
      <c r="JGH31" s="72"/>
      <c r="JGI31" s="72"/>
      <c r="JGJ31" s="72"/>
      <c r="JGK31" s="72"/>
      <c r="JGL31" s="72"/>
      <c r="JGM31" s="72"/>
      <c r="JGN31" s="72"/>
      <c r="JGO31" s="72"/>
      <c r="JGP31" s="72"/>
      <c r="JGQ31" s="72"/>
      <c r="JGR31" s="72"/>
      <c r="JGS31" s="72"/>
      <c r="JGT31" s="72"/>
      <c r="JGU31" s="72"/>
      <c r="JGV31" s="72"/>
      <c r="JGW31" s="72"/>
      <c r="JGX31" s="72"/>
      <c r="JGY31" s="72"/>
      <c r="JGZ31" s="72"/>
      <c r="JHA31" s="72"/>
      <c r="JHB31" s="72"/>
      <c r="JHC31" s="72"/>
      <c r="JHD31" s="72"/>
      <c r="JHE31" s="72"/>
      <c r="JHF31" s="72"/>
      <c r="JHG31" s="72"/>
      <c r="JHH31" s="72"/>
      <c r="JHI31" s="72"/>
      <c r="JHJ31" s="72"/>
      <c r="JHK31" s="72"/>
      <c r="JHL31" s="72"/>
      <c r="JHM31" s="72"/>
      <c r="JHN31" s="72"/>
      <c r="JHO31" s="72"/>
      <c r="JHP31" s="72"/>
      <c r="JHQ31" s="72"/>
      <c r="JHR31" s="72"/>
      <c r="JHS31" s="72"/>
      <c r="JHT31" s="72"/>
      <c r="JHU31" s="72"/>
      <c r="JHV31" s="72"/>
      <c r="JHW31" s="72"/>
      <c r="JHX31" s="72"/>
      <c r="JHY31" s="72"/>
      <c r="JHZ31" s="72"/>
      <c r="JIA31" s="72"/>
      <c r="JIB31" s="72"/>
      <c r="JIC31" s="72"/>
      <c r="JID31" s="72"/>
      <c r="JIE31" s="72"/>
      <c r="JIF31" s="72"/>
      <c r="JIG31" s="72"/>
      <c r="JIH31" s="72"/>
      <c r="JII31" s="72"/>
      <c r="JIJ31" s="72"/>
      <c r="JIK31" s="72"/>
      <c r="JIL31" s="72"/>
      <c r="JIM31" s="72"/>
      <c r="JIN31" s="72"/>
      <c r="JIO31" s="72"/>
      <c r="JIP31" s="72"/>
      <c r="JIQ31" s="72"/>
      <c r="JIR31" s="72"/>
      <c r="JIS31" s="72"/>
      <c r="JIT31" s="72"/>
      <c r="JIU31" s="72"/>
      <c r="JIV31" s="72"/>
      <c r="JIW31" s="72"/>
      <c r="JIX31" s="72"/>
      <c r="JIY31" s="72"/>
      <c r="JIZ31" s="72"/>
      <c r="JJA31" s="72"/>
      <c r="JJB31" s="72"/>
      <c r="JJC31" s="72"/>
      <c r="JJD31" s="72"/>
      <c r="JJE31" s="72"/>
      <c r="JJF31" s="72"/>
      <c r="JJG31" s="72"/>
      <c r="JJH31" s="72"/>
      <c r="JJI31" s="72"/>
      <c r="JJJ31" s="72"/>
      <c r="JJK31" s="72"/>
      <c r="JJL31" s="72"/>
      <c r="JJM31" s="72"/>
      <c r="JJN31" s="72"/>
      <c r="JJO31" s="72"/>
      <c r="JJP31" s="72"/>
      <c r="JJQ31" s="72"/>
      <c r="JJR31" s="72"/>
      <c r="JJS31" s="72"/>
      <c r="JJT31" s="72"/>
      <c r="JJU31" s="72"/>
      <c r="JJV31" s="72"/>
      <c r="JJW31" s="72"/>
      <c r="JJX31" s="72"/>
      <c r="JJY31" s="72"/>
      <c r="JJZ31" s="72"/>
      <c r="JKA31" s="72"/>
      <c r="JKB31" s="72"/>
      <c r="JKC31" s="72"/>
      <c r="JKD31" s="72"/>
      <c r="JKE31" s="72"/>
      <c r="JKF31" s="72"/>
      <c r="JKG31" s="72"/>
      <c r="JKH31" s="72"/>
      <c r="JKI31" s="72"/>
      <c r="JKJ31" s="72"/>
      <c r="JKK31" s="72"/>
      <c r="JKL31" s="72"/>
      <c r="JKM31" s="72"/>
      <c r="JKN31" s="72"/>
      <c r="JKO31" s="72"/>
      <c r="JKP31" s="72"/>
      <c r="JKQ31" s="72"/>
      <c r="JKR31" s="72"/>
      <c r="JKS31" s="72"/>
      <c r="JKT31" s="72"/>
      <c r="JKU31" s="72"/>
      <c r="JKV31" s="72"/>
      <c r="JKW31" s="72"/>
      <c r="JKX31" s="72"/>
      <c r="JKY31" s="72"/>
      <c r="JKZ31" s="72"/>
      <c r="JLA31" s="72"/>
      <c r="JLB31" s="72"/>
      <c r="JLC31" s="72"/>
      <c r="JLD31" s="72"/>
      <c r="JLE31" s="72"/>
      <c r="JLF31" s="72"/>
      <c r="JLG31" s="72"/>
      <c r="JLH31" s="72"/>
      <c r="JLI31" s="72"/>
      <c r="JLJ31" s="72"/>
      <c r="JLK31" s="72"/>
      <c r="JLL31" s="72"/>
      <c r="JLM31" s="72"/>
      <c r="JLN31" s="72"/>
      <c r="JLO31" s="72"/>
      <c r="JLP31" s="72"/>
      <c r="JLQ31" s="72"/>
      <c r="JLR31" s="72"/>
      <c r="JLS31" s="72"/>
      <c r="JLT31" s="72"/>
      <c r="JLU31" s="72"/>
      <c r="JLV31" s="72"/>
      <c r="JLW31" s="72"/>
      <c r="JLX31" s="72"/>
      <c r="JLY31" s="72"/>
      <c r="JLZ31" s="72"/>
      <c r="JMA31" s="72"/>
      <c r="JMB31" s="72"/>
      <c r="JMC31" s="72"/>
      <c r="JMD31" s="72"/>
      <c r="JME31" s="72"/>
      <c r="JMF31" s="72"/>
      <c r="JMG31" s="72"/>
      <c r="JMH31" s="72"/>
      <c r="JMI31" s="72"/>
      <c r="JMJ31" s="72"/>
      <c r="JMK31" s="72"/>
      <c r="JML31" s="72"/>
      <c r="JMM31" s="72"/>
      <c r="JMN31" s="72"/>
      <c r="JMO31" s="72"/>
      <c r="JMP31" s="72"/>
      <c r="JMQ31" s="72"/>
      <c r="JMR31" s="72"/>
      <c r="JMS31" s="72"/>
      <c r="JMT31" s="72"/>
      <c r="JMU31" s="72"/>
      <c r="JMV31" s="72"/>
      <c r="JMW31" s="72"/>
      <c r="JMX31" s="72"/>
      <c r="JMY31" s="72"/>
      <c r="JMZ31" s="72"/>
      <c r="JNA31" s="72"/>
      <c r="JNB31" s="72"/>
      <c r="JNC31" s="72"/>
      <c r="JND31" s="72"/>
      <c r="JNE31" s="72"/>
      <c r="JNF31" s="72"/>
      <c r="JNG31" s="72"/>
      <c r="JNH31" s="72"/>
      <c r="JNI31" s="72"/>
      <c r="JNJ31" s="72"/>
      <c r="JNK31" s="72"/>
      <c r="JNL31" s="72"/>
      <c r="JNM31" s="72"/>
      <c r="JNN31" s="72"/>
      <c r="JNO31" s="72"/>
      <c r="JNP31" s="72"/>
      <c r="JNQ31" s="72"/>
      <c r="JNR31" s="72"/>
      <c r="JNS31" s="72"/>
      <c r="JNT31" s="72"/>
      <c r="JNU31" s="72"/>
      <c r="JNV31" s="72"/>
      <c r="JNW31" s="72"/>
      <c r="JNX31" s="72"/>
      <c r="JNY31" s="72"/>
      <c r="JNZ31" s="72"/>
      <c r="JOA31" s="72"/>
      <c r="JOB31" s="72"/>
      <c r="JOC31" s="72"/>
      <c r="JOD31" s="72"/>
      <c r="JOE31" s="72"/>
      <c r="JOF31" s="72"/>
      <c r="JOG31" s="72"/>
      <c r="JOH31" s="72"/>
      <c r="JOI31" s="72"/>
      <c r="JOJ31" s="72"/>
      <c r="JOK31" s="72"/>
      <c r="JOL31" s="72"/>
      <c r="JOM31" s="72"/>
      <c r="JON31" s="72"/>
      <c r="JOO31" s="72"/>
      <c r="JOP31" s="72"/>
      <c r="JOQ31" s="72"/>
      <c r="JOR31" s="72"/>
      <c r="JOS31" s="72"/>
      <c r="JOT31" s="72"/>
      <c r="JOU31" s="72"/>
      <c r="JOV31" s="72"/>
      <c r="JOW31" s="72"/>
      <c r="JOX31" s="72"/>
      <c r="JOY31" s="72"/>
      <c r="JOZ31" s="72"/>
      <c r="JPA31" s="72"/>
      <c r="JPB31" s="72"/>
      <c r="JPC31" s="72"/>
      <c r="JPD31" s="72"/>
      <c r="JPE31" s="72"/>
      <c r="JPF31" s="72"/>
      <c r="JPG31" s="72"/>
      <c r="JPH31" s="72"/>
      <c r="JPI31" s="72"/>
      <c r="JPJ31" s="72"/>
      <c r="JPK31" s="72"/>
      <c r="JPL31" s="72"/>
      <c r="JPM31" s="72"/>
      <c r="JPN31" s="72"/>
      <c r="JPO31" s="72"/>
      <c r="JPP31" s="72"/>
      <c r="JPQ31" s="72"/>
      <c r="JPR31" s="72"/>
      <c r="JPS31" s="72"/>
      <c r="JPT31" s="72"/>
      <c r="JPU31" s="72"/>
      <c r="JPV31" s="72"/>
      <c r="JPW31" s="72"/>
      <c r="JPX31" s="72"/>
      <c r="JPY31" s="72"/>
      <c r="JPZ31" s="72"/>
      <c r="JQA31" s="72"/>
      <c r="JQB31" s="72"/>
      <c r="JQC31" s="72"/>
      <c r="JQD31" s="72"/>
      <c r="JQE31" s="72"/>
      <c r="JQF31" s="72"/>
      <c r="JQG31" s="72"/>
      <c r="JQH31" s="72"/>
      <c r="JQI31" s="72"/>
      <c r="JQJ31" s="72"/>
      <c r="JQK31" s="72"/>
      <c r="JQL31" s="72"/>
      <c r="JQM31" s="72"/>
      <c r="JQN31" s="72"/>
      <c r="JQO31" s="72"/>
      <c r="JQP31" s="72"/>
      <c r="JQQ31" s="72"/>
      <c r="JQR31" s="72"/>
      <c r="JQS31" s="72"/>
      <c r="JQT31" s="72"/>
      <c r="JQU31" s="72"/>
      <c r="JQV31" s="72"/>
      <c r="JQW31" s="72"/>
      <c r="JQX31" s="72"/>
      <c r="JQY31" s="72"/>
      <c r="JQZ31" s="72"/>
      <c r="JRA31" s="72"/>
      <c r="JRB31" s="72"/>
      <c r="JRC31" s="72"/>
      <c r="JRD31" s="72"/>
      <c r="JRE31" s="72"/>
      <c r="JRF31" s="72"/>
      <c r="JRG31" s="72"/>
      <c r="JRH31" s="72"/>
      <c r="JRI31" s="72"/>
      <c r="JRJ31" s="72"/>
      <c r="JRK31" s="72"/>
      <c r="JRL31" s="72"/>
      <c r="JRM31" s="72"/>
      <c r="JRN31" s="72"/>
      <c r="JRO31" s="72"/>
      <c r="JRP31" s="72"/>
      <c r="JRQ31" s="72"/>
      <c r="JRR31" s="72"/>
      <c r="JRS31" s="72"/>
      <c r="JRT31" s="72"/>
      <c r="JRU31" s="72"/>
      <c r="JRV31" s="72"/>
      <c r="JRW31" s="72"/>
      <c r="JRX31" s="72"/>
      <c r="JRY31" s="72"/>
      <c r="JRZ31" s="72"/>
      <c r="JSA31" s="72"/>
      <c r="JSB31" s="72"/>
      <c r="JSC31" s="72"/>
      <c r="JSD31" s="72"/>
      <c r="JSE31" s="72"/>
      <c r="JSF31" s="72"/>
      <c r="JSG31" s="72"/>
      <c r="JSH31" s="72"/>
      <c r="JSI31" s="72"/>
      <c r="JSJ31" s="72"/>
      <c r="JSK31" s="72"/>
      <c r="JSL31" s="72"/>
      <c r="JSM31" s="72"/>
      <c r="JSN31" s="72"/>
      <c r="JSO31" s="72"/>
      <c r="JSP31" s="72"/>
      <c r="JSQ31" s="72"/>
      <c r="JSR31" s="72"/>
      <c r="JSS31" s="72"/>
      <c r="JST31" s="72"/>
      <c r="JSU31" s="72"/>
      <c r="JSV31" s="72"/>
      <c r="JSW31" s="72"/>
      <c r="JSX31" s="72"/>
      <c r="JSY31" s="72"/>
      <c r="JSZ31" s="72"/>
      <c r="JTA31" s="72"/>
      <c r="JTB31" s="72"/>
      <c r="JTC31" s="72"/>
      <c r="JTD31" s="72"/>
      <c r="JTE31" s="72"/>
      <c r="JTF31" s="72"/>
      <c r="JTG31" s="72"/>
      <c r="JTH31" s="72"/>
      <c r="JTI31" s="72"/>
      <c r="JTJ31" s="72"/>
      <c r="JTK31" s="72"/>
      <c r="JTL31" s="72"/>
      <c r="JTM31" s="72"/>
      <c r="JTN31" s="72"/>
      <c r="JTO31" s="72"/>
      <c r="JTP31" s="72"/>
      <c r="JTQ31" s="72"/>
      <c r="JTR31" s="72"/>
      <c r="JTS31" s="72"/>
      <c r="JTT31" s="72"/>
      <c r="JTU31" s="72"/>
      <c r="JTV31" s="72"/>
      <c r="JTW31" s="72"/>
      <c r="JTX31" s="72"/>
      <c r="JTY31" s="72"/>
      <c r="JTZ31" s="72"/>
      <c r="JUA31" s="72"/>
      <c r="JUB31" s="72"/>
      <c r="JUC31" s="72"/>
      <c r="JUD31" s="72"/>
      <c r="JUE31" s="72"/>
      <c r="JUF31" s="72"/>
      <c r="JUG31" s="72"/>
      <c r="JUH31" s="72"/>
      <c r="JUI31" s="72"/>
      <c r="JUJ31" s="72"/>
      <c r="JUK31" s="72"/>
      <c r="JUL31" s="72"/>
      <c r="JUM31" s="72"/>
      <c r="JUN31" s="72"/>
      <c r="JUO31" s="72"/>
      <c r="JUP31" s="72"/>
      <c r="JUQ31" s="72"/>
      <c r="JUR31" s="72"/>
      <c r="JUS31" s="72"/>
      <c r="JUT31" s="72"/>
      <c r="JUU31" s="72"/>
      <c r="JUV31" s="72"/>
      <c r="JUW31" s="72"/>
      <c r="JUX31" s="72"/>
      <c r="JUY31" s="72"/>
      <c r="JUZ31" s="72"/>
      <c r="JVA31" s="72"/>
      <c r="JVB31" s="72"/>
      <c r="JVC31" s="72"/>
      <c r="JVD31" s="72"/>
      <c r="JVE31" s="72"/>
      <c r="JVF31" s="72"/>
      <c r="JVG31" s="72"/>
      <c r="JVH31" s="72"/>
      <c r="JVI31" s="72"/>
      <c r="JVJ31" s="72"/>
      <c r="JVK31" s="72"/>
      <c r="JVL31" s="72"/>
      <c r="JVM31" s="72"/>
      <c r="JVN31" s="72"/>
      <c r="JVO31" s="72"/>
      <c r="JVP31" s="72"/>
      <c r="JVQ31" s="72"/>
      <c r="JVR31" s="72"/>
      <c r="JVS31" s="72"/>
      <c r="JVT31" s="72"/>
      <c r="JVU31" s="72"/>
      <c r="JVV31" s="72"/>
      <c r="JVW31" s="72"/>
      <c r="JVX31" s="72"/>
      <c r="JVY31" s="72"/>
      <c r="JVZ31" s="72"/>
      <c r="JWA31" s="72"/>
      <c r="JWB31" s="72"/>
      <c r="JWC31" s="72"/>
      <c r="JWD31" s="72"/>
      <c r="JWE31" s="72"/>
      <c r="JWF31" s="72"/>
      <c r="JWG31" s="72"/>
      <c r="JWH31" s="72"/>
      <c r="JWI31" s="72"/>
      <c r="JWJ31" s="72"/>
      <c r="JWK31" s="72"/>
      <c r="JWL31" s="72"/>
      <c r="JWM31" s="72"/>
      <c r="JWN31" s="72"/>
      <c r="JWO31" s="72"/>
      <c r="JWP31" s="72"/>
      <c r="JWQ31" s="72"/>
      <c r="JWR31" s="72"/>
      <c r="JWS31" s="72"/>
      <c r="JWT31" s="72"/>
      <c r="JWU31" s="72"/>
      <c r="JWV31" s="72"/>
      <c r="JWW31" s="72"/>
      <c r="JWX31" s="72"/>
      <c r="JWY31" s="72"/>
      <c r="JWZ31" s="72"/>
      <c r="JXA31" s="72"/>
      <c r="JXB31" s="72"/>
      <c r="JXC31" s="72"/>
      <c r="JXD31" s="72"/>
      <c r="JXE31" s="72"/>
      <c r="JXF31" s="72"/>
      <c r="JXG31" s="72"/>
      <c r="JXH31" s="72"/>
      <c r="JXI31" s="72"/>
      <c r="JXJ31" s="72"/>
      <c r="JXK31" s="72"/>
      <c r="JXL31" s="72"/>
      <c r="JXM31" s="72"/>
      <c r="JXN31" s="72"/>
      <c r="JXO31" s="72"/>
      <c r="JXP31" s="72"/>
      <c r="JXQ31" s="72"/>
      <c r="JXR31" s="72"/>
      <c r="JXS31" s="72"/>
      <c r="JXT31" s="72"/>
      <c r="JXU31" s="72"/>
      <c r="JXV31" s="72"/>
      <c r="JXW31" s="72"/>
      <c r="JXX31" s="72"/>
      <c r="JXY31" s="72"/>
      <c r="JXZ31" s="72"/>
      <c r="JYA31" s="72"/>
      <c r="JYB31" s="72"/>
      <c r="JYC31" s="72"/>
      <c r="JYD31" s="72"/>
      <c r="JYE31" s="72"/>
      <c r="JYF31" s="72"/>
      <c r="JYG31" s="72"/>
      <c r="JYH31" s="72"/>
      <c r="JYI31" s="72"/>
      <c r="JYJ31" s="72"/>
      <c r="JYK31" s="72"/>
      <c r="JYL31" s="72"/>
      <c r="JYM31" s="72"/>
      <c r="JYN31" s="72"/>
      <c r="JYO31" s="72"/>
      <c r="JYP31" s="72"/>
      <c r="JYQ31" s="72"/>
      <c r="JYR31" s="72"/>
      <c r="JYS31" s="72"/>
      <c r="JYT31" s="72"/>
      <c r="JYU31" s="72"/>
      <c r="JYV31" s="72"/>
      <c r="JYW31" s="72"/>
      <c r="JYX31" s="72"/>
      <c r="JYY31" s="72"/>
      <c r="JYZ31" s="72"/>
      <c r="JZA31" s="72"/>
      <c r="JZB31" s="72"/>
      <c r="JZC31" s="72"/>
      <c r="JZD31" s="72"/>
      <c r="JZE31" s="72"/>
      <c r="JZF31" s="72"/>
      <c r="JZG31" s="72"/>
      <c r="JZH31" s="72"/>
      <c r="JZI31" s="72"/>
      <c r="JZJ31" s="72"/>
      <c r="JZK31" s="72"/>
      <c r="JZL31" s="72"/>
      <c r="JZM31" s="72"/>
      <c r="JZN31" s="72"/>
      <c r="JZO31" s="72"/>
      <c r="JZP31" s="72"/>
      <c r="JZQ31" s="72"/>
      <c r="JZR31" s="72"/>
      <c r="JZS31" s="72"/>
      <c r="JZT31" s="72"/>
      <c r="JZU31" s="72"/>
      <c r="JZV31" s="72"/>
      <c r="JZW31" s="72"/>
      <c r="JZX31" s="72"/>
      <c r="JZY31" s="72"/>
      <c r="JZZ31" s="72"/>
      <c r="KAA31" s="72"/>
      <c r="KAB31" s="72"/>
      <c r="KAC31" s="72"/>
      <c r="KAD31" s="72"/>
      <c r="KAE31" s="72"/>
      <c r="KAF31" s="72"/>
      <c r="KAG31" s="72"/>
      <c r="KAH31" s="72"/>
      <c r="KAI31" s="72"/>
      <c r="KAJ31" s="72"/>
      <c r="KAK31" s="72"/>
      <c r="KAL31" s="72"/>
      <c r="KAM31" s="72"/>
      <c r="KAN31" s="72"/>
      <c r="KAO31" s="72"/>
      <c r="KAP31" s="72"/>
      <c r="KAQ31" s="72"/>
      <c r="KAR31" s="72"/>
      <c r="KAS31" s="72"/>
      <c r="KAT31" s="72"/>
      <c r="KAU31" s="72"/>
      <c r="KAV31" s="72"/>
      <c r="KAW31" s="72"/>
      <c r="KAX31" s="72"/>
      <c r="KAY31" s="72"/>
      <c r="KAZ31" s="72"/>
      <c r="KBA31" s="72"/>
      <c r="KBB31" s="72"/>
      <c r="KBC31" s="72"/>
      <c r="KBD31" s="72"/>
      <c r="KBE31" s="72"/>
      <c r="KBF31" s="72"/>
      <c r="KBG31" s="72"/>
      <c r="KBH31" s="72"/>
      <c r="KBI31" s="72"/>
      <c r="KBJ31" s="72"/>
      <c r="KBK31" s="72"/>
      <c r="KBL31" s="72"/>
      <c r="KBM31" s="72"/>
      <c r="KBN31" s="72"/>
      <c r="KBO31" s="72"/>
      <c r="KBP31" s="72"/>
      <c r="KBQ31" s="72"/>
      <c r="KBR31" s="72"/>
      <c r="KBS31" s="72"/>
      <c r="KBT31" s="72"/>
      <c r="KBU31" s="72"/>
      <c r="KBV31" s="72"/>
      <c r="KBW31" s="72"/>
      <c r="KBX31" s="72"/>
      <c r="KBY31" s="72"/>
      <c r="KBZ31" s="72"/>
      <c r="KCA31" s="72"/>
      <c r="KCB31" s="72"/>
      <c r="KCC31" s="72"/>
      <c r="KCD31" s="72"/>
      <c r="KCE31" s="72"/>
      <c r="KCF31" s="72"/>
      <c r="KCG31" s="72"/>
      <c r="KCH31" s="72"/>
      <c r="KCI31" s="72"/>
      <c r="KCJ31" s="72"/>
      <c r="KCK31" s="72"/>
      <c r="KCL31" s="72"/>
      <c r="KCM31" s="72"/>
      <c r="KCN31" s="72"/>
      <c r="KCO31" s="72"/>
      <c r="KCP31" s="72"/>
      <c r="KCQ31" s="72"/>
      <c r="KCR31" s="72"/>
      <c r="KCS31" s="72"/>
      <c r="KCT31" s="72"/>
      <c r="KCU31" s="72"/>
      <c r="KCV31" s="72"/>
      <c r="KCW31" s="72"/>
      <c r="KCX31" s="72"/>
      <c r="KCY31" s="72"/>
      <c r="KCZ31" s="72"/>
      <c r="KDA31" s="72"/>
      <c r="KDB31" s="72"/>
      <c r="KDC31" s="72"/>
      <c r="KDD31" s="72"/>
      <c r="KDE31" s="72"/>
      <c r="KDF31" s="72"/>
      <c r="KDG31" s="72"/>
      <c r="KDH31" s="72"/>
      <c r="KDI31" s="72"/>
      <c r="KDJ31" s="72"/>
      <c r="KDK31" s="72"/>
      <c r="KDL31" s="72"/>
      <c r="KDM31" s="72"/>
      <c r="KDN31" s="72"/>
      <c r="KDO31" s="72"/>
      <c r="KDP31" s="72"/>
      <c r="KDQ31" s="72"/>
      <c r="KDR31" s="72"/>
      <c r="KDS31" s="72"/>
      <c r="KDT31" s="72"/>
      <c r="KDU31" s="72"/>
      <c r="KDV31" s="72"/>
      <c r="KDW31" s="72"/>
      <c r="KDX31" s="72"/>
      <c r="KDY31" s="72"/>
      <c r="KDZ31" s="72"/>
      <c r="KEA31" s="72"/>
      <c r="KEB31" s="72"/>
      <c r="KEC31" s="72"/>
      <c r="KED31" s="72"/>
      <c r="KEE31" s="72"/>
      <c r="KEF31" s="72"/>
      <c r="KEG31" s="72"/>
      <c r="KEH31" s="72"/>
      <c r="KEI31" s="72"/>
      <c r="KEJ31" s="72"/>
      <c r="KEK31" s="72"/>
      <c r="KEL31" s="72"/>
      <c r="KEM31" s="72"/>
      <c r="KEN31" s="72"/>
      <c r="KEO31" s="72"/>
      <c r="KEP31" s="72"/>
      <c r="KEQ31" s="72"/>
      <c r="KER31" s="72"/>
      <c r="KES31" s="72"/>
      <c r="KET31" s="72"/>
      <c r="KEU31" s="72"/>
      <c r="KEV31" s="72"/>
      <c r="KEW31" s="72"/>
      <c r="KEX31" s="72"/>
      <c r="KEY31" s="72"/>
      <c r="KEZ31" s="72"/>
      <c r="KFA31" s="72"/>
      <c r="KFB31" s="72"/>
      <c r="KFC31" s="72"/>
      <c r="KFD31" s="72"/>
      <c r="KFE31" s="72"/>
      <c r="KFF31" s="72"/>
      <c r="KFG31" s="72"/>
      <c r="KFH31" s="72"/>
      <c r="KFI31" s="72"/>
      <c r="KFJ31" s="72"/>
      <c r="KFK31" s="72"/>
      <c r="KFL31" s="72"/>
      <c r="KFM31" s="72"/>
      <c r="KFN31" s="72"/>
      <c r="KFO31" s="72"/>
      <c r="KFP31" s="72"/>
      <c r="KFQ31" s="72"/>
      <c r="KFR31" s="72"/>
      <c r="KFS31" s="72"/>
      <c r="KFT31" s="72"/>
      <c r="KFU31" s="72"/>
      <c r="KFV31" s="72"/>
      <c r="KFW31" s="72"/>
      <c r="KFX31" s="72"/>
      <c r="KFY31" s="72"/>
      <c r="KFZ31" s="72"/>
      <c r="KGA31" s="72"/>
      <c r="KGB31" s="72"/>
      <c r="KGC31" s="72"/>
      <c r="KGD31" s="72"/>
      <c r="KGE31" s="72"/>
      <c r="KGF31" s="72"/>
      <c r="KGG31" s="72"/>
      <c r="KGH31" s="72"/>
      <c r="KGI31" s="72"/>
      <c r="KGJ31" s="72"/>
      <c r="KGK31" s="72"/>
      <c r="KGL31" s="72"/>
      <c r="KGM31" s="72"/>
      <c r="KGN31" s="72"/>
      <c r="KGO31" s="72"/>
      <c r="KGP31" s="72"/>
      <c r="KGQ31" s="72"/>
      <c r="KGR31" s="72"/>
      <c r="KGS31" s="72"/>
      <c r="KGT31" s="72"/>
      <c r="KGU31" s="72"/>
      <c r="KGV31" s="72"/>
      <c r="KGW31" s="72"/>
      <c r="KGX31" s="72"/>
      <c r="KGY31" s="72"/>
      <c r="KGZ31" s="72"/>
      <c r="KHA31" s="72"/>
      <c r="KHB31" s="72"/>
      <c r="KHC31" s="72"/>
      <c r="KHD31" s="72"/>
      <c r="KHE31" s="72"/>
      <c r="KHF31" s="72"/>
      <c r="KHG31" s="72"/>
      <c r="KHH31" s="72"/>
      <c r="KHI31" s="72"/>
      <c r="KHJ31" s="72"/>
      <c r="KHK31" s="72"/>
      <c r="KHL31" s="72"/>
      <c r="KHM31" s="72"/>
      <c r="KHN31" s="72"/>
      <c r="KHO31" s="72"/>
      <c r="KHP31" s="72"/>
      <c r="KHQ31" s="72"/>
      <c r="KHR31" s="72"/>
      <c r="KHS31" s="72"/>
      <c r="KHT31" s="72"/>
      <c r="KHU31" s="72"/>
      <c r="KHV31" s="72"/>
      <c r="KHW31" s="72"/>
      <c r="KHX31" s="72"/>
      <c r="KHY31" s="72"/>
      <c r="KHZ31" s="72"/>
      <c r="KIA31" s="72"/>
      <c r="KIB31" s="72"/>
      <c r="KIC31" s="72"/>
      <c r="KID31" s="72"/>
      <c r="KIE31" s="72"/>
      <c r="KIF31" s="72"/>
      <c r="KIG31" s="72"/>
      <c r="KIH31" s="72"/>
      <c r="KII31" s="72"/>
      <c r="KIJ31" s="72"/>
      <c r="KIK31" s="72"/>
      <c r="KIL31" s="72"/>
      <c r="KIM31" s="72"/>
      <c r="KIN31" s="72"/>
      <c r="KIO31" s="72"/>
      <c r="KIP31" s="72"/>
      <c r="KIQ31" s="72"/>
      <c r="KIR31" s="72"/>
      <c r="KIS31" s="72"/>
      <c r="KIT31" s="72"/>
      <c r="KIU31" s="72"/>
      <c r="KIV31" s="72"/>
      <c r="KIW31" s="72"/>
      <c r="KIX31" s="72"/>
      <c r="KIY31" s="72"/>
      <c r="KIZ31" s="72"/>
      <c r="KJA31" s="72"/>
      <c r="KJB31" s="72"/>
      <c r="KJC31" s="72"/>
      <c r="KJD31" s="72"/>
      <c r="KJE31" s="72"/>
      <c r="KJF31" s="72"/>
      <c r="KJG31" s="72"/>
      <c r="KJH31" s="72"/>
      <c r="KJI31" s="72"/>
      <c r="KJJ31" s="72"/>
      <c r="KJK31" s="72"/>
      <c r="KJL31" s="72"/>
      <c r="KJM31" s="72"/>
      <c r="KJN31" s="72"/>
      <c r="KJO31" s="72"/>
      <c r="KJP31" s="72"/>
      <c r="KJQ31" s="72"/>
      <c r="KJR31" s="72"/>
      <c r="KJS31" s="72"/>
      <c r="KJT31" s="72"/>
      <c r="KJU31" s="72"/>
      <c r="KJV31" s="72"/>
      <c r="KJW31" s="72"/>
      <c r="KJX31" s="72"/>
      <c r="KJY31" s="72"/>
      <c r="KJZ31" s="72"/>
      <c r="KKA31" s="72"/>
      <c r="KKB31" s="72"/>
      <c r="KKC31" s="72"/>
      <c r="KKD31" s="72"/>
      <c r="KKE31" s="72"/>
      <c r="KKF31" s="72"/>
      <c r="KKG31" s="72"/>
      <c r="KKH31" s="72"/>
      <c r="KKI31" s="72"/>
      <c r="KKJ31" s="72"/>
      <c r="KKK31" s="72"/>
      <c r="KKL31" s="72"/>
      <c r="KKM31" s="72"/>
      <c r="KKN31" s="72"/>
      <c r="KKO31" s="72"/>
      <c r="KKP31" s="72"/>
      <c r="KKQ31" s="72"/>
      <c r="KKR31" s="72"/>
      <c r="KKS31" s="72"/>
      <c r="KKT31" s="72"/>
      <c r="KKU31" s="72"/>
      <c r="KKV31" s="72"/>
      <c r="KKW31" s="72"/>
      <c r="KKX31" s="72"/>
      <c r="KKY31" s="72"/>
      <c r="KKZ31" s="72"/>
      <c r="KLA31" s="72"/>
      <c r="KLB31" s="72"/>
      <c r="KLC31" s="72"/>
      <c r="KLD31" s="72"/>
      <c r="KLE31" s="72"/>
      <c r="KLF31" s="72"/>
      <c r="KLG31" s="72"/>
      <c r="KLH31" s="72"/>
      <c r="KLI31" s="72"/>
      <c r="KLJ31" s="72"/>
      <c r="KLK31" s="72"/>
      <c r="KLL31" s="72"/>
      <c r="KLM31" s="72"/>
      <c r="KLN31" s="72"/>
      <c r="KLO31" s="72"/>
      <c r="KLP31" s="72"/>
      <c r="KLQ31" s="72"/>
      <c r="KLR31" s="72"/>
      <c r="KLS31" s="72"/>
      <c r="KLT31" s="72"/>
      <c r="KLU31" s="72"/>
      <c r="KLV31" s="72"/>
      <c r="KLW31" s="72"/>
      <c r="KLX31" s="72"/>
      <c r="KLY31" s="72"/>
      <c r="KLZ31" s="72"/>
      <c r="KMA31" s="72"/>
      <c r="KMB31" s="72"/>
      <c r="KMC31" s="72"/>
      <c r="KMD31" s="72"/>
      <c r="KME31" s="72"/>
      <c r="KMF31" s="72"/>
      <c r="KMG31" s="72"/>
      <c r="KMH31" s="72"/>
      <c r="KMI31" s="72"/>
      <c r="KMJ31" s="72"/>
      <c r="KMK31" s="72"/>
      <c r="KML31" s="72"/>
      <c r="KMM31" s="72"/>
      <c r="KMN31" s="72"/>
      <c r="KMO31" s="72"/>
      <c r="KMP31" s="72"/>
      <c r="KMQ31" s="72"/>
      <c r="KMR31" s="72"/>
      <c r="KMS31" s="72"/>
      <c r="KMT31" s="72"/>
      <c r="KMU31" s="72"/>
      <c r="KMV31" s="72"/>
      <c r="KMW31" s="72"/>
      <c r="KMX31" s="72"/>
      <c r="KMY31" s="72"/>
      <c r="KMZ31" s="72"/>
      <c r="KNA31" s="72"/>
      <c r="KNB31" s="72"/>
      <c r="KNC31" s="72"/>
      <c r="KND31" s="72"/>
      <c r="KNE31" s="72"/>
      <c r="KNF31" s="72"/>
      <c r="KNG31" s="72"/>
      <c r="KNH31" s="72"/>
      <c r="KNI31" s="72"/>
      <c r="KNJ31" s="72"/>
      <c r="KNK31" s="72"/>
      <c r="KNL31" s="72"/>
      <c r="KNM31" s="72"/>
      <c r="KNN31" s="72"/>
      <c r="KNO31" s="72"/>
      <c r="KNP31" s="72"/>
      <c r="KNQ31" s="72"/>
      <c r="KNR31" s="72"/>
      <c r="KNS31" s="72"/>
      <c r="KNT31" s="72"/>
      <c r="KNU31" s="72"/>
      <c r="KNV31" s="72"/>
      <c r="KNW31" s="72"/>
      <c r="KNX31" s="72"/>
      <c r="KNY31" s="72"/>
      <c r="KNZ31" s="72"/>
      <c r="KOA31" s="72"/>
      <c r="KOB31" s="72"/>
      <c r="KOC31" s="72"/>
      <c r="KOD31" s="72"/>
      <c r="KOE31" s="72"/>
      <c r="KOF31" s="72"/>
      <c r="KOG31" s="72"/>
      <c r="KOH31" s="72"/>
      <c r="KOI31" s="72"/>
      <c r="KOJ31" s="72"/>
      <c r="KOK31" s="72"/>
      <c r="KOL31" s="72"/>
      <c r="KOM31" s="72"/>
      <c r="KON31" s="72"/>
      <c r="KOO31" s="72"/>
      <c r="KOP31" s="72"/>
      <c r="KOQ31" s="72"/>
      <c r="KOR31" s="72"/>
      <c r="KOS31" s="72"/>
      <c r="KOT31" s="72"/>
      <c r="KOU31" s="72"/>
      <c r="KOV31" s="72"/>
      <c r="KOW31" s="72"/>
      <c r="KOX31" s="72"/>
      <c r="KOY31" s="72"/>
      <c r="KOZ31" s="72"/>
      <c r="KPA31" s="72"/>
      <c r="KPB31" s="72"/>
      <c r="KPC31" s="72"/>
      <c r="KPD31" s="72"/>
      <c r="KPE31" s="72"/>
      <c r="KPF31" s="72"/>
      <c r="KPG31" s="72"/>
      <c r="KPH31" s="72"/>
      <c r="KPI31" s="72"/>
      <c r="KPJ31" s="72"/>
      <c r="KPK31" s="72"/>
      <c r="KPL31" s="72"/>
      <c r="KPM31" s="72"/>
      <c r="KPN31" s="72"/>
      <c r="KPO31" s="72"/>
      <c r="KPP31" s="72"/>
      <c r="KPQ31" s="72"/>
      <c r="KPR31" s="72"/>
      <c r="KPS31" s="72"/>
      <c r="KPT31" s="72"/>
      <c r="KPU31" s="72"/>
      <c r="KPV31" s="72"/>
      <c r="KPW31" s="72"/>
      <c r="KPX31" s="72"/>
      <c r="KPY31" s="72"/>
      <c r="KPZ31" s="72"/>
      <c r="KQA31" s="72"/>
      <c r="KQB31" s="72"/>
      <c r="KQC31" s="72"/>
      <c r="KQD31" s="72"/>
      <c r="KQE31" s="72"/>
      <c r="KQF31" s="72"/>
      <c r="KQG31" s="72"/>
      <c r="KQH31" s="72"/>
      <c r="KQI31" s="72"/>
      <c r="KQJ31" s="72"/>
      <c r="KQK31" s="72"/>
      <c r="KQL31" s="72"/>
      <c r="KQM31" s="72"/>
      <c r="KQN31" s="72"/>
      <c r="KQO31" s="72"/>
      <c r="KQP31" s="72"/>
      <c r="KQQ31" s="72"/>
      <c r="KQR31" s="72"/>
      <c r="KQS31" s="72"/>
      <c r="KQT31" s="72"/>
      <c r="KQU31" s="72"/>
      <c r="KQV31" s="72"/>
      <c r="KQW31" s="72"/>
      <c r="KQX31" s="72"/>
      <c r="KQY31" s="72"/>
      <c r="KQZ31" s="72"/>
      <c r="KRA31" s="72"/>
      <c r="KRB31" s="72"/>
      <c r="KRC31" s="72"/>
      <c r="KRD31" s="72"/>
      <c r="KRE31" s="72"/>
      <c r="KRF31" s="72"/>
      <c r="KRG31" s="72"/>
      <c r="KRH31" s="72"/>
      <c r="KRI31" s="72"/>
      <c r="KRJ31" s="72"/>
      <c r="KRK31" s="72"/>
      <c r="KRL31" s="72"/>
      <c r="KRM31" s="72"/>
      <c r="KRN31" s="72"/>
      <c r="KRO31" s="72"/>
      <c r="KRP31" s="72"/>
      <c r="KRQ31" s="72"/>
      <c r="KRR31" s="72"/>
      <c r="KRS31" s="72"/>
      <c r="KRT31" s="72"/>
      <c r="KRU31" s="72"/>
      <c r="KRV31" s="72"/>
      <c r="KRW31" s="72"/>
      <c r="KRX31" s="72"/>
      <c r="KRY31" s="72"/>
      <c r="KRZ31" s="72"/>
      <c r="KSA31" s="72"/>
      <c r="KSB31" s="72"/>
      <c r="KSC31" s="72"/>
      <c r="KSD31" s="72"/>
      <c r="KSE31" s="72"/>
      <c r="KSF31" s="72"/>
      <c r="KSG31" s="72"/>
      <c r="KSH31" s="72"/>
      <c r="KSI31" s="72"/>
      <c r="KSJ31" s="72"/>
      <c r="KSK31" s="72"/>
      <c r="KSL31" s="72"/>
      <c r="KSM31" s="72"/>
      <c r="KSN31" s="72"/>
      <c r="KSO31" s="72"/>
      <c r="KSP31" s="72"/>
      <c r="KSQ31" s="72"/>
      <c r="KSR31" s="72"/>
      <c r="KSS31" s="72"/>
      <c r="KST31" s="72"/>
      <c r="KSU31" s="72"/>
      <c r="KSV31" s="72"/>
      <c r="KSW31" s="72"/>
      <c r="KSX31" s="72"/>
      <c r="KSY31" s="72"/>
      <c r="KSZ31" s="72"/>
      <c r="KTA31" s="72"/>
      <c r="KTB31" s="72"/>
      <c r="KTC31" s="72"/>
      <c r="KTD31" s="72"/>
      <c r="KTE31" s="72"/>
      <c r="KTF31" s="72"/>
      <c r="KTG31" s="72"/>
      <c r="KTH31" s="72"/>
      <c r="KTI31" s="72"/>
      <c r="KTJ31" s="72"/>
      <c r="KTK31" s="72"/>
      <c r="KTL31" s="72"/>
      <c r="KTM31" s="72"/>
      <c r="KTN31" s="72"/>
      <c r="KTO31" s="72"/>
      <c r="KTP31" s="72"/>
      <c r="KTQ31" s="72"/>
      <c r="KTR31" s="72"/>
      <c r="KTS31" s="72"/>
      <c r="KTT31" s="72"/>
      <c r="KTU31" s="72"/>
      <c r="KTV31" s="72"/>
      <c r="KTW31" s="72"/>
      <c r="KTX31" s="72"/>
      <c r="KTY31" s="72"/>
      <c r="KTZ31" s="72"/>
      <c r="KUA31" s="72"/>
      <c r="KUB31" s="72"/>
      <c r="KUC31" s="72"/>
      <c r="KUD31" s="72"/>
      <c r="KUE31" s="72"/>
      <c r="KUF31" s="72"/>
      <c r="KUG31" s="72"/>
      <c r="KUH31" s="72"/>
      <c r="KUI31" s="72"/>
      <c r="KUJ31" s="72"/>
      <c r="KUK31" s="72"/>
      <c r="KUL31" s="72"/>
      <c r="KUM31" s="72"/>
      <c r="KUN31" s="72"/>
      <c r="KUO31" s="72"/>
      <c r="KUP31" s="72"/>
      <c r="KUQ31" s="72"/>
      <c r="KUR31" s="72"/>
      <c r="KUS31" s="72"/>
      <c r="KUT31" s="72"/>
      <c r="KUU31" s="72"/>
      <c r="KUV31" s="72"/>
      <c r="KUW31" s="72"/>
      <c r="KUX31" s="72"/>
      <c r="KUY31" s="72"/>
      <c r="KUZ31" s="72"/>
      <c r="KVA31" s="72"/>
      <c r="KVB31" s="72"/>
      <c r="KVC31" s="72"/>
      <c r="KVD31" s="72"/>
      <c r="KVE31" s="72"/>
      <c r="KVF31" s="72"/>
      <c r="KVG31" s="72"/>
      <c r="KVH31" s="72"/>
      <c r="KVI31" s="72"/>
      <c r="KVJ31" s="72"/>
      <c r="KVK31" s="72"/>
      <c r="KVL31" s="72"/>
      <c r="KVM31" s="72"/>
      <c r="KVN31" s="72"/>
      <c r="KVO31" s="72"/>
      <c r="KVP31" s="72"/>
      <c r="KVQ31" s="72"/>
      <c r="KVR31" s="72"/>
      <c r="KVS31" s="72"/>
      <c r="KVT31" s="72"/>
      <c r="KVU31" s="72"/>
      <c r="KVV31" s="72"/>
      <c r="KVW31" s="72"/>
      <c r="KVX31" s="72"/>
      <c r="KVY31" s="72"/>
      <c r="KVZ31" s="72"/>
      <c r="KWA31" s="72"/>
      <c r="KWB31" s="72"/>
      <c r="KWC31" s="72"/>
      <c r="KWD31" s="72"/>
      <c r="KWE31" s="72"/>
      <c r="KWF31" s="72"/>
      <c r="KWG31" s="72"/>
      <c r="KWH31" s="72"/>
      <c r="KWI31" s="72"/>
      <c r="KWJ31" s="72"/>
      <c r="KWK31" s="72"/>
      <c r="KWL31" s="72"/>
      <c r="KWM31" s="72"/>
      <c r="KWN31" s="72"/>
      <c r="KWO31" s="72"/>
      <c r="KWP31" s="72"/>
      <c r="KWQ31" s="72"/>
      <c r="KWR31" s="72"/>
      <c r="KWS31" s="72"/>
      <c r="KWT31" s="72"/>
      <c r="KWU31" s="72"/>
      <c r="KWV31" s="72"/>
      <c r="KWW31" s="72"/>
      <c r="KWX31" s="72"/>
      <c r="KWY31" s="72"/>
      <c r="KWZ31" s="72"/>
      <c r="KXA31" s="72"/>
      <c r="KXB31" s="72"/>
      <c r="KXC31" s="72"/>
      <c r="KXD31" s="72"/>
      <c r="KXE31" s="72"/>
      <c r="KXF31" s="72"/>
      <c r="KXG31" s="72"/>
      <c r="KXH31" s="72"/>
      <c r="KXI31" s="72"/>
      <c r="KXJ31" s="72"/>
      <c r="KXK31" s="72"/>
      <c r="KXL31" s="72"/>
      <c r="KXM31" s="72"/>
      <c r="KXN31" s="72"/>
      <c r="KXO31" s="72"/>
      <c r="KXP31" s="72"/>
      <c r="KXQ31" s="72"/>
      <c r="KXR31" s="72"/>
      <c r="KXS31" s="72"/>
      <c r="KXT31" s="72"/>
      <c r="KXU31" s="72"/>
      <c r="KXV31" s="72"/>
      <c r="KXW31" s="72"/>
      <c r="KXX31" s="72"/>
      <c r="KXY31" s="72"/>
      <c r="KXZ31" s="72"/>
      <c r="KYA31" s="72"/>
      <c r="KYB31" s="72"/>
      <c r="KYC31" s="72"/>
      <c r="KYD31" s="72"/>
      <c r="KYE31" s="72"/>
      <c r="KYF31" s="72"/>
      <c r="KYG31" s="72"/>
      <c r="KYH31" s="72"/>
      <c r="KYI31" s="72"/>
      <c r="KYJ31" s="72"/>
      <c r="KYK31" s="72"/>
      <c r="KYL31" s="72"/>
      <c r="KYM31" s="72"/>
      <c r="KYN31" s="72"/>
      <c r="KYO31" s="72"/>
      <c r="KYP31" s="72"/>
      <c r="KYQ31" s="72"/>
      <c r="KYR31" s="72"/>
      <c r="KYS31" s="72"/>
      <c r="KYT31" s="72"/>
      <c r="KYU31" s="72"/>
      <c r="KYV31" s="72"/>
      <c r="KYW31" s="72"/>
      <c r="KYX31" s="72"/>
      <c r="KYY31" s="72"/>
      <c r="KYZ31" s="72"/>
      <c r="KZA31" s="72"/>
      <c r="KZB31" s="72"/>
      <c r="KZC31" s="72"/>
      <c r="KZD31" s="72"/>
      <c r="KZE31" s="72"/>
      <c r="KZF31" s="72"/>
      <c r="KZG31" s="72"/>
      <c r="KZH31" s="72"/>
      <c r="KZI31" s="72"/>
      <c r="KZJ31" s="72"/>
      <c r="KZK31" s="72"/>
      <c r="KZL31" s="72"/>
      <c r="KZM31" s="72"/>
      <c r="KZN31" s="72"/>
      <c r="KZO31" s="72"/>
      <c r="KZP31" s="72"/>
      <c r="KZQ31" s="72"/>
      <c r="KZR31" s="72"/>
      <c r="KZS31" s="72"/>
      <c r="KZT31" s="72"/>
      <c r="KZU31" s="72"/>
      <c r="KZV31" s="72"/>
      <c r="KZW31" s="72"/>
      <c r="KZX31" s="72"/>
      <c r="KZY31" s="72"/>
      <c r="KZZ31" s="72"/>
      <c r="LAA31" s="72"/>
      <c r="LAB31" s="72"/>
      <c r="LAC31" s="72"/>
      <c r="LAD31" s="72"/>
      <c r="LAE31" s="72"/>
      <c r="LAF31" s="72"/>
      <c r="LAG31" s="72"/>
      <c r="LAH31" s="72"/>
      <c r="LAI31" s="72"/>
      <c r="LAJ31" s="72"/>
      <c r="LAK31" s="72"/>
      <c r="LAL31" s="72"/>
      <c r="LAM31" s="72"/>
      <c r="LAN31" s="72"/>
      <c r="LAO31" s="72"/>
      <c r="LAP31" s="72"/>
      <c r="LAQ31" s="72"/>
      <c r="LAR31" s="72"/>
      <c r="LAS31" s="72"/>
      <c r="LAT31" s="72"/>
      <c r="LAU31" s="72"/>
      <c r="LAV31" s="72"/>
      <c r="LAW31" s="72"/>
      <c r="LAX31" s="72"/>
      <c r="LAY31" s="72"/>
      <c r="LAZ31" s="72"/>
      <c r="LBA31" s="72"/>
      <c r="LBB31" s="72"/>
      <c r="LBC31" s="72"/>
      <c r="LBD31" s="72"/>
      <c r="LBE31" s="72"/>
      <c r="LBF31" s="72"/>
      <c r="LBG31" s="72"/>
      <c r="LBH31" s="72"/>
      <c r="LBI31" s="72"/>
      <c r="LBJ31" s="72"/>
      <c r="LBK31" s="72"/>
      <c r="LBL31" s="72"/>
      <c r="LBM31" s="72"/>
      <c r="LBN31" s="72"/>
      <c r="LBO31" s="72"/>
      <c r="LBP31" s="72"/>
      <c r="LBQ31" s="72"/>
      <c r="LBR31" s="72"/>
      <c r="LBS31" s="72"/>
      <c r="LBT31" s="72"/>
      <c r="LBU31" s="72"/>
      <c r="LBV31" s="72"/>
      <c r="LBW31" s="72"/>
      <c r="LBX31" s="72"/>
      <c r="LBY31" s="72"/>
      <c r="LBZ31" s="72"/>
      <c r="LCA31" s="72"/>
      <c r="LCB31" s="72"/>
      <c r="LCC31" s="72"/>
      <c r="LCD31" s="72"/>
      <c r="LCE31" s="72"/>
      <c r="LCF31" s="72"/>
      <c r="LCG31" s="72"/>
      <c r="LCH31" s="72"/>
      <c r="LCI31" s="72"/>
      <c r="LCJ31" s="72"/>
      <c r="LCK31" s="72"/>
      <c r="LCL31" s="72"/>
      <c r="LCM31" s="72"/>
      <c r="LCN31" s="72"/>
      <c r="LCO31" s="72"/>
      <c r="LCP31" s="72"/>
      <c r="LCQ31" s="72"/>
      <c r="LCR31" s="72"/>
      <c r="LCS31" s="72"/>
      <c r="LCT31" s="72"/>
      <c r="LCU31" s="72"/>
      <c r="LCV31" s="72"/>
      <c r="LCW31" s="72"/>
      <c r="LCX31" s="72"/>
      <c r="LCY31" s="72"/>
      <c r="LCZ31" s="72"/>
      <c r="LDA31" s="72"/>
      <c r="LDB31" s="72"/>
      <c r="LDC31" s="72"/>
      <c r="LDD31" s="72"/>
      <c r="LDE31" s="72"/>
      <c r="LDF31" s="72"/>
      <c r="LDG31" s="72"/>
      <c r="LDH31" s="72"/>
      <c r="LDI31" s="72"/>
      <c r="LDJ31" s="72"/>
      <c r="LDK31" s="72"/>
      <c r="LDL31" s="72"/>
      <c r="LDM31" s="72"/>
      <c r="LDN31" s="72"/>
      <c r="LDO31" s="72"/>
      <c r="LDP31" s="72"/>
      <c r="LDQ31" s="72"/>
      <c r="LDR31" s="72"/>
      <c r="LDS31" s="72"/>
      <c r="LDT31" s="72"/>
      <c r="LDU31" s="72"/>
      <c r="LDV31" s="72"/>
      <c r="LDW31" s="72"/>
      <c r="LDX31" s="72"/>
      <c r="LDY31" s="72"/>
      <c r="LDZ31" s="72"/>
      <c r="LEA31" s="72"/>
      <c r="LEB31" s="72"/>
      <c r="LEC31" s="72"/>
      <c r="LED31" s="72"/>
      <c r="LEE31" s="72"/>
      <c r="LEF31" s="72"/>
      <c r="LEG31" s="72"/>
      <c r="LEH31" s="72"/>
      <c r="LEI31" s="72"/>
      <c r="LEJ31" s="72"/>
      <c r="LEK31" s="72"/>
      <c r="LEL31" s="72"/>
      <c r="LEM31" s="72"/>
      <c r="LEN31" s="72"/>
      <c r="LEO31" s="72"/>
      <c r="LEP31" s="72"/>
      <c r="LEQ31" s="72"/>
      <c r="LER31" s="72"/>
      <c r="LES31" s="72"/>
      <c r="LET31" s="72"/>
      <c r="LEU31" s="72"/>
      <c r="LEV31" s="72"/>
      <c r="LEW31" s="72"/>
      <c r="LEX31" s="72"/>
      <c r="LEY31" s="72"/>
      <c r="LEZ31" s="72"/>
      <c r="LFA31" s="72"/>
      <c r="LFB31" s="72"/>
      <c r="LFC31" s="72"/>
      <c r="LFD31" s="72"/>
      <c r="LFE31" s="72"/>
      <c r="LFF31" s="72"/>
      <c r="LFG31" s="72"/>
      <c r="LFH31" s="72"/>
      <c r="LFI31" s="72"/>
      <c r="LFJ31" s="72"/>
      <c r="LFK31" s="72"/>
      <c r="LFL31" s="72"/>
      <c r="LFM31" s="72"/>
      <c r="LFN31" s="72"/>
      <c r="LFO31" s="72"/>
      <c r="LFP31" s="72"/>
      <c r="LFQ31" s="72"/>
      <c r="LFR31" s="72"/>
      <c r="LFS31" s="72"/>
      <c r="LFT31" s="72"/>
      <c r="LFU31" s="72"/>
      <c r="LFV31" s="72"/>
      <c r="LFW31" s="72"/>
      <c r="LFX31" s="72"/>
      <c r="LFY31" s="72"/>
      <c r="LFZ31" s="72"/>
      <c r="LGA31" s="72"/>
      <c r="LGB31" s="72"/>
      <c r="LGC31" s="72"/>
      <c r="LGD31" s="72"/>
      <c r="LGE31" s="72"/>
      <c r="LGF31" s="72"/>
      <c r="LGG31" s="72"/>
      <c r="LGH31" s="72"/>
      <c r="LGI31" s="72"/>
      <c r="LGJ31" s="72"/>
      <c r="LGK31" s="72"/>
      <c r="LGL31" s="72"/>
      <c r="LGM31" s="72"/>
      <c r="LGN31" s="72"/>
      <c r="LGO31" s="72"/>
      <c r="LGP31" s="72"/>
      <c r="LGQ31" s="72"/>
      <c r="LGR31" s="72"/>
      <c r="LGS31" s="72"/>
      <c r="LGT31" s="72"/>
      <c r="LGU31" s="72"/>
      <c r="LGV31" s="72"/>
      <c r="LGW31" s="72"/>
      <c r="LGX31" s="72"/>
      <c r="LGY31" s="72"/>
      <c r="LGZ31" s="72"/>
      <c r="LHA31" s="72"/>
      <c r="LHB31" s="72"/>
      <c r="LHC31" s="72"/>
      <c r="LHD31" s="72"/>
      <c r="LHE31" s="72"/>
      <c r="LHF31" s="72"/>
      <c r="LHG31" s="72"/>
      <c r="LHH31" s="72"/>
      <c r="LHI31" s="72"/>
      <c r="LHJ31" s="72"/>
      <c r="LHK31" s="72"/>
      <c r="LHL31" s="72"/>
      <c r="LHM31" s="72"/>
      <c r="LHN31" s="72"/>
      <c r="LHO31" s="72"/>
      <c r="LHP31" s="72"/>
      <c r="LHQ31" s="72"/>
      <c r="LHR31" s="72"/>
      <c r="LHS31" s="72"/>
      <c r="LHT31" s="72"/>
      <c r="LHU31" s="72"/>
      <c r="LHV31" s="72"/>
      <c r="LHW31" s="72"/>
      <c r="LHX31" s="72"/>
      <c r="LHY31" s="72"/>
      <c r="LHZ31" s="72"/>
      <c r="LIA31" s="72"/>
      <c r="LIB31" s="72"/>
      <c r="LIC31" s="72"/>
      <c r="LID31" s="72"/>
      <c r="LIE31" s="72"/>
      <c r="LIF31" s="72"/>
      <c r="LIG31" s="72"/>
      <c r="LIH31" s="72"/>
      <c r="LII31" s="72"/>
      <c r="LIJ31" s="72"/>
      <c r="LIK31" s="72"/>
      <c r="LIL31" s="72"/>
      <c r="LIM31" s="72"/>
      <c r="LIN31" s="72"/>
      <c r="LIO31" s="72"/>
      <c r="LIP31" s="72"/>
      <c r="LIQ31" s="72"/>
      <c r="LIR31" s="72"/>
      <c r="LIS31" s="72"/>
      <c r="LIT31" s="72"/>
      <c r="LIU31" s="72"/>
      <c r="LIV31" s="72"/>
      <c r="LIW31" s="72"/>
      <c r="LIX31" s="72"/>
      <c r="LIY31" s="72"/>
      <c r="LIZ31" s="72"/>
      <c r="LJA31" s="72"/>
      <c r="LJB31" s="72"/>
      <c r="LJC31" s="72"/>
      <c r="LJD31" s="72"/>
      <c r="LJE31" s="72"/>
      <c r="LJF31" s="72"/>
      <c r="LJG31" s="72"/>
      <c r="LJH31" s="72"/>
      <c r="LJI31" s="72"/>
      <c r="LJJ31" s="72"/>
      <c r="LJK31" s="72"/>
      <c r="LJL31" s="72"/>
      <c r="LJM31" s="72"/>
      <c r="LJN31" s="72"/>
      <c r="LJO31" s="72"/>
      <c r="LJP31" s="72"/>
      <c r="LJQ31" s="72"/>
      <c r="LJR31" s="72"/>
      <c r="LJS31" s="72"/>
      <c r="LJT31" s="72"/>
      <c r="LJU31" s="72"/>
      <c r="LJV31" s="72"/>
      <c r="LJW31" s="72"/>
      <c r="LJX31" s="72"/>
      <c r="LJY31" s="72"/>
      <c r="LJZ31" s="72"/>
      <c r="LKA31" s="72"/>
      <c r="LKB31" s="72"/>
      <c r="LKC31" s="72"/>
      <c r="LKD31" s="72"/>
      <c r="LKE31" s="72"/>
      <c r="LKF31" s="72"/>
      <c r="LKG31" s="72"/>
      <c r="LKH31" s="72"/>
      <c r="LKI31" s="72"/>
      <c r="LKJ31" s="72"/>
      <c r="LKK31" s="72"/>
      <c r="LKL31" s="72"/>
      <c r="LKM31" s="72"/>
      <c r="LKN31" s="72"/>
      <c r="LKO31" s="72"/>
      <c r="LKP31" s="72"/>
      <c r="LKQ31" s="72"/>
      <c r="LKR31" s="72"/>
      <c r="LKS31" s="72"/>
      <c r="LKT31" s="72"/>
      <c r="LKU31" s="72"/>
      <c r="LKV31" s="72"/>
      <c r="LKW31" s="72"/>
      <c r="LKX31" s="72"/>
      <c r="LKY31" s="72"/>
      <c r="LKZ31" s="72"/>
      <c r="LLA31" s="72"/>
      <c r="LLB31" s="72"/>
      <c r="LLC31" s="72"/>
      <c r="LLD31" s="72"/>
      <c r="LLE31" s="72"/>
      <c r="LLF31" s="72"/>
      <c r="LLG31" s="72"/>
      <c r="LLH31" s="72"/>
      <c r="LLI31" s="72"/>
      <c r="LLJ31" s="72"/>
      <c r="LLK31" s="72"/>
      <c r="LLL31" s="72"/>
      <c r="LLM31" s="72"/>
      <c r="LLN31" s="72"/>
      <c r="LLO31" s="72"/>
      <c r="LLP31" s="72"/>
      <c r="LLQ31" s="72"/>
      <c r="LLR31" s="72"/>
      <c r="LLS31" s="72"/>
      <c r="LLT31" s="72"/>
      <c r="LLU31" s="72"/>
      <c r="LLV31" s="72"/>
      <c r="LLW31" s="72"/>
      <c r="LLX31" s="72"/>
      <c r="LLY31" s="72"/>
      <c r="LLZ31" s="72"/>
      <c r="LMA31" s="72"/>
      <c r="LMB31" s="72"/>
      <c r="LMC31" s="72"/>
      <c r="LMD31" s="72"/>
      <c r="LME31" s="72"/>
      <c r="LMF31" s="72"/>
      <c r="LMG31" s="72"/>
      <c r="LMH31" s="72"/>
      <c r="LMI31" s="72"/>
      <c r="LMJ31" s="72"/>
      <c r="LMK31" s="72"/>
      <c r="LML31" s="72"/>
      <c r="LMM31" s="72"/>
      <c r="LMN31" s="72"/>
      <c r="LMO31" s="72"/>
      <c r="LMP31" s="72"/>
      <c r="LMQ31" s="72"/>
      <c r="LMR31" s="72"/>
      <c r="LMS31" s="72"/>
      <c r="LMT31" s="72"/>
      <c r="LMU31" s="72"/>
      <c r="LMV31" s="72"/>
      <c r="LMW31" s="72"/>
      <c r="LMX31" s="72"/>
      <c r="LMY31" s="72"/>
      <c r="LMZ31" s="72"/>
      <c r="LNA31" s="72"/>
      <c r="LNB31" s="72"/>
      <c r="LNC31" s="72"/>
      <c r="LND31" s="72"/>
      <c r="LNE31" s="72"/>
      <c r="LNF31" s="72"/>
      <c r="LNG31" s="72"/>
      <c r="LNH31" s="72"/>
      <c r="LNI31" s="72"/>
      <c r="LNJ31" s="72"/>
      <c r="LNK31" s="72"/>
      <c r="LNL31" s="72"/>
      <c r="LNM31" s="72"/>
      <c r="LNN31" s="72"/>
      <c r="LNO31" s="72"/>
      <c r="LNP31" s="72"/>
      <c r="LNQ31" s="72"/>
      <c r="LNR31" s="72"/>
      <c r="LNS31" s="72"/>
      <c r="LNT31" s="72"/>
      <c r="LNU31" s="72"/>
      <c r="LNV31" s="72"/>
      <c r="LNW31" s="72"/>
      <c r="LNX31" s="72"/>
      <c r="LNY31" s="72"/>
      <c r="LNZ31" s="72"/>
      <c r="LOA31" s="72"/>
      <c r="LOB31" s="72"/>
      <c r="LOC31" s="72"/>
      <c r="LOD31" s="72"/>
      <c r="LOE31" s="72"/>
      <c r="LOF31" s="72"/>
      <c r="LOG31" s="72"/>
      <c r="LOH31" s="72"/>
      <c r="LOI31" s="72"/>
      <c r="LOJ31" s="72"/>
      <c r="LOK31" s="72"/>
      <c r="LOL31" s="72"/>
      <c r="LOM31" s="72"/>
      <c r="LON31" s="72"/>
      <c r="LOO31" s="72"/>
      <c r="LOP31" s="72"/>
      <c r="LOQ31" s="72"/>
      <c r="LOR31" s="72"/>
      <c r="LOS31" s="72"/>
      <c r="LOT31" s="72"/>
      <c r="LOU31" s="72"/>
      <c r="LOV31" s="72"/>
      <c r="LOW31" s="72"/>
      <c r="LOX31" s="72"/>
      <c r="LOY31" s="72"/>
      <c r="LOZ31" s="72"/>
      <c r="LPA31" s="72"/>
      <c r="LPB31" s="72"/>
      <c r="LPC31" s="72"/>
      <c r="LPD31" s="72"/>
      <c r="LPE31" s="72"/>
      <c r="LPF31" s="72"/>
      <c r="LPG31" s="72"/>
      <c r="LPH31" s="72"/>
      <c r="LPI31" s="72"/>
      <c r="LPJ31" s="72"/>
      <c r="LPK31" s="72"/>
      <c r="LPL31" s="72"/>
      <c r="LPM31" s="72"/>
      <c r="LPN31" s="72"/>
      <c r="LPO31" s="72"/>
      <c r="LPP31" s="72"/>
      <c r="LPQ31" s="72"/>
      <c r="LPR31" s="72"/>
      <c r="LPS31" s="72"/>
      <c r="LPT31" s="72"/>
      <c r="LPU31" s="72"/>
      <c r="LPV31" s="72"/>
      <c r="LPW31" s="72"/>
      <c r="LPX31" s="72"/>
      <c r="LPY31" s="72"/>
      <c r="LPZ31" s="72"/>
      <c r="LQA31" s="72"/>
      <c r="LQB31" s="72"/>
      <c r="LQC31" s="72"/>
      <c r="LQD31" s="72"/>
      <c r="LQE31" s="72"/>
      <c r="LQF31" s="72"/>
      <c r="LQG31" s="72"/>
      <c r="LQH31" s="72"/>
      <c r="LQI31" s="72"/>
      <c r="LQJ31" s="72"/>
      <c r="LQK31" s="72"/>
      <c r="LQL31" s="72"/>
      <c r="LQM31" s="72"/>
      <c r="LQN31" s="72"/>
      <c r="LQO31" s="72"/>
      <c r="LQP31" s="72"/>
      <c r="LQQ31" s="72"/>
      <c r="LQR31" s="72"/>
      <c r="LQS31" s="72"/>
      <c r="LQT31" s="72"/>
      <c r="LQU31" s="72"/>
      <c r="LQV31" s="72"/>
      <c r="LQW31" s="72"/>
      <c r="LQX31" s="72"/>
      <c r="LQY31" s="72"/>
      <c r="LQZ31" s="72"/>
      <c r="LRA31" s="72"/>
      <c r="LRB31" s="72"/>
      <c r="LRC31" s="72"/>
      <c r="LRD31" s="72"/>
      <c r="LRE31" s="72"/>
      <c r="LRF31" s="72"/>
      <c r="LRG31" s="72"/>
      <c r="LRH31" s="72"/>
      <c r="LRI31" s="72"/>
      <c r="LRJ31" s="72"/>
      <c r="LRK31" s="72"/>
      <c r="LRL31" s="72"/>
      <c r="LRM31" s="72"/>
      <c r="LRN31" s="72"/>
      <c r="LRO31" s="72"/>
      <c r="LRP31" s="72"/>
      <c r="LRQ31" s="72"/>
      <c r="LRR31" s="72"/>
      <c r="LRS31" s="72"/>
      <c r="LRT31" s="72"/>
      <c r="LRU31" s="72"/>
      <c r="LRV31" s="72"/>
      <c r="LRW31" s="72"/>
      <c r="LRX31" s="72"/>
      <c r="LRY31" s="72"/>
      <c r="LRZ31" s="72"/>
      <c r="LSA31" s="72"/>
      <c r="LSB31" s="72"/>
      <c r="LSC31" s="72"/>
      <c r="LSD31" s="72"/>
      <c r="LSE31" s="72"/>
      <c r="LSF31" s="72"/>
      <c r="LSG31" s="72"/>
      <c r="LSH31" s="72"/>
      <c r="LSI31" s="72"/>
      <c r="LSJ31" s="72"/>
      <c r="LSK31" s="72"/>
      <c r="LSL31" s="72"/>
      <c r="LSM31" s="72"/>
      <c r="LSN31" s="72"/>
      <c r="LSO31" s="72"/>
      <c r="LSP31" s="72"/>
      <c r="LSQ31" s="72"/>
      <c r="LSR31" s="72"/>
      <c r="LSS31" s="72"/>
      <c r="LST31" s="72"/>
      <c r="LSU31" s="72"/>
      <c r="LSV31" s="72"/>
      <c r="LSW31" s="72"/>
      <c r="LSX31" s="72"/>
      <c r="LSY31" s="72"/>
      <c r="LSZ31" s="72"/>
      <c r="LTA31" s="72"/>
      <c r="LTB31" s="72"/>
      <c r="LTC31" s="72"/>
      <c r="LTD31" s="72"/>
      <c r="LTE31" s="72"/>
      <c r="LTF31" s="72"/>
      <c r="LTG31" s="72"/>
      <c r="LTH31" s="72"/>
      <c r="LTI31" s="72"/>
      <c r="LTJ31" s="72"/>
      <c r="LTK31" s="72"/>
      <c r="LTL31" s="72"/>
      <c r="LTM31" s="72"/>
      <c r="LTN31" s="72"/>
      <c r="LTO31" s="72"/>
      <c r="LTP31" s="72"/>
      <c r="LTQ31" s="72"/>
      <c r="LTR31" s="72"/>
      <c r="LTS31" s="72"/>
      <c r="LTT31" s="72"/>
      <c r="LTU31" s="72"/>
      <c r="LTV31" s="72"/>
      <c r="LTW31" s="72"/>
      <c r="LTX31" s="72"/>
      <c r="LTY31" s="72"/>
      <c r="LTZ31" s="72"/>
      <c r="LUA31" s="72"/>
      <c r="LUB31" s="72"/>
      <c r="LUC31" s="72"/>
      <c r="LUD31" s="72"/>
      <c r="LUE31" s="72"/>
      <c r="LUF31" s="72"/>
      <c r="LUG31" s="72"/>
      <c r="LUH31" s="72"/>
      <c r="LUI31" s="72"/>
      <c r="LUJ31" s="72"/>
      <c r="LUK31" s="72"/>
      <c r="LUL31" s="72"/>
      <c r="LUM31" s="72"/>
      <c r="LUN31" s="72"/>
      <c r="LUO31" s="72"/>
      <c r="LUP31" s="72"/>
      <c r="LUQ31" s="72"/>
      <c r="LUR31" s="72"/>
      <c r="LUS31" s="72"/>
      <c r="LUT31" s="72"/>
      <c r="LUU31" s="72"/>
      <c r="LUV31" s="72"/>
      <c r="LUW31" s="72"/>
      <c r="LUX31" s="72"/>
      <c r="LUY31" s="72"/>
      <c r="LUZ31" s="72"/>
      <c r="LVA31" s="72"/>
      <c r="LVB31" s="72"/>
      <c r="LVC31" s="72"/>
      <c r="LVD31" s="72"/>
      <c r="LVE31" s="72"/>
      <c r="LVF31" s="72"/>
      <c r="LVG31" s="72"/>
      <c r="LVH31" s="72"/>
      <c r="LVI31" s="72"/>
      <c r="LVJ31" s="72"/>
      <c r="LVK31" s="72"/>
      <c r="LVL31" s="72"/>
      <c r="LVM31" s="72"/>
      <c r="LVN31" s="72"/>
      <c r="LVO31" s="72"/>
      <c r="LVP31" s="72"/>
      <c r="LVQ31" s="72"/>
      <c r="LVR31" s="72"/>
      <c r="LVS31" s="72"/>
      <c r="LVT31" s="72"/>
      <c r="LVU31" s="72"/>
      <c r="LVV31" s="72"/>
      <c r="LVW31" s="72"/>
      <c r="LVX31" s="72"/>
      <c r="LVY31" s="72"/>
      <c r="LVZ31" s="72"/>
      <c r="LWA31" s="72"/>
      <c r="LWB31" s="72"/>
      <c r="LWC31" s="72"/>
      <c r="LWD31" s="72"/>
      <c r="LWE31" s="72"/>
      <c r="LWF31" s="72"/>
      <c r="LWG31" s="72"/>
      <c r="LWH31" s="72"/>
      <c r="LWI31" s="72"/>
      <c r="LWJ31" s="72"/>
      <c r="LWK31" s="72"/>
      <c r="LWL31" s="72"/>
      <c r="LWM31" s="72"/>
      <c r="LWN31" s="72"/>
      <c r="LWO31" s="72"/>
      <c r="LWP31" s="72"/>
      <c r="LWQ31" s="72"/>
      <c r="LWR31" s="72"/>
      <c r="LWS31" s="72"/>
      <c r="LWT31" s="72"/>
      <c r="LWU31" s="72"/>
      <c r="LWV31" s="72"/>
      <c r="LWW31" s="72"/>
      <c r="LWX31" s="72"/>
      <c r="LWY31" s="72"/>
      <c r="LWZ31" s="72"/>
      <c r="LXA31" s="72"/>
      <c r="LXB31" s="72"/>
      <c r="LXC31" s="72"/>
      <c r="LXD31" s="72"/>
      <c r="LXE31" s="72"/>
      <c r="LXF31" s="72"/>
      <c r="LXG31" s="72"/>
      <c r="LXH31" s="72"/>
      <c r="LXI31" s="72"/>
      <c r="LXJ31" s="72"/>
      <c r="LXK31" s="72"/>
      <c r="LXL31" s="72"/>
      <c r="LXM31" s="72"/>
      <c r="LXN31" s="72"/>
      <c r="LXO31" s="72"/>
      <c r="LXP31" s="72"/>
      <c r="LXQ31" s="72"/>
      <c r="LXR31" s="72"/>
      <c r="LXS31" s="72"/>
      <c r="LXT31" s="72"/>
      <c r="LXU31" s="72"/>
      <c r="LXV31" s="72"/>
      <c r="LXW31" s="72"/>
      <c r="LXX31" s="72"/>
      <c r="LXY31" s="72"/>
      <c r="LXZ31" s="72"/>
      <c r="LYA31" s="72"/>
      <c r="LYB31" s="72"/>
      <c r="LYC31" s="72"/>
      <c r="LYD31" s="72"/>
      <c r="LYE31" s="72"/>
      <c r="LYF31" s="72"/>
      <c r="LYG31" s="72"/>
      <c r="LYH31" s="72"/>
      <c r="LYI31" s="72"/>
      <c r="LYJ31" s="72"/>
      <c r="LYK31" s="72"/>
      <c r="LYL31" s="72"/>
      <c r="LYM31" s="72"/>
      <c r="LYN31" s="72"/>
      <c r="LYO31" s="72"/>
      <c r="LYP31" s="72"/>
      <c r="LYQ31" s="72"/>
      <c r="LYR31" s="72"/>
      <c r="LYS31" s="72"/>
      <c r="LYT31" s="72"/>
      <c r="LYU31" s="72"/>
      <c r="LYV31" s="72"/>
      <c r="LYW31" s="72"/>
      <c r="LYX31" s="72"/>
      <c r="LYY31" s="72"/>
      <c r="LYZ31" s="72"/>
      <c r="LZA31" s="72"/>
      <c r="LZB31" s="72"/>
      <c r="LZC31" s="72"/>
      <c r="LZD31" s="72"/>
      <c r="LZE31" s="72"/>
      <c r="LZF31" s="72"/>
      <c r="LZG31" s="72"/>
      <c r="LZH31" s="72"/>
      <c r="LZI31" s="72"/>
      <c r="LZJ31" s="72"/>
      <c r="LZK31" s="72"/>
      <c r="LZL31" s="72"/>
      <c r="LZM31" s="72"/>
      <c r="LZN31" s="72"/>
      <c r="LZO31" s="72"/>
      <c r="LZP31" s="72"/>
      <c r="LZQ31" s="72"/>
      <c r="LZR31" s="72"/>
      <c r="LZS31" s="72"/>
      <c r="LZT31" s="72"/>
      <c r="LZU31" s="72"/>
      <c r="LZV31" s="72"/>
      <c r="LZW31" s="72"/>
      <c r="LZX31" s="72"/>
      <c r="LZY31" s="72"/>
      <c r="LZZ31" s="72"/>
      <c r="MAA31" s="72"/>
      <c r="MAB31" s="72"/>
      <c r="MAC31" s="72"/>
      <c r="MAD31" s="72"/>
      <c r="MAE31" s="72"/>
      <c r="MAF31" s="72"/>
      <c r="MAG31" s="72"/>
      <c r="MAH31" s="72"/>
      <c r="MAI31" s="72"/>
      <c r="MAJ31" s="72"/>
      <c r="MAK31" s="72"/>
      <c r="MAL31" s="72"/>
      <c r="MAM31" s="72"/>
      <c r="MAN31" s="72"/>
      <c r="MAO31" s="72"/>
      <c r="MAP31" s="72"/>
      <c r="MAQ31" s="72"/>
      <c r="MAR31" s="72"/>
      <c r="MAS31" s="72"/>
      <c r="MAT31" s="72"/>
      <c r="MAU31" s="72"/>
      <c r="MAV31" s="72"/>
      <c r="MAW31" s="72"/>
      <c r="MAX31" s="72"/>
      <c r="MAY31" s="72"/>
      <c r="MAZ31" s="72"/>
      <c r="MBA31" s="72"/>
      <c r="MBB31" s="72"/>
      <c r="MBC31" s="72"/>
      <c r="MBD31" s="72"/>
      <c r="MBE31" s="72"/>
      <c r="MBF31" s="72"/>
      <c r="MBG31" s="72"/>
      <c r="MBH31" s="72"/>
      <c r="MBI31" s="72"/>
      <c r="MBJ31" s="72"/>
      <c r="MBK31" s="72"/>
      <c r="MBL31" s="72"/>
      <c r="MBM31" s="72"/>
      <c r="MBN31" s="72"/>
      <c r="MBO31" s="72"/>
      <c r="MBP31" s="72"/>
      <c r="MBQ31" s="72"/>
      <c r="MBR31" s="72"/>
      <c r="MBS31" s="72"/>
      <c r="MBT31" s="72"/>
      <c r="MBU31" s="72"/>
      <c r="MBV31" s="72"/>
      <c r="MBW31" s="72"/>
      <c r="MBX31" s="72"/>
      <c r="MBY31" s="72"/>
      <c r="MBZ31" s="72"/>
      <c r="MCA31" s="72"/>
      <c r="MCB31" s="72"/>
      <c r="MCC31" s="72"/>
      <c r="MCD31" s="72"/>
      <c r="MCE31" s="72"/>
      <c r="MCF31" s="72"/>
      <c r="MCG31" s="72"/>
      <c r="MCH31" s="72"/>
      <c r="MCI31" s="72"/>
      <c r="MCJ31" s="72"/>
      <c r="MCK31" s="72"/>
      <c r="MCL31" s="72"/>
      <c r="MCM31" s="72"/>
      <c r="MCN31" s="72"/>
      <c r="MCO31" s="72"/>
      <c r="MCP31" s="72"/>
      <c r="MCQ31" s="72"/>
      <c r="MCR31" s="72"/>
      <c r="MCS31" s="72"/>
      <c r="MCT31" s="72"/>
      <c r="MCU31" s="72"/>
      <c r="MCV31" s="72"/>
      <c r="MCW31" s="72"/>
      <c r="MCX31" s="72"/>
      <c r="MCY31" s="72"/>
      <c r="MCZ31" s="72"/>
      <c r="MDA31" s="72"/>
      <c r="MDB31" s="72"/>
      <c r="MDC31" s="72"/>
      <c r="MDD31" s="72"/>
      <c r="MDE31" s="72"/>
      <c r="MDF31" s="72"/>
      <c r="MDG31" s="72"/>
      <c r="MDH31" s="72"/>
      <c r="MDI31" s="72"/>
      <c r="MDJ31" s="72"/>
      <c r="MDK31" s="72"/>
      <c r="MDL31" s="72"/>
      <c r="MDM31" s="72"/>
      <c r="MDN31" s="72"/>
      <c r="MDO31" s="72"/>
      <c r="MDP31" s="72"/>
      <c r="MDQ31" s="72"/>
      <c r="MDR31" s="72"/>
      <c r="MDS31" s="72"/>
      <c r="MDT31" s="72"/>
      <c r="MDU31" s="72"/>
      <c r="MDV31" s="72"/>
      <c r="MDW31" s="72"/>
      <c r="MDX31" s="72"/>
      <c r="MDY31" s="72"/>
      <c r="MDZ31" s="72"/>
      <c r="MEA31" s="72"/>
      <c r="MEB31" s="72"/>
      <c r="MEC31" s="72"/>
      <c r="MED31" s="72"/>
      <c r="MEE31" s="72"/>
      <c r="MEF31" s="72"/>
      <c r="MEG31" s="72"/>
      <c r="MEH31" s="72"/>
      <c r="MEI31" s="72"/>
      <c r="MEJ31" s="72"/>
      <c r="MEK31" s="72"/>
      <c r="MEL31" s="72"/>
      <c r="MEM31" s="72"/>
      <c r="MEN31" s="72"/>
      <c r="MEO31" s="72"/>
      <c r="MEP31" s="72"/>
      <c r="MEQ31" s="72"/>
      <c r="MER31" s="72"/>
      <c r="MES31" s="72"/>
      <c r="MET31" s="72"/>
      <c r="MEU31" s="72"/>
      <c r="MEV31" s="72"/>
      <c r="MEW31" s="72"/>
      <c r="MEX31" s="72"/>
      <c r="MEY31" s="72"/>
      <c r="MEZ31" s="72"/>
      <c r="MFA31" s="72"/>
      <c r="MFB31" s="72"/>
      <c r="MFC31" s="72"/>
      <c r="MFD31" s="72"/>
      <c r="MFE31" s="72"/>
      <c r="MFF31" s="72"/>
      <c r="MFG31" s="72"/>
      <c r="MFH31" s="72"/>
      <c r="MFI31" s="72"/>
      <c r="MFJ31" s="72"/>
      <c r="MFK31" s="72"/>
      <c r="MFL31" s="72"/>
      <c r="MFM31" s="72"/>
      <c r="MFN31" s="72"/>
      <c r="MFO31" s="72"/>
      <c r="MFP31" s="72"/>
      <c r="MFQ31" s="72"/>
      <c r="MFR31" s="72"/>
      <c r="MFS31" s="72"/>
      <c r="MFT31" s="72"/>
      <c r="MFU31" s="72"/>
      <c r="MFV31" s="72"/>
      <c r="MFW31" s="72"/>
      <c r="MFX31" s="72"/>
      <c r="MFY31" s="72"/>
      <c r="MFZ31" s="72"/>
      <c r="MGA31" s="72"/>
      <c r="MGB31" s="72"/>
      <c r="MGC31" s="72"/>
      <c r="MGD31" s="72"/>
      <c r="MGE31" s="72"/>
      <c r="MGF31" s="72"/>
      <c r="MGG31" s="72"/>
      <c r="MGH31" s="72"/>
      <c r="MGI31" s="72"/>
      <c r="MGJ31" s="72"/>
      <c r="MGK31" s="72"/>
      <c r="MGL31" s="72"/>
      <c r="MGM31" s="72"/>
      <c r="MGN31" s="72"/>
      <c r="MGO31" s="72"/>
      <c r="MGP31" s="72"/>
      <c r="MGQ31" s="72"/>
      <c r="MGR31" s="72"/>
      <c r="MGS31" s="72"/>
      <c r="MGT31" s="72"/>
      <c r="MGU31" s="72"/>
      <c r="MGV31" s="72"/>
      <c r="MGW31" s="72"/>
      <c r="MGX31" s="72"/>
      <c r="MGY31" s="72"/>
      <c r="MGZ31" s="72"/>
      <c r="MHA31" s="72"/>
      <c r="MHB31" s="72"/>
      <c r="MHC31" s="72"/>
      <c r="MHD31" s="72"/>
      <c r="MHE31" s="72"/>
      <c r="MHF31" s="72"/>
      <c r="MHG31" s="72"/>
      <c r="MHH31" s="72"/>
      <c r="MHI31" s="72"/>
      <c r="MHJ31" s="72"/>
      <c r="MHK31" s="72"/>
      <c r="MHL31" s="72"/>
      <c r="MHM31" s="72"/>
      <c r="MHN31" s="72"/>
      <c r="MHO31" s="72"/>
      <c r="MHP31" s="72"/>
      <c r="MHQ31" s="72"/>
      <c r="MHR31" s="72"/>
      <c r="MHS31" s="72"/>
      <c r="MHT31" s="72"/>
      <c r="MHU31" s="72"/>
      <c r="MHV31" s="72"/>
      <c r="MHW31" s="72"/>
      <c r="MHX31" s="72"/>
      <c r="MHY31" s="72"/>
      <c r="MHZ31" s="72"/>
      <c r="MIA31" s="72"/>
      <c r="MIB31" s="72"/>
      <c r="MIC31" s="72"/>
      <c r="MID31" s="72"/>
      <c r="MIE31" s="72"/>
      <c r="MIF31" s="72"/>
      <c r="MIG31" s="72"/>
      <c r="MIH31" s="72"/>
      <c r="MII31" s="72"/>
      <c r="MIJ31" s="72"/>
      <c r="MIK31" s="72"/>
      <c r="MIL31" s="72"/>
      <c r="MIM31" s="72"/>
      <c r="MIN31" s="72"/>
      <c r="MIO31" s="72"/>
      <c r="MIP31" s="72"/>
      <c r="MIQ31" s="72"/>
      <c r="MIR31" s="72"/>
      <c r="MIS31" s="72"/>
      <c r="MIT31" s="72"/>
      <c r="MIU31" s="72"/>
      <c r="MIV31" s="72"/>
      <c r="MIW31" s="72"/>
      <c r="MIX31" s="72"/>
      <c r="MIY31" s="72"/>
      <c r="MIZ31" s="72"/>
      <c r="MJA31" s="72"/>
      <c r="MJB31" s="72"/>
      <c r="MJC31" s="72"/>
      <c r="MJD31" s="72"/>
      <c r="MJE31" s="72"/>
      <c r="MJF31" s="72"/>
      <c r="MJG31" s="72"/>
      <c r="MJH31" s="72"/>
      <c r="MJI31" s="72"/>
      <c r="MJJ31" s="72"/>
      <c r="MJK31" s="72"/>
      <c r="MJL31" s="72"/>
      <c r="MJM31" s="72"/>
      <c r="MJN31" s="72"/>
      <c r="MJO31" s="72"/>
      <c r="MJP31" s="72"/>
      <c r="MJQ31" s="72"/>
      <c r="MJR31" s="72"/>
      <c r="MJS31" s="72"/>
      <c r="MJT31" s="72"/>
      <c r="MJU31" s="72"/>
      <c r="MJV31" s="72"/>
      <c r="MJW31" s="72"/>
      <c r="MJX31" s="72"/>
      <c r="MJY31" s="72"/>
      <c r="MJZ31" s="72"/>
      <c r="MKA31" s="72"/>
      <c r="MKB31" s="72"/>
      <c r="MKC31" s="72"/>
      <c r="MKD31" s="72"/>
      <c r="MKE31" s="72"/>
      <c r="MKF31" s="72"/>
      <c r="MKG31" s="72"/>
      <c r="MKH31" s="72"/>
      <c r="MKI31" s="72"/>
      <c r="MKJ31" s="72"/>
      <c r="MKK31" s="72"/>
      <c r="MKL31" s="72"/>
      <c r="MKM31" s="72"/>
      <c r="MKN31" s="72"/>
      <c r="MKO31" s="72"/>
      <c r="MKP31" s="72"/>
      <c r="MKQ31" s="72"/>
      <c r="MKR31" s="72"/>
      <c r="MKS31" s="72"/>
      <c r="MKT31" s="72"/>
      <c r="MKU31" s="72"/>
      <c r="MKV31" s="72"/>
      <c r="MKW31" s="72"/>
      <c r="MKX31" s="72"/>
      <c r="MKY31" s="72"/>
      <c r="MKZ31" s="72"/>
      <c r="MLA31" s="72"/>
      <c r="MLB31" s="72"/>
      <c r="MLC31" s="72"/>
      <c r="MLD31" s="72"/>
      <c r="MLE31" s="72"/>
      <c r="MLF31" s="72"/>
      <c r="MLG31" s="72"/>
      <c r="MLH31" s="72"/>
      <c r="MLI31" s="72"/>
      <c r="MLJ31" s="72"/>
      <c r="MLK31" s="72"/>
      <c r="MLL31" s="72"/>
      <c r="MLM31" s="72"/>
      <c r="MLN31" s="72"/>
      <c r="MLO31" s="72"/>
      <c r="MLP31" s="72"/>
      <c r="MLQ31" s="72"/>
      <c r="MLR31" s="72"/>
      <c r="MLS31" s="72"/>
      <c r="MLT31" s="72"/>
      <c r="MLU31" s="72"/>
      <c r="MLV31" s="72"/>
      <c r="MLW31" s="72"/>
      <c r="MLX31" s="72"/>
      <c r="MLY31" s="72"/>
      <c r="MLZ31" s="72"/>
      <c r="MMA31" s="72"/>
      <c r="MMB31" s="72"/>
      <c r="MMC31" s="72"/>
      <c r="MMD31" s="72"/>
      <c r="MME31" s="72"/>
      <c r="MMF31" s="72"/>
      <c r="MMG31" s="72"/>
      <c r="MMH31" s="72"/>
      <c r="MMI31" s="72"/>
      <c r="MMJ31" s="72"/>
      <c r="MMK31" s="72"/>
      <c r="MML31" s="72"/>
      <c r="MMM31" s="72"/>
      <c r="MMN31" s="72"/>
      <c r="MMO31" s="72"/>
      <c r="MMP31" s="72"/>
      <c r="MMQ31" s="72"/>
      <c r="MMR31" s="72"/>
      <c r="MMS31" s="72"/>
      <c r="MMT31" s="72"/>
      <c r="MMU31" s="72"/>
      <c r="MMV31" s="72"/>
      <c r="MMW31" s="72"/>
      <c r="MMX31" s="72"/>
      <c r="MMY31" s="72"/>
      <c r="MMZ31" s="72"/>
      <c r="MNA31" s="72"/>
      <c r="MNB31" s="72"/>
      <c r="MNC31" s="72"/>
      <c r="MND31" s="72"/>
      <c r="MNE31" s="72"/>
      <c r="MNF31" s="72"/>
      <c r="MNG31" s="72"/>
      <c r="MNH31" s="72"/>
      <c r="MNI31" s="72"/>
      <c r="MNJ31" s="72"/>
      <c r="MNK31" s="72"/>
      <c r="MNL31" s="72"/>
      <c r="MNM31" s="72"/>
      <c r="MNN31" s="72"/>
      <c r="MNO31" s="72"/>
      <c r="MNP31" s="72"/>
      <c r="MNQ31" s="72"/>
      <c r="MNR31" s="72"/>
      <c r="MNS31" s="72"/>
      <c r="MNT31" s="72"/>
      <c r="MNU31" s="72"/>
      <c r="MNV31" s="72"/>
      <c r="MNW31" s="72"/>
      <c r="MNX31" s="72"/>
      <c r="MNY31" s="72"/>
      <c r="MNZ31" s="72"/>
      <c r="MOA31" s="72"/>
      <c r="MOB31" s="72"/>
      <c r="MOC31" s="72"/>
      <c r="MOD31" s="72"/>
      <c r="MOE31" s="72"/>
      <c r="MOF31" s="72"/>
      <c r="MOG31" s="72"/>
      <c r="MOH31" s="72"/>
      <c r="MOI31" s="72"/>
      <c r="MOJ31" s="72"/>
      <c r="MOK31" s="72"/>
      <c r="MOL31" s="72"/>
      <c r="MOM31" s="72"/>
      <c r="MON31" s="72"/>
      <c r="MOO31" s="72"/>
      <c r="MOP31" s="72"/>
      <c r="MOQ31" s="72"/>
      <c r="MOR31" s="72"/>
      <c r="MOS31" s="72"/>
      <c r="MOT31" s="72"/>
      <c r="MOU31" s="72"/>
      <c r="MOV31" s="72"/>
      <c r="MOW31" s="72"/>
      <c r="MOX31" s="72"/>
      <c r="MOY31" s="72"/>
      <c r="MOZ31" s="72"/>
      <c r="MPA31" s="72"/>
      <c r="MPB31" s="72"/>
      <c r="MPC31" s="72"/>
      <c r="MPD31" s="72"/>
      <c r="MPE31" s="72"/>
      <c r="MPF31" s="72"/>
      <c r="MPG31" s="72"/>
      <c r="MPH31" s="72"/>
      <c r="MPI31" s="72"/>
      <c r="MPJ31" s="72"/>
      <c r="MPK31" s="72"/>
      <c r="MPL31" s="72"/>
      <c r="MPM31" s="72"/>
      <c r="MPN31" s="72"/>
      <c r="MPO31" s="72"/>
      <c r="MPP31" s="72"/>
      <c r="MPQ31" s="72"/>
      <c r="MPR31" s="72"/>
      <c r="MPS31" s="72"/>
      <c r="MPT31" s="72"/>
      <c r="MPU31" s="72"/>
      <c r="MPV31" s="72"/>
      <c r="MPW31" s="72"/>
      <c r="MPX31" s="72"/>
      <c r="MPY31" s="72"/>
      <c r="MPZ31" s="72"/>
      <c r="MQA31" s="72"/>
      <c r="MQB31" s="72"/>
      <c r="MQC31" s="72"/>
      <c r="MQD31" s="72"/>
      <c r="MQE31" s="72"/>
      <c r="MQF31" s="72"/>
      <c r="MQG31" s="72"/>
      <c r="MQH31" s="72"/>
      <c r="MQI31" s="72"/>
      <c r="MQJ31" s="72"/>
      <c r="MQK31" s="72"/>
      <c r="MQL31" s="72"/>
      <c r="MQM31" s="72"/>
      <c r="MQN31" s="72"/>
      <c r="MQO31" s="72"/>
      <c r="MQP31" s="72"/>
      <c r="MQQ31" s="72"/>
      <c r="MQR31" s="72"/>
      <c r="MQS31" s="72"/>
      <c r="MQT31" s="72"/>
      <c r="MQU31" s="72"/>
      <c r="MQV31" s="72"/>
      <c r="MQW31" s="72"/>
      <c r="MQX31" s="72"/>
      <c r="MQY31" s="72"/>
      <c r="MQZ31" s="72"/>
      <c r="MRA31" s="72"/>
      <c r="MRB31" s="72"/>
      <c r="MRC31" s="72"/>
      <c r="MRD31" s="72"/>
      <c r="MRE31" s="72"/>
      <c r="MRF31" s="72"/>
      <c r="MRG31" s="72"/>
      <c r="MRH31" s="72"/>
      <c r="MRI31" s="72"/>
      <c r="MRJ31" s="72"/>
      <c r="MRK31" s="72"/>
      <c r="MRL31" s="72"/>
      <c r="MRM31" s="72"/>
      <c r="MRN31" s="72"/>
      <c r="MRO31" s="72"/>
      <c r="MRP31" s="72"/>
      <c r="MRQ31" s="72"/>
      <c r="MRR31" s="72"/>
      <c r="MRS31" s="72"/>
      <c r="MRT31" s="72"/>
      <c r="MRU31" s="72"/>
      <c r="MRV31" s="72"/>
      <c r="MRW31" s="72"/>
      <c r="MRX31" s="72"/>
      <c r="MRY31" s="72"/>
      <c r="MRZ31" s="72"/>
      <c r="MSA31" s="72"/>
      <c r="MSB31" s="72"/>
      <c r="MSC31" s="72"/>
      <c r="MSD31" s="72"/>
      <c r="MSE31" s="72"/>
      <c r="MSF31" s="72"/>
      <c r="MSG31" s="72"/>
      <c r="MSH31" s="72"/>
      <c r="MSI31" s="72"/>
      <c r="MSJ31" s="72"/>
      <c r="MSK31" s="72"/>
      <c r="MSL31" s="72"/>
      <c r="MSM31" s="72"/>
      <c r="MSN31" s="72"/>
      <c r="MSO31" s="72"/>
      <c r="MSP31" s="72"/>
      <c r="MSQ31" s="72"/>
      <c r="MSR31" s="72"/>
      <c r="MSS31" s="72"/>
      <c r="MST31" s="72"/>
      <c r="MSU31" s="72"/>
      <c r="MSV31" s="72"/>
      <c r="MSW31" s="72"/>
      <c r="MSX31" s="72"/>
      <c r="MSY31" s="72"/>
      <c r="MSZ31" s="72"/>
      <c r="MTA31" s="72"/>
      <c r="MTB31" s="72"/>
      <c r="MTC31" s="72"/>
      <c r="MTD31" s="72"/>
      <c r="MTE31" s="72"/>
      <c r="MTF31" s="72"/>
      <c r="MTG31" s="72"/>
      <c r="MTH31" s="72"/>
      <c r="MTI31" s="72"/>
      <c r="MTJ31" s="72"/>
      <c r="MTK31" s="72"/>
      <c r="MTL31" s="72"/>
      <c r="MTM31" s="72"/>
      <c r="MTN31" s="72"/>
      <c r="MTO31" s="72"/>
      <c r="MTP31" s="72"/>
      <c r="MTQ31" s="72"/>
      <c r="MTR31" s="72"/>
      <c r="MTS31" s="72"/>
      <c r="MTT31" s="72"/>
      <c r="MTU31" s="72"/>
      <c r="MTV31" s="72"/>
      <c r="MTW31" s="72"/>
      <c r="MTX31" s="72"/>
      <c r="MTY31" s="72"/>
      <c r="MTZ31" s="72"/>
      <c r="MUA31" s="72"/>
      <c r="MUB31" s="72"/>
      <c r="MUC31" s="72"/>
      <c r="MUD31" s="72"/>
      <c r="MUE31" s="72"/>
      <c r="MUF31" s="72"/>
      <c r="MUG31" s="72"/>
      <c r="MUH31" s="72"/>
      <c r="MUI31" s="72"/>
      <c r="MUJ31" s="72"/>
      <c r="MUK31" s="72"/>
      <c r="MUL31" s="72"/>
      <c r="MUM31" s="72"/>
      <c r="MUN31" s="72"/>
      <c r="MUO31" s="72"/>
      <c r="MUP31" s="72"/>
      <c r="MUQ31" s="72"/>
      <c r="MUR31" s="72"/>
      <c r="MUS31" s="72"/>
      <c r="MUT31" s="72"/>
      <c r="MUU31" s="72"/>
      <c r="MUV31" s="72"/>
      <c r="MUW31" s="72"/>
      <c r="MUX31" s="72"/>
      <c r="MUY31" s="72"/>
      <c r="MUZ31" s="72"/>
      <c r="MVA31" s="72"/>
      <c r="MVB31" s="72"/>
      <c r="MVC31" s="72"/>
      <c r="MVD31" s="72"/>
      <c r="MVE31" s="72"/>
      <c r="MVF31" s="72"/>
      <c r="MVG31" s="72"/>
      <c r="MVH31" s="72"/>
      <c r="MVI31" s="72"/>
      <c r="MVJ31" s="72"/>
      <c r="MVK31" s="72"/>
      <c r="MVL31" s="72"/>
      <c r="MVM31" s="72"/>
      <c r="MVN31" s="72"/>
      <c r="MVO31" s="72"/>
      <c r="MVP31" s="72"/>
      <c r="MVQ31" s="72"/>
      <c r="MVR31" s="72"/>
      <c r="MVS31" s="72"/>
      <c r="MVT31" s="72"/>
      <c r="MVU31" s="72"/>
      <c r="MVV31" s="72"/>
      <c r="MVW31" s="72"/>
      <c r="MVX31" s="72"/>
      <c r="MVY31" s="72"/>
      <c r="MVZ31" s="72"/>
      <c r="MWA31" s="72"/>
      <c r="MWB31" s="72"/>
      <c r="MWC31" s="72"/>
      <c r="MWD31" s="72"/>
      <c r="MWE31" s="72"/>
      <c r="MWF31" s="72"/>
      <c r="MWG31" s="72"/>
      <c r="MWH31" s="72"/>
      <c r="MWI31" s="72"/>
      <c r="MWJ31" s="72"/>
      <c r="MWK31" s="72"/>
      <c r="MWL31" s="72"/>
      <c r="MWM31" s="72"/>
      <c r="MWN31" s="72"/>
      <c r="MWO31" s="72"/>
      <c r="MWP31" s="72"/>
      <c r="MWQ31" s="72"/>
      <c r="MWR31" s="72"/>
      <c r="MWS31" s="72"/>
      <c r="MWT31" s="72"/>
      <c r="MWU31" s="72"/>
      <c r="MWV31" s="72"/>
      <c r="MWW31" s="72"/>
      <c r="MWX31" s="72"/>
      <c r="MWY31" s="72"/>
      <c r="MWZ31" s="72"/>
      <c r="MXA31" s="72"/>
      <c r="MXB31" s="72"/>
      <c r="MXC31" s="72"/>
      <c r="MXD31" s="72"/>
      <c r="MXE31" s="72"/>
      <c r="MXF31" s="72"/>
      <c r="MXG31" s="72"/>
      <c r="MXH31" s="72"/>
      <c r="MXI31" s="72"/>
      <c r="MXJ31" s="72"/>
      <c r="MXK31" s="72"/>
      <c r="MXL31" s="72"/>
      <c r="MXM31" s="72"/>
      <c r="MXN31" s="72"/>
      <c r="MXO31" s="72"/>
      <c r="MXP31" s="72"/>
      <c r="MXQ31" s="72"/>
      <c r="MXR31" s="72"/>
      <c r="MXS31" s="72"/>
      <c r="MXT31" s="72"/>
      <c r="MXU31" s="72"/>
      <c r="MXV31" s="72"/>
      <c r="MXW31" s="72"/>
      <c r="MXX31" s="72"/>
      <c r="MXY31" s="72"/>
      <c r="MXZ31" s="72"/>
      <c r="MYA31" s="72"/>
      <c r="MYB31" s="72"/>
      <c r="MYC31" s="72"/>
      <c r="MYD31" s="72"/>
      <c r="MYE31" s="72"/>
      <c r="MYF31" s="72"/>
      <c r="MYG31" s="72"/>
      <c r="MYH31" s="72"/>
      <c r="MYI31" s="72"/>
      <c r="MYJ31" s="72"/>
      <c r="MYK31" s="72"/>
      <c r="MYL31" s="72"/>
      <c r="MYM31" s="72"/>
      <c r="MYN31" s="72"/>
      <c r="MYO31" s="72"/>
      <c r="MYP31" s="72"/>
      <c r="MYQ31" s="72"/>
      <c r="MYR31" s="72"/>
      <c r="MYS31" s="72"/>
      <c r="MYT31" s="72"/>
      <c r="MYU31" s="72"/>
      <c r="MYV31" s="72"/>
      <c r="MYW31" s="72"/>
      <c r="MYX31" s="72"/>
      <c r="MYY31" s="72"/>
      <c r="MYZ31" s="72"/>
      <c r="MZA31" s="72"/>
      <c r="MZB31" s="72"/>
      <c r="MZC31" s="72"/>
      <c r="MZD31" s="72"/>
      <c r="MZE31" s="72"/>
      <c r="MZF31" s="72"/>
      <c r="MZG31" s="72"/>
      <c r="MZH31" s="72"/>
      <c r="MZI31" s="72"/>
      <c r="MZJ31" s="72"/>
      <c r="MZK31" s="72"/>
      <c r="MZL31" s="72"/>
      <c r="MZM31" s="72"/>
      <c r="MZN31" s="72"/>
      <c r="MZO31" s="72"/>
      <c r="MZP31" s="72"/>
      <c r="MZQ31" s="72"/>
      <c r="MZR31" s="72"/>
      <c r="MZS31" s="72"/>
      <c r="MZT31" s="72"/>
      <c r="MZU31" s="72"/>
      <c r="MZV31" s="72"/>
      <c r="MZW31" s="72"/>
      <c r="MZX31" s="72"/>
      <c r="MZY31" s="72"/>
      <c r="MZZ31" s="72"/>
      <c r="NAA31" s="72"/>
      <c r="NAB31" s="72"/>
      <c r="NAC31" s="72"/>
      <c r="NAD31" s="72"/>
      <c r="NAE31" s="72"/>
      <c r="NAF31" s="72"/>
      <c r="NAG31" s="72"/>
      <c r="NAH31" s="72"/>
      <c r="NAI31" s="72"/>
      <c r="NAJ31" s="72"/>
      <c r="NAK31" s="72"/>
      <c r="NAL31" s="72"/>
      <c r="NAM31" s="72"/>
      <c r="NAN31" s="72"/>
      <c r="NAO31" s="72"/>
      <c r="NAP31" s="72"/>
      <c r="NAQ31" s="72"/>
      <c r="NAR31" s="72"/>
      <c r="NAS31" s="72"/>
      <c r="NAT31" s="72"/>
      <c r="NAU31" s="72"/>
      <c r="NAV31" s="72"/>
      <c r="NAW31" s="72"/>
      <c r="NAX31" s="72"/>
      <c r="NAY31" s="72"/>
      <c r="NAZ31" s="72"/>
      <c r="NBA31" s="72"/>
      <c r="NBB31" s="72"/>
      <c r="NBC31" s="72"/>
      <c r="NBD31" s="72"/>
      <c r="NBE31" s="72"/>
      <c r="NBF31" s="72"/>
      <c r="NBG31" s="72"/>
      <c r="NBH31" s="72"/>
      <c r="NBI31" s="72"/>
      <c r="NBJ31" s="72"/>
      <c r="NBK31" s="72"/>
      <c r="NBL31" s="72"/>
      <c r="NBM31" s="72"/>
      <c r="NBN31" s="72"/>
      <c r="NBO31" s="72"/>
      <c r="NBP31" s="72"/>
      <c r="NBQ31" s="72"/>
      <c r="NBR31" s="72"/>
      <c r="NBS31" s="72"/>
      <c r="NBT31" s="72"/>
      <c r="NBU31" s="72"/>
      <c r="NBV31" s="72"/>
      <c r="NBW31" s="72"/>
      <c r="NBX31" s="72"/>
      <c r="NBY31" s="72"/>
      <c r="NBZ31" s="72"/>
      <c r="NCA31" s="72"/>
      <c r="NCB31" s="72"/>
      <c r="NCC31" s="72"/>
      <c r="NCD31" s="72"/>
      <c r="NCE31" s="72"/>
      <c r="NCF31" s="72"/>
      <c r="NCG31" s="72"/>
      <c r="NCH31" s="72"/>
      <c r="NCI31" s="72"/>
      <c r="NCJ31" s="72"/>
      <c r="NCK31" s="72"/>
      <c r="NCL31" s="72"/>
      <c r="NCM31" s="72"/>
      <c r="NCN31" s="72"/>
      <c r="NCO31" s="72"/>
      <c r="NCP31" s="72"/>
      <c r="NCQ31" s="72"/>
      <c r="NCR31" s="72"/>
      <c r="NCS31" s="72"/>
      <c r="NCT31" s="72"/>
      <c r="NCU31" s="72"/>
      <c r="NCV31" s="72"/>
      <c r="NCW31" s="72"/>
      <c r="NCX31" s="72"/>
      <c r="NCY31" s="72"/>
      <c r="NCZ31" s="72"/>
      <c r="NDA31" s="72"/>
      <c r="NDB31" s="72"/>
      <c r="NDC31" s="72"/>
      <c r="NDD31" s="72"/>
      <c r="NDE31" s="72"/>
      <c r="NDF31" s="72"/>
      <c r="NDG31" s="72"/>
      <c r="NDH31" s="72"/>
      <c r="NDI31" s="72"/>
      <c r="NDJ31" s="72"/>
      <c r="NDK31" s="72"/>
      <c r="NDL31" s="72"/>
      <c r="NDM31" s="72"/>
      <c r="NDN31" s="72"/>
      <c r="NDO31" s="72"/>
      <c r="NDP31" s="72"/>
      <c r="NDQ31" s="72"/>
      <c r="NDR31" s="72"/>
      <c r="NDS31" s="72"/>
      <c r="NDT31" s="72"/>
      <c r="NDU31" s="72"/>
      <c r="NDV31" s="72"/>
      <c r="NDW31" s="72"/>
      <c r="NDX31" s="72"/>
      <c r="NDY31" s="72"/>
      <c r="NDZ31" s="72"/>
      <c r="NEA31" s="72"/>
      <c r="NEB31" s="72"/>
      <c r="NEC31" s="72"/>
      <c r="NED31" s="72"/>
      <c r="NEE31" s="72"/>
      <c r="NEF31" s="72"/>
      <c r="NEG31" s="72"/>
      <c r="NEH31" s="72"/>
      <c r="NEI31" s="72"/>
      <c r="NEJ31" s="72"/>
      <c r="NEK31" s="72"/>
      <c r="NEL31" s="72"/>
      <c r="NEM31" s="72"/>
      <c r="NEN31" s="72"/>
      <c r="NEO31" s="72"/>
      <c r="NEP31" s="72"/>
      <c r="NEQ31" s="72"/>
      <c r="NER31" s="72"/>
      <c r="NES31" s="72"/>
      <c r="NET31" s="72"/>
      <c r="NEU31" s="72"/>
      <c r="NEV31" s="72"/>
      <c r="NEW31" s="72"/>
      <c r="NEX31" s="72"/>
      <c r="NEY31" s="72"/>
      <c r="NEZ31" s="72"/>
      <c r="NFA31" s="72"/>
      <c r="NFB31" s="72"/>
      <c r="NFC31" s="72"/>
      <c r="NFD31" s="72"/>
      <c r="NFE31" s="72"/>
      <c r="NFF31" s="72"/>
      <c r="NFG31" s="72"/>
      <c r="NFH31" s="72"/>
      <c r="NFI31" s="72"/>
      <c r="NFJ31" s="72"/>
      <c r="NFK31" s="72"/>
      <c r="NFL31" s="72"/>
      <c r="NFM31" s="72"/>
      <c r="NFN31" s="72"/>
      <c r="NFO31" s="72"/>
      <c r="NFP31" s="72"/>
      <c r="NFQ31" s="72"/>
      <c r="NFR31" s="72"/>
      <c r="NFS31" s="72"/>
      <c r="NFT31" s="72"/>
      <c r="NFU31" s="72"/>
      <c r="NFV31" s="72"/>
      <c r="NFW31" s="72"/>
      <c r="NFX31" s="72"/>
      <c r="NFY31" s="72"/>
      <c r="NFZ31" s="72"/>
      <c r="NGA31" s="72"/>
      <c r="NGB31" s="72"/>
      <c r="NGC31" s="72"/>
      <c r="NGD31" s="72"/>
      <c r="NGE31" s="72"/>
      <c r="NGF31" s="72"/>
      <c r="NGG31" s="72"/>
      <c r="NGH31" s="72"/>
      <c r="NGI31" s="72"/>
      <c r="NGJ31" s="72"/>
      <c r="NGK31" s="72"/>
      <c r="NGL31" s="72"/>
      <c r="NGM31" s="72"/>
      <c r="NGN31" s="72"/>
      <c r="NGO31" s="72"/>
      <c r="NGP31" s="72"/>
      <c r="NGQ31" s="72"/>
      <c r="NGR31" s="72"/>
      <c r="NGS31" s="72"/>
      <c r="NGT31" s="72"/>
      <c r="NGU31" s="72"/>
      <c r="NGV31" s="72"/>
      <c r="NGW31" s="72"/>
      <c r="NGX31" s="72"/>
      <c r="NGY31" s="72"/>
      <c r="NGZ31" s="72"/>
      <c r="NHA31" s="72"/>
      <c r="NHB31" s="72"/>
      <c r="NHC31" s="72"/>
      <c r="NHD31" s="72"/>
      <c r="NHE31" s="72"/>
      <c r="NHF31" s="72"/>
      <c r="NHG31" s="72"/>
      <c r="NHH31" s="72"/>
      <c r="NHI31" s="72"/>
      <c r="NHJ31" s="72"/>
      <c r="NHK31" s="72"/>
      <c r="NHL31" s="72"/>
      <c r="NHM31" s="72"/>
      <c r="NHN31" s="72"/>
      <c r="NHO31" s="72"/>
      <c r="NHP31" s="72"/>
      <c r="NHQ31" s="72"/>
      <c r="NHR31" s="72"/>
      <c r="NHS31" s="72"/>
      <c r="NHT31" s="72"/>
      <c r="NHU31" s="72"/>
      <c r="NHV31" s="72"/>
      <c r="NHW31" s="72"/>
      <c r="NHX31" s="72"/>
      <c r="NHY31" s="72"/>
      <c r="NHZ31" s="72"/>
      <c r="NIA31" s="72"/>
      <c r="NIB31" s="72"/>
      <c r="NIC31" s="72"/>
      <c r="NID31" s="72"/>
      <c r="NIE31" s="72"/>
      <c r="NIF31" s="72"/>
      <c r="NIG31" s="72"/>
      <c r="NIH31" s="72"/>
      <c r="NII31" s="72"/>
      <c r="NIJ31" s="72"/>
      <c r="NIK31" s="72"/>
      <c r="NIL31" s="72"/>
      <c r="NIM31" s="72"/>
      <c r="NIN31" s="72"/>
      <c r="NIO31" s="72"/>
      <c r="NIP31" s="72"/>
      <c r="NIQ31" s="72"/>
      <c r="NIR31" s="72"/>
      <c r="NIS31" s="72"/>
      <c r="NIT31" s="72"/>
      <c r="NIU31" s="72"/>
      <c r="NIV31" s="72"/>
      <c r="NIW31" s="72"/>
      <c r="NIX31" s="72"/>
      <c r="NIY31" s="72"/>
      <c r="NIZ31" s="72"/>
      <c r="NJA31" s="72"/>
      <c r="NJB31" s="72"/>
      <c r="NJC31" s="72"/>
      <c r="NJD31" s="72"/>
      <c r="NJE31" s="72"/>
      <c r="NJF31" s="72"/>
      <c r="NJG31" s="72"/>
      <c r="NJH31" s="72"/>
      <c r="NJI31" s="72"/>
      <c r="NJJ31" s="72"/>
      <c r="NJK31" s="72"/>
      <c r="NJL31" s="72"/>
      <c r="NJM31" s="72"/>
      <c r="NJN31" s="72"/>
      <c r="NJO31" s="72"/>
      <c r="NJP31" s="72"/>
      <c r="NJQ31" s="72"/>
      <c r="NJR31" s="72"/>
      <c r="NJS31" s="72"/>
      <c r="NJT31" s="72"/>
      <c r="NJU31" s="72"/>
      <c r="NJV31" s="72"/>
      <c r="NJW31" s="72"/>
      <c r="NJX31" s="72"/>
      <c r="NJY31" s="72"/>
      <c r="NJZ31" s="72"/>
      <c r="NKA31" s="72"/>
      <c r="NKB31" s="72"/>
      <c r="NKC31" s="72"/>
      <c r="NKD31" s="72"/>
      <c r="NKE31" s="72"/>
      <c r="NKF31" s="72"/>
      <c r="NKG31" s="72"/>
      <c r="NKH31" s="72"/>
      <c r="NKI31" s="72"/>
      <c r="NKJ31" s="72"/>
      <c r="NKK31" s="72"/>
      <c r="NKL31" s="72"/>
      <c r="NKM31" s="72"/>
      <c r="NKN31" s="72"/>
      <c r="NKO31" s="72"/>
      <c r="NKP31" s="72"/>
      <c r="NKQ31" s="72"/>
      <c r="NKR31" s="72"/>
      <c r="NKS31" s="72"/>
      <c r="NKT31" s="72"/>
      <c r="NKU31" s="72"/>
      <c r="NKV31" s="72"/>
      <c r="NKW31" s="72"/>
      <c r="NKX31" s="72"/>
      <c r="NKY31" s="72"/>
      <c r="NKZ31" s="72"/>
      <c r="NLA31" s="72"/>
      <c r="NLB31" s="72"/>
      <c r="NLC31" s="72"/>
      <c r="NLD31" s="72"/>
      <c r="NLE31" s="72"/>
      <c r="NLF31" s="72"/>
      <c r="NLG31" s="72"/>
      <c r="NLH31" s="72"/>
      <c r="NLI31" s="72"/>
      <c r="NLJ31" s="72"/>
      <c r="NLK31" s="72"/>
      <c r="NLL31" s="72"/>
      <c r="NLM31" s="72"/>
      <c r="NLN31" s="72"/>
      <c r="NLO31" s="72"/>
      <c r="NLP31" s="72"/>
      <c r="NLQ31" s="72"/>
      <c r="NLR31" s="72"/>
      <c r="NLS31" s="72"/>
      <c r="NLT31" s="72"/>
      <c r="NLU31" s="72"/>
      <c r="NLV31" s="72"/>
      <c r="NLW31" s="72"/>
      <c r="NLX31" s="72"/>
      <c r="NLY31" s="72"/>
      <c r="NLZ31" s="72"/>
      <c r="NMA31" s="72"/>
      <c r="NMB31" s="72"/>
      <c r="NMC31" s="72"/>
      <c r="NMD31" s="72"/>
      <c r="NME31" s="72"/>
      <c r="NMF31" s="72"/>
      <c r="NMG31" s="72"/>
      <c r="NMH31" s="72"/>
      <c r="NMI31" s="72"/>
      <c r="NMJ31" s="72"/>
      <c r="NMK31" s="72"/>
      <c r="NML31" s="72"/>
      <c r="NMM31" s="72"/>
      <c r="NMN31" s="72"/>
      <c r="NMO31" s="72"/>
      <c r="NMP31" s="72"/>
      <c r="NMQ31" s="72"/>
      <c r="NMR31" s="72"/>
      <c r="NMS31" s="72"/>
      <c r="NMT31" s="72"/>
      <c r="NMU31" s="72"/>
      <c r="NMV31" s="72"/>
      <c r="NMW31" s="72"/>
      <c r="NMX31" s="72"/>
      <c r="NMY31" s="72"/>
      <c r="NMZ31" s="72"/>
      <c r="NNA31" s="72"/>
      <c r="NNB31" s="72"/>
      <c r="NNC31" s="72"/>
      <c r="NND31" s="72"/>
      <c r="NNE31" s="72"/>
      <c r="NNF31" s="72"/>
      <c r="NNG31" s="72"/>
      <c r="NNH31" s="72"/>
      <c r="NNI31" s="72"/>
      <c r="NNJ31" s="72"/>
      <c r="NNK31" s="72"/>
      <c r="NNL31" s="72"/>
      <c r="NNM31" s="72"/>
      <c r="NNN31" s="72"/>
      <c r="NNO31" s="72"/>
      <c r="NNP31" s="72"/>
      <c r="NNQ31" s="72"/>
      <c r="NNR31" s="72"/>
      <c r="NNS31" s="72"/>
      <c r="NNT31" s="72"/>
      <c r="NNU31" s="72"/>
      <c r="NNV31" s="72"/>
      <c r="NNW31" s="72"/>
      <c r="NNX31" s="72"/>
      <c r="NNY31" s="72"/>
      <c r="NNZ31" s="72"/>
      <c r="NOA31" s="72"/>
      <c r="NOB31" s="72"/>
      <c r="NOC31" s="72"/>
      <c r="NOD31" s="72"/>
      <c r="NOE31" s="72"/>
      <c r="NOF31" s="72"/>
      <c r="NOG31" s="72"/>
      <c r="NOH31" s="72"/>
      <c r="NOI31" s="72"/>
      <c r="NOJ31" s="72"/>
      <c r="NOK31" s="72"/>
      <c r="NOL31" s="72"/>
      <c r="NOM31" s="72"/>
      <c r="NON31" s="72"/>
      <c r="NOO31" s="72"/>
      <c r="NOP31" s="72"/>
      <c r="NOQ31" s="72"/>
      <c r="NOR31" s="72"/>
      <c r="NOS31" s="72"/>
      <c r="NOT31" s="72"/>
      <c r="NOU31" s="72"/>
      <c r="NOV31" s="72"/>
      <c r="NOW31" s="72"/>
      <c r="NOX31" s="72"/>
      <c r="NOY31" s="72"/>
      <c r="NOZ31" s="72"/>
      <c r="NPA31" s="72"/>
      <c r="NPB31" s="72"/>
      <c r="NPC31" s="72"/>
      <c r="NPD31" s="72"/>
      <c r="NPE31" s="72"/>
      <c r="NPF31" s="72"/>
      <c r="NPG31" s="72"/>
      <c r="NPH31" s="72"/>
      <c r="NPI31" s="72"/>
      <c r="NPJ31" s="72"/>
      <c r="NPK31" s="72"/>
      <c r="NPL31" s="72"/>
      <c r="NPM31" s="72"/>
      <c r="NPN31" s="72"/>
      <c r="NPO31" s="72"/>
      <c r="NPP31" s="72"/>
      <c r="NPQ31" s="72"/>
      <c r="NPR31" s="72"/>
      <c r="NPS31" s="72"/>
      <c r="NPT31" s="72"/>
      <c r="NPU31" s="72"/>
      <c r="NPV31" s="72"/>
      <c r="NPW31" s="72"/>
      <c r="NPX31" s="72"/>
      <c r="NPY31" s="72"/>
      <c r="NPZ31" s="72"/>
      <c r="NQA31" s="72"/>
      <c r="NQB31" s="72"/>
      <c r="NQC31" s="72"/>
      <c r="NQD31" s="72"/>
      <c r="NQE31" s="72"/>
      <c r="NQF31" s="72"/>
      <c r="NQG31" s="72"/>
      <c r="NQH31" s="72"/>
      <c r="NQI31" s="72"/>
      <c r="NQJ31" s="72"/>
      <c r="NQK31" s="72"/>
      <c r="NQL31" s="72"/>
      <c r="NQM31" s="72"/>
      <c r="NQN31" s="72"/>
      <c r="NQO31" s="72"/>
      <c r="NQP31" s="72"/>
      <c r="NQQ31" s="72"/>
      <c r="NQR31" s="72"/>
      <c r="NQS31" s="72"/>
      <c r="NQT31" s="72"/>
      <c r="NQU31" s="72"/>
      <c r="NQV31" s="72"/>
      <c r="NQW31" s="72"/>
      <c r="NQX31" s="72"/>
      <c r="NQY31" s="72"/>
      <c r="NQZ31" s="72"/>
      <c r="NRA31" s="72"/>
      <c r="NRB31" s="72"/>
      <c r="NRC31" s="72"/>
      <c r="NRD31" s="72"/>
      <c r="NRE31" s="72"/>
      <c r="NRF31" s="72"/>
      <c r="NRG31" s="72"/>
      <c r="NRH31" s="72"/>
      <c r="NRI31" s="72"/>
      <c r="NRJ31" s="72"/>
      <c r="NRK31" s="72"/>
      <c r="NRL31" s="72"/>
      <c r="NRM31" s="72"/>
      <c r="NRN31" s="72"/>
      <c r="NRO31" s="72"/>
      <c r="NRP31" s="72"/>
      <c r="NRQ31" s="72"/>
      <c r="NRR31" s="72"/>
      <c r="NRS31" s="72"/>
      <c r="NRT31" s="72"/>
      <c r="NRU31" s="72"/>
      <c r="NRV31" s="72"/>
      <c r="NRW31" s="72"/>
      <c r="NRX31" s="72"/>
      <c r="NRY31" s="72"/>
      <c r="NRZ31" s="72"/>
      <c r="NSA31" s="72"/>
      <c r="NSB31" s="72"/>
      <c r="NSC31" s="72"/>
      <c r="NSD31" s="72"/>
      <c r="NSE31" s="72"/>
      <c r="NSF31" s="72"/>
      <c r="NSG31" s="72"/>
      <c r="NSH31" s="72"/>
      <c r="NSI31" s="72"/>
      <c r="NSJ31" s="72"/>
      <c r="NSK31" s="72"/>
      <c r="NSL31" s="72"/>
      <c r="NSM31" s="72"/>
      <c r="NSN31" s="72"/>
      <c r="NSO31" s="72"/>
      <c r="NSP31" s="72"/>
      <c r="NSQ31" s="72"/>
      <c r="NSR31" s="72"/>
      <c r="NSS31" s="72"/>
      <c r="NST31" s="72"/>
      <c r="NSU31" s="72"/>
      <c r="NSV31" s="72"/>
      <c r="NSW31" s="72"/>
      <c r="NSX31" s="72"/>
      <c r="NSY31" s="72"/>
      <c r="NSZ31" s="72"/>
      <c r="NTA31" s="72"/>
      <c r="NTB31" s="72"/>
      <c r="NTC31" s="72"/>
      <c r="NTD31" s="72"/>
      <c r="NTE31" s="72"/>
      <c r="NTF31" s="72"/>
      <c r="NTG31" s="72"/>
      <c r="NTH31" s="72"/>
      <c r="NTI31" s="72"/>
      <c r="NTJ31" s="72"/>
      <c r="NTK31" s="72"/>
      <c r="NTL31" s="72"/>
      <c r="NTM31" s="72"/>
      <c r="NTN31" s="72"/>
      <c r="NTO31" s="72"/>
      <c r="NTP31" s="72"/>
      <c r="NTQ31" s="72"/>
      <c r="NTR31" s="72"/>
      <c r="NTS31" s="72"/>
      <c r="NTT31" s="72"/>
      <c r="NTU31" s="72"/>
      <c r="NTV31" s="72"/>
      <c r="NTW31" s="72"/>
      <c r="NTX31" s="72"/>
      <c r="NTY31" s="72"/>
      <c r="NTZ31" s="72"/>
      <c r="NUA31" s="72"/>
      <c r="NUB31" s="72"/>
      <c r="NUC31" s="72"/>
      <c r="NUD31" s="72"/>
      <c r="NUE31" s="72"/>
      <c r="NUF31" s="72"/>
      <c r="NUG31" s="72"/>
      <c r="NUH31" s="72"/>
      <c r="NUI31" s="72"/>
      <c r="NUJ31" s="72"/>
      <c r="NUK31" s="72"/>
      <c r="NUL31" s="72"/>
      <c r="NUM31" s="72"/>
      <c r="NUN31" s="72"/>
      <c r="NUO31" s="72"/>
      <c r="NUP31" s="72"/>
      <c r="NUQ31" s="72"/>
      <c r="NUR31" s="72"/>
      <c r="NUS31" s="72"/>
      <c r="NUT31" s="72"/>
      <c r="NUU31" s="72"/>
      <c r="NUV31" s="72"/>
      <c r="NUW31" s="72"/>
      <c r="NUX31" s="72"/>
      <c r="NUY31" s="72"/>
      <c r="NUZ31" s="72"/>
      <c r="NVA31" s="72"/>
      <c r="NVB31" s="72"/>
      <c r="NVC31" s="72"/>
      <c r="NVD31" s="72"/>
      <c r="NVE31" s="72"/>
      <c r="NVF31" s="72"/>
      <c r="NVG31" s="72"/>
      <c r="NVH31" s="72"/>
      <c r="NVI31" s="72"/>
      <c r="NVJ31" s="72"/>
      <c r="NVK31" s="72"/>
      <c r="NVL31" s="72"/>
      <c r="NVM31" s="72"/>
      <c r="NVN31" s="72"/>
      <c r="NVO31" s="72"/>
      <c r="NVP31" s="72"/>
      <c r="NVQ31" s="72"/>
      <c r="NVR31" s="72"/>
      <c r="NVS31" s="72"/>
      <c r="NVT31" s="72"/>
      <c r="NVU31" s="72"/>
      <c r="NVV31" s="72"/>
      <c r="NVW31" s="72"/>
      <c r="NVX31" s="72"/>
      <c r="NVY31" s="72"/>
      <c r="NVZ31" s="72"/>
      <c r="NWA31" s="72"/>
      <c r="NWB31" s="72"/>
      <c r="NWC31" s="72"/>
      <c r="NWD31" s="72"/>
      <c r="NWE31" s="72"/>
      <c r="NWF31" s="72"/>
      <c r="NWG31" s="72"/>
      <c r="NWH31" s="72"/>
      <c r="NWI31" s="72"/>
      <c r="NWJ31" s="72"/>
      <c r="NWK31" s="72"/>
      <c r="NWL31" s="72"/>
      <c r="NWM31" s="72"/>
      <c r="NWN31" s="72"/>
      <c r="NWO31" s="72"/>
      <c r="NWP31" s="72"/>
      <c r="NWQ31" s="72"/>
      <c r="NWR31" s="72"/>
      <c r="NWS31" s="72"/>
      <c r="NWT31" s="72"/>
      <c r="NWU31" s="72"/>
      <c r="NWV31" s="72"/>
      <c r="NWW31" s="72"/>
      <c r="NWX31" s="72"/>
      <c r="NWY31" s="72"/>
      <c r="NWZ31" s="72"/>
      <c r="NXA31" s="72"/>
      <c r="NXB31" s="72"/>
      <c r="NXC31" s="72"/>
      <c r="NXD31" s="72"/>
      <c r="NXE31" s="72"/>
      <c r="NXF31" s="72"/>
      <c r="NXG31" s="72"/>
      <c r="NXH31" s="72"/>
      <c r="NXI31" s="72"/>
      <c r="NXJ31" s="72"/>
      <c r="NXK31" s="72"/>
      <c r="NXL31" s="72"/>
      <c r="NXM31" s="72"/>
      <c r="NXN31" s="72"/>
      <c r="NXO31" s="72"/>
      <c r="NXP31" s="72"/>
      <c r="NXQ31" s="72"/>
      <c r="NXR31" s="72"/>
      <c r="NXS31" s="72"/>
      <c r="NXT31" s="72"/>
      <c r="NXU31" s="72"/>
      <c r="NXV31" s="72"/>
      <c r="NXW31" s="72"/>
      <c r="NXX31" s="72"/>
      <c r="NXY31" s="72"/>
      <c r="NXZ31" s="72"/>
      <c r="NYA31" s="72"/>
      <c r="NYB31" s="72"/>
      <c r="NYC31" s="72"/>
      <c r="NYD31" s="72"/>
      <c r="NYE31" s="72"/>
      <c r="NYF31" s="72"/>
      <c r="NYG31" s="72"/>
      <c r="NYH31" s="72"/>
      <c r="NYI31" s="72"/>
      <c r="NYJ31" s="72"/>
      <c r="NYK31" s="72"/>
      <c r="NYL31" s="72"/>
      <c r="NYM31" s="72"/>
      <c r="NYN31" s="72"/>
      <c r="NYO31" s="72"/>
      <c r="NYP31" s="72"/>
      <c r="NYQ31" s="72"/>
      <c r="NYR31" s="72"/>
      <c r="NYS31" s="72"/>
      <c r="NYT31" s="72"/>
      <c r="NYU31" s="72"/>
      <c r="NYV31" s="72"/>
      <c r="NYW31" s="72"/>
      <c r="NYX31" s="72"/>
      <c r="NYY31" s="72"/>
      <c r="NYZ31" s="72"/>
      <c r="NZA31" s="72"/>
      <c r="NZB31" s="72"/>
      <c r="NZC31" s="72"/>
      <c r="NZD31" s="72"/>
      <c r="NZE31" s="72"/>
      <c r="NZF31" s="72"/>
      <c r="NZG31" s="72"/>
      <c r="NZH31" s="72"/>
      <c r="NZI31" s="72"/>
      <c r="NZJ31" s="72"/>
      <c r="NZK31" s="72"/>
      <c r="NZL31" s="72"/>
      <c r="NZM31" s="72"/>
      <c r="NZN31" s="72"/>
      <c r="NZO31" s="72"/>
      <c r="NZP31" s="72"/>
      <c r="NZQ31" s="72"/>
      <c r="NZR31" s="72"/>
      <c r="NZS31" s="72"/>
      <c r="NZT31" s="72"/>
      <c r="NZU31" s="72"/>
      <c r="NZV31" s="72"/>
      <c r="NZW31" s="72"/>
      <c r="NZX31" s="72"/>
      <c r="NZY31" s="72"/>
      <c r="NZZ31" s="72"/>
      <c r="OAA31" s="72"/>
      <c r="OAB31" s="72"/>
      <c r="OAC31" s="72"/>
      <c r="OAD31" s="72"/>
      <c r="OAE31" s="72"/>
      <c r="OAF31" s="72"/>
      <c r="OAG31" s="72"/>
      <c r="OAH31" s="72"/>
      <c r="OAI31" s="72"/>
      <c r="OAJ31" s="72"/>
      <c r="OAK31" s="72"/>
      <c r="OAL31" s="72"/>
      <c r="OAM31" s="72"/>
      <c r="OAN31" s="72"/>
      <c r="OAO31" s="72"/>
      <c r="OAP31" s="72"/>
      <c r="OAQ31" s="72"/>
      <c r="OAR31" s="72"/>
      <c r="OAS31" s="72"/>
      <c r="OAT31" s="72"/>
      <c r="OAU31" s="72"/>
      <c r="OAV31" s="72"/>
      <c r="OAW31" s="72"/>
      <c r="OAX31" s="72"/>
      <c r="OAY31" s="72"/>
      <c r="OAZ31" s="72"/>
      <c r="OBA31" s="72"/>
      <c r="OBB31" s="72"/>
      <c r="OBC31" s="72"/>
      <c r="OBD31" s="72"/>
      <c r="OBE31" s="72"/>
      <c r="OBF31" s="72"/>
      <c r="OBG31" s="72"/>
      <c r="OBH31" s="72"/>
      <c r="OBI31" s="72"/>
      <c r="OBJ31" s="72"/>
      <c r="OBK31" s="72"/>
      <c r="OBL31" s="72"/>
      <c r="OBM31" s="72"/>
      <c r="OBN31" s="72"/>
      <c r="OBO31" s="72"/>
      <c r="OBP31" s="72"/>
      <c r="OBQ31" s="72"/>
      <c r="OBR31" s="72"/>
      <c r="OBS31" s="72"/>
      <c r="OBT31" s="72"/>
      <c r="OBU31" s="72"/>
      <c r="OBV31" s="72"/>
      <c r="OBW31" s="72"/>
      <c r="OBX31" s="72"/>
      <c r="OBY31" s="72"/>
      <c r="OBZ31" s="72"/>
      <c r="OCA31" s="72"/>
      <c r="OCB31" s="72"/>
      <c r="OCC31" s="72"/>
      <c r="OCD31" s="72"/>
      <c r="OCE31" s="72"/>
      <c r="OCF31" s="72"/>
      <c r="OCG31" s="72"/>
      <c r="OCH31" s="72"/>
      <c r="OCI31" s="72"/>
      <c r="OCJ31" s="72"/>
      <c r="OCK31" s="72"/>
      <c r="OCL31" s="72"/>
      <c r="OCM31" s="72"/>
      <c r="OCN31" s="72"/>
      <c r="OCO31" s="72"/>
      <c r="OCP31" s="72"/>
      <c r="OCQ31" s="72"/>
      <c r="OCR31" s="72"/>
      <c r="OCS31" s="72"/>
      <c r="OCT31" s="72"/>
      <c r="OCU31" s="72"/>
      <c r="OCV31" s="72"/>
      <c r="OCW31" s="72"/>
      <c r="OCX31" s="72"/>
      <c r="OCY31" s="72"/>
      <c r="OCZ31" s="72"/>
      <c r="ODA31" s="72"/>
      <c r="ODB31" s="72"/>
      <c r="ODC31" s="72"/>
      <c r="ODD31" s="72"/>
      <c r="ODE31" s="72"/>
      <c r="ODF31" s="72"/>
      <c r="ODG31" s="72"/>
      <c r="ODH31" s="72"/>
      <c r="ODI31" s="72"/>
      <c r="ODJ31" s="72"/>
      <c r="ODK31" s="72"/>
      <c r="ODL31" s="72"/>
      <c r="ODM31" s="72"/>
      <c r="ODN31" s="72"/>
      <c r="ODO31" s="72"/>
      <c r="ODP31" s="72"/>
      <c r="ODQ31" s="72"/>
      <c r="ODR31" s="72"/>
      <c r="ODS31" s="72"/>
      <c r="ODT31" s="72"/>
      <c r="ODU31" s="72"/>
      <c r="ODV31" s="72"/>
      <c r="ODW31" s="72"/>
      <c r="ODX31" s="72"/>
      <c r="ODY31" s="72"/>
      <c r="ODZ31" s="72"/>
      <c r="OEA31" s="72"/>
      <c r="OEB31" s="72"/>
      <c r="OEC31" s="72"/>
      <c r="OED31" s="72"/>
      <c r="OEE31" s="72"/>
      <c r="OEF31" s="72"/>
      <c r="OEG31" s="72"/>
      <c r="OEH31" s="72"/>
      <c r="OEI31" s="72"/>
      <c r="OEJ31" s="72"/>
      <c r="OEK31" s="72"/>
      <c r="OEL31" s="72"/>
      <c r="OEM31" s="72"/>
      <c r="OEN31" s="72"/>
      <c r="OEO31" s="72"/>
      <c r="OEP31" s="72"/>
      <c r="OEQ31" s="72"/>
      <c r="OER31" s="72"/>
      <c r="OES31" s="72"/>
      <c r="OET31" s="72"/>
      <c r="OEU31" s="72"/>
      <c r="OEV31" s="72"/>
      <c r="OEW31" s="72"/>
      <c r="OEX31" s="72"/>
      <c r="OEY31" s="72"/>
      <c r="OEZ31" s="72"/>
      <c r="OFA31" s="72"/>
      <c r="OFB31" s="72"/>
      <c r="OFC31" s="72"/>
      <c r="OFD31" s="72"/>
      <c r="OFE31" s="72"/>
      <c r="OFF31" s="72"/>
      <c r="OFG31" s="72"/>
      <c r="OFH31" s="72"/>
      <c r="OFI31" s="72"/>
      <c r="OFJ31" s="72"/>
      <c r="OFK31" s="72"/>
      <c r="OFL31" s="72"/>
      <c r="OFM31" s="72"/>
      <c r="OFN31" s="72"/>
      <c r="OFO31" s="72"/>
      <c r="OFP31" s="72"/>
      <c r="OFQ31" s="72"/>
      <c r="OFR31" s="72"/>
      <c r="OFS31" s="72"/>
      <c r="OFT31" s="72"/>
      <c r="OFU31" s="72"/>
      <c r="OFV31" s="72"/>
      <c r="OFW31" s="72"/>
      <c r="OFX31" s="72"/>
      <c r="OFY31" s="72"/>
      <c r="OFZ31" s="72"/>
      <c r="OGA31" s="72"/>
      <c r="OGB31" s="72"/>
      <c r="OGC31" s="72"/>
      <c r="OGD31" s="72"/>
      <c r="OGE31" s="72"/>
      <c r="OGF31" s="72"/>
      <c r="OGG31" s="72"/>
      <c r="OGH31" s="72"/>
      <c r="OGI31" s="72"/>
      <c r="OGJ31" s="72"/>
      <c r="OGK31" s="72"/>
      <c r="OGL31" s="72"/>
      <c r="OGM31" s="72"/>
      <c r="OGN31" s="72"/>
      <c r="OGO31" s="72"/>
      <c r="OGP31" s="72"/>
      <c r="OGQ31" s="72"/>
      <c r="OGR31" s="72"/>
      <c r="OGS31" s="72"/>
      <c r="OGT31" s="72"/>
      <c r="OGU31" s="72"/>
      <c r="OGV31" s="72"/>
      <c r="OGW31" s="72"/>
      <c r="OGX31" s="72"/>
      <c r="OGY31" s="72"/>
      <c r="OGZ31" s="72"/>
      <c r="OHA31" s="72"/>
      <c r="OHB31" s="72"/>
      <c r="OHC31" s="72"/>
      <c r="OHD31" s="72"/>
      <c r="OHE31" s="72"/>
      <c r="OHF31" s="72"/>
      <c r="OHG31" s="72"/>
      <c r="OHH31" s="72"/>
      <c r="OHI31" s="72"/>
      <c r="OHJ31" s="72"/>
      <c r="OHK31" s="72"/>
      <c r="OHL31" s="72"/>
      <c r="OHM31" s="72"/>
      <c r="OHN31" s="72"/>
      <c r="OHO31" s="72"/>
      <c r="OHP31" s="72"/>
      <c r="OHQ31" s="72"/>
      <c r="OHR31" s="72"/>
      <c r="OHS31" s="72"/>
      <c r="OHT31" s="72"/>
      <c r="OHU31" s="72"/>
      <c r="OHV31" s="72"/>
      <c r="OHW31" s="72"/>
      <c r="OHX31" s="72"/>
      <c r="OHY31" s="72"/>
      <c r="OHZ31" s="72"/>
      <c r="OIA31" s="72"/>
      <c r="OIB31" s="72"/>
      <c r="OIC31" s="72"/>
      <c r="OID31" s="72"/>
      <c r="OIE31" s="72"/>
      <c r="OIF31" s="72"/>
      <c r="OIG31" s="72"/>
      <c r="OIH31" s="72"/>
      <c r="OII31" s="72"/>
      <c r="OIJ31" s="72"/>
      <c r="OIK31" s="72"/>
      <c r="OIL31" s="72"/>
      <c r="OIM31" s="72"/>
      <c r="OIN31" s="72"/>
      <c r="OIO31" s="72"/>
      <c r="OIP31" s="72"/>
      <c r="OIQ31" s="72"/>
      <c r="OIR31" s="72"/>
      <c r="OIS31" s="72"/>
      <c r="OIT31" s="72"/>
      <c r="OIU31" s="72"/>
      <c r="OIV31" s="72"/>
      <c r="OIW31" s="72"/>
      <c r="OIX31" s="72"/>
      <c r="OIY31" s="72"/>
      <c r="OIZ31" s="72"/>
      <c r="OJA31" s="72"/>
      <c r="OJB31" s="72"/>
      <c r="OJC31" s="72"/>
      <c r="OJD31" s="72"/>
      <c r="OJE31" s="72"/>
      <c r="OJF31" s="72"/>
      <c r="OJG31" s="72"/>
      <c r="OJH31" s="72"/>
      <c r="OJI31" s="72"/>
      <c r="OJJ31" s="72"/>
      <c r="OJK31" s="72"/>
      <c r="OJL31" s="72"/>
      <c r="OJM31" s="72"/>
      <c r="OJN31" s="72"/>
      <c r="OJO31" s="72"/>
      <c r="OJP31" s="72"/>
      <c r="OJQ31" s="72"/>
      <c r="OJR31" s="72"/>
      <c r="OJS31" s="72"/>
      <c r="OJT31" s="72"/>
      <c r="OJU31" s="72"/>
      <c r="OJV31" s="72"/>
      <c r="OJW31" s="72"/>
      <c r="OJX31" s="72"/>
      <c r="OJY31" s="72"/>
      <c r="OJZ31" s="72"/>
      <c r="OKA31" s="72"/>
      <c r="OKB31" s="72"/>
      <c r="OKC31" s="72"/>
      <c r="OKD31" s="72"/>
      <c r="OKE31" s="72"/>
      <c r="OKF31" s="72"/>
      <c r="OKG31" s="72"/>
      <c r="OKH31" s="72"/>
      <c r="OKI31" s="72"/>
      <c r="OKJ31" s="72"/>
      <c r="OKK31" s="72"/>
      <c r="OKL31" s="72"/>
      <c r="OKM31" s="72"/>
      <c r="OKN31" s="72"/>
      <c r="OKO31" s="72"/>
      <c r="OKP31" s="72"/>
      <c r="OKQ31" s="72"/>
      <c r="OKR31" s="72"/>
      <c r="OKS31" s="72"/>
      <c r="OKT31" s="72"/>
      <c r="OKU31" s="72"/>
      <c r="OKV31" s="72"/>
      <c r="OKW31" s="72"/>
      <c r="OKX31" s="72"/>
      <c r="OKY31" s="72"/>
      <c r="OKZ31" s="72"/>
      <c r="OLA31" s="72"/>
      <c r="OLB31" s="72"/>
      <c r="OLC31" s="72"/>
      <c r="OLD31" s="72"/>
      <c r="OLE31" s="72"/>
      <c r="OLF31" s="72"/>
      <c r="OLG31" s="72"/>
      <c r="OLH31" s="72"/>
      <c r="OLI31" s="72"/>
      <c r="OLJ31" s="72"/>
      <c r="OLK31" s="72"/>
      <c r="OLL31" s="72"/>
      <c r="OLM31" s="72"/>
      <c r="OLN31" s="72"/>
      <c r="OLO31" s="72"/>
      <c r="OLP31" s="72"/>
      <c r="OLQ31" s="72"/>
      <c r="OLR31" s="72"/>
      <c r="OLS31" s="72"/>
      <c r="OLT31" s="72"/>
      <c r="OLU31" s="72"/>
      <c r="OLV31" s="72"/>
      <c r="OLW31" s="72"/>
      <c r="OLX31" s="72"/>
      <c r="OLY31" s="72"/>
      <c r="OLZ31" s="72"/>
      <c r="OMA31" s="72"/>
      <c r="OMB31" s="72"/>
      <c r="OMC31" s="72"/>
      <c r="OMD31" s="72"/>
      <c r="OME31" s="72"/>
      <c r="OMF31" s="72"/>
      <c r="OMG31" s="72"/>
      <c r="OMH31" s="72"/>
      <c r="OMI31" s="72"/>
      <c r="OMJ31" s="72"/>
      <c r="OMK31" s="72"/>
      <c r="OML31" s="72"/>
      <c r="OMM31" s="72"/>
      <c r="OMN31" s="72"/>
      <c r="OMO31" s="72"/>
      <c r="OMP31" s="72"/>
      <c r="OMQ31" s="72"/>
      <c r="OMR31" s="72"/>
      <c r="OMS31" s="72"/>
      <c r="OMT31" s="72"/>
      <c r="OMU31" s="72"/>
      <c r="OMV31" s="72"/>
      <c r="OMW31" s="72"/>
      <c r="OMX31" s="72"/>
      <c r="OMY31" s="72"/>
      <c r="OMZ31" s="72"/>
      <c r="ONA31" s="72"/>
      <c r="ONB31" s="72"/>
      <c r="ONC31" s="72"/>
      <c r="OND31" s="72"/>
      <c r="ONE31" s="72"/>
      <c r="ONF31" s="72"/>
      <c r="ONG31" s="72"/>
      <c r="ONH31" s="72"/>
      <c r="ONI31" s="72"/>
      <c r="ONJ31" s="72"/>
      <c r="ONK31" s="72"/>
      <c r="ONL31" s="72"/>
      <c r="ONM31" s="72"/>
      <c r="ONN31" s="72"/>
      <c r="ONO31" s="72"/>
      <c r="ONP31" s="72"/>
      <c r="ONQ31" s="72"/>
      <c r="ONR31" s="72"/>
      <c r="ONS31" s="72"/>
      <c r="ONT31" s="72"/>
      <c r="ONU31" s="72"/>
      <c r="ONV31" s="72"/>
      <c r="ONW31" s="72"/>
      <c r="ONX31" s="72"/>
      <c r="ONY31" s="72"/>
      <c r="ONZ31" s="72"/>
      <c r="OOA31" s="72"/>
      <c r="OOB31" s="72"/>
      <c r="OOC31" s="72"/>
      <c r="OOD31" s="72"/>
      <c r="OOE31" s="72"/>
      <c r="OOF31" s="72"/>
      <c r="OOG31" s="72"/>
      <c r="OOH31" s="72"/>
      <c r="OOI31" s="72"/>
      <c r="OOJ31" s="72"/>
      <c r="OOK31" s="72"/>
      <c r="OOL31" s="72"/>
      <c r="OOM31" s="72"/>
      <c r="OON31" s="72"/>
      <c r="OOO31" s="72"/>
      <c r="OOP31" s="72"/>
      <c r="OOQ31" s="72"/>
      <c r="OOR31" s="72"/>
      <c r="OOS31" s="72"/>
      <c r="OOT31" s="72"/>
      <c r="OOU31" s="72"/>
      <c r="OOV31" s="72"/>
      <c r="OOW31" s="72"/>
      <c r="OOX31" s="72"/>
      <c r="OOY31" s="72"/>
      <c r="OOZ31" s="72"/>
      <c r="OPA31" s="72"/>
      <c r="OPB31" s="72"/>
      <c r="OPC31" s="72"/>
      <c r="OPD31" s="72"/>
      <c r="OPE31" s="72"/>
      <c r="OPF31" s="72"/>
      <c r="OPG31" s="72"/>
      <c r="OPH31" s="72"/>
      <c r="OPI31" s="72"/>
      <c r="OPJ31" s="72"/>
      <c r="OPK31" s="72"/>
      <c r="OPL31" s="72"/>
      <c r="OPM31" s="72"/>
      <c r="OPN31" s="72"/>
      <c r="OPO31" s="72"/>
      <c r="OPP31" s="72"/>
      <c r="OPQ31" s="72"/>
      <c r="OPR31" s="72"/>
      <c r="OPS31" s="72"/>
      <c r="OPT31" s="72"/>
      <c r="OPU31" s="72"/>
      <c r="OPV31" s="72"/>
      <c r="OPW31" s="72"/>
      <c r="OPX31" s="72"/>
      <c r="OPY31" s="72"/>
      <c r="OPZ31" s="72"/>
      <c r="OQA31" s="72"/>
      <c r="OQB31" s="72"/>
      <c r="OQC31" s="72"/>
      <c r="OQD31" s="72"/>
      <c r="OQE31" s="72"/>
      <c r="OQF31" s="72"/>
      <c r="OQG31" s="72"/>
      <c r="OQH31" s="72"/>
      <c r="OQI31" s="72"/>
      <c r="OQJ31" s="72"/>
      <c r="OQK31" s="72"/>
      <c r="OQL31" s="72"/>
      <c r="OQM31" s="72"/>
      <c r="OQN31" s="72"/>
      <c r="OQO31" s="72"/>
      <c r="OQP31" s="72"/>
      <c r="OQQ31" s="72"/>
      <c r="OQR31" s="72"/>
      <c r="OQS31" s="72"/>
      <c r="OQT31" s="72"/>
      <c r="OQU31" s="72"/>
      <c r="OQV31" s="72"/>
      <c r="OQW31" s="72"/>
      <c r="OQX31" s="72"/>
      <c r="OQY31" s="72"/>
      <c r="OQZ31" s="72"/>
      <c r="ORA31" s="72"/>
      <c r="ORB31" s="72"/>
      <c r="ORC31" s="72"/>
      <c r="ORD31" s="72"/>
      <c r="ORE31" s="72"/>
      <c r="ORF31" s="72"/>
      <c r="ORG31" s="72"/>
      <c r="ORH31" s="72"/>
      <c r="ORI31" s="72"/>
      <c r="ORJ31" s="72"/>
      <c r="ORK31" s="72"/>
      <c r="ORL31" s="72"/>
      <c r="ORM31" s="72"/>
      <c r="ORN31" s="72"/>
      <c r="ORO31" s="72"/>
      <c r="ORP31" s="72"/>
      <c r="ORQ31" s="72"/>
      <c r="ORR31" s="72"/>
      <c r="ORS31" s="72"/>
      <c r="ORT31" s="72"/>
      <c r="ORU31" s="72"/>
      <c r="ORV31" s="72"/>
      <c r="ORW31" s="72"/>
      <c r="ORX31" s="72"/>
      <c r="ORY31" s="72"/>
      <c r="ORZ31" s="72"/>
      <c r="OSA31" s="72"/>
      <c r="OSB31" s="72"/>
      <c r="OSC31" s="72"/>
      <c r="OSD31" s="72"/>
      <c r="OSE31" s="72"/>
      <c r="OSF31" s="72"/>
      <c r="OSG31" s="72"/>
      <c r="OSH31" s="72"/>
      <c r="OSI31" s="72"/>
      <c r="OSJ31" s="72"/>
      <c r="OSK31" s="72"/>
      <c r="OSL31" s="72"/>
      <c r="OSM31" s="72"/>
      <c r="OSN31" s="72"/>
      <c r="OSO31" s="72"/>
      <c r="OSP31" s="72"/>
      <c r="OSQ31" s="72"/>
      <c r="OSR31" s="72"/>
      <c r="OSS31" s="72"/>
      <c r="OST31" s="72"/>
      <c r="OSU31" s="72"/>
      <c r="OSV31" s="72"/>
      <c r="OSW31" s="72"/>
      <c r="OSX31" s="72"/>
      <c r="OSY31" s="72"/>
      <c r="OSZ31" s="72"/>
      <c r="OTA31" s="72"/>
      <c r="OTB31" s="72"/>
      <c r="OTC31" s="72"/>
      <c r="OTD31" s="72"/>
      <c r="OTE31" s="72"/>
      <c r="OTF31" s="72"/>
      <c r="OTG31" s="72"/>
      <c r="OTH31" s="72"/>
      <c r="OTI31" s="72"/>
      <c r="OTJ31" s="72"/>
      <c r="OTK31" s="72"/>
      <c r="OTL31" s="72"/>
      <c r="OTM31" s="72"/>
      <c r="OTN31" s="72"/>
      <c r="OTO31" s="72"/>
      <c r="OTP31" s="72"/>
      <c r="OTQ31" s="72"/>
      <c r="OTR31" s="72"/>
      <c r="OTS31" s="72"/>
      <c r="OTT31" s="72"/>
      <c r="OTU31" s="72"/>
      <c r="OTV31" s="72"/>
      <c r="OTW31" s="72"/>
      <c r="OTX31" s="72"/>
      <c r="OTY31" s="72"/>
      <c r="OTZ31" s="72"/>
      <c r="OUA31" s="72"/>
      <c r="OUB31" s="72"/>
      <c r="OUC31" s="72"/>
      <c r="OUD31" s="72"/>
      <c r="OUE31" s="72"/>
      <c r="OUF31" s="72"/>
      <c r="OUG31" s="72"/>
      <c r="OUH31" s="72"/>
      <c r="OUI31" s="72"/>
      <c r="OUJ31" s="72"/>
      <c r="OUK31" s="72"/>
      <c r="OUL31" s="72"/>
      <c r="OUM31" s="72"/>
      <c r="OUN31" s="72"/>
      <c r="OUO31" s="72"/>
      <c r="OUP31" s="72"/>
      <c r="OUQ31" s="72"/>
      <c r="OUR31" s="72"/>
      <c r="OUS31" s="72"/>
      <c r="OUT31" s="72"/>
      <c r="OUU31" s="72"/>
      <c r="OUV31" s="72"/>
      <c r="OUW31" s="72"/>
      <c r="OUX31" s="72"/>
      <c r="OUY31" s="72"/>
      <c r="OUZ31" s="72"/>
      <c r="OVA31" s="72"/>
      <c r="OVB31" s="72"/>
      <c r="OVC31" s="72"/>
      <c r="OVD31" s="72"/>
      <c r="OVE31" s="72"/>
      <c r="OVF31" s="72"/>
      <c r="OVG31" s="72"/>
      <c r="OVH31" s="72"/>
      <c r="OVI31" s="72"/>
      <c r="OVJ31" s="72"/>
      <c r="OVK31" s="72"/>
      <c r="OVL31" s="72"/>
      <c r="OVM31" s="72"/>
      <c r="OVN31" s="72"/>
      <c r="OVO31" s="72"/>
      <c r="OVP31" s="72"/>
      <c r="OVQ31" s="72"/>
      <c r="OVR31" s="72"/>
      <c r="OVS31" s="72"/>
      <c r="OVT31" s="72"/>
      <c r="OVU31" s="72"/>
      <c r="OVV31" s="72"/>
      <c r="OVW31" s="72"/>
      <c r="OVX31" s="72"/>
      <c r="OVY31" s="72"/>
      <c r="OVZ31" s="72"/>
      <c r="OWA31" s="72"/>
      <c r="OWB31" s="72"/>
      <c r="OWC31" s="72"/>
      <c r="OWD31" s="72"/>
      <c r="OWE31" s="72"/>
      <c r="OWF31" s="72"/>
      <c r="OWG31" s="72"/>
      <c r="OWH31" s="72"/>
      <c r="OWI31" s="72"/>
      <c r="OWJ31" s="72"/>
      <c r="OWK31" s="72"/>
      <c r="OWL31" s="72"/>
      <c r="OWM31" s="72"/>
      <c r="OWN31" s="72"/>
      <c r="OWO31" s="72"/>
      <c r="OWP31" s="72"/>
      <c r="OWQ31" s="72"/>
      <c r="OWR31" s="72"/>
      <c r="OWS31" s="72"/>
      <c r="OWT31" s="72"/>
      <c r="OWU31" s="72"/>
      <c r="OWV31" s="72"/>
      <c r="OWW31" s="72"/>
      <c r="OWX31" s="72"/>
      <c r="OWY31" s="72"/>
      <c r="OWZ31" s="72"/>
      <c r="OXA31" s="72"/>
      <c r="OXB31" s="72"/>
      <c r="OXC31" s="72"/>
      <c r="OXD31" s="72"/>
      <c r="OXE31" s="72"/>
      <c r="OXF31" s="72"/>
      <c r="OXG31" s="72"/>
      <c r="OXH31" s="72"/>
      <c r="OXI31" s="72"/>
      <c r="OXJ31" s="72"/>
      <c r="OXK31" s="72"/>
      <c r="OXL31" s="72"/>
      <c r="OXM31" s="72"/>
      <c r="OXN31" s="72"/>
      <c r="OXO31" s="72"/>
      <c r="OXP31" s="72"/>
      <c r="OXQ31" s="72"/>
      <c r="OXR31" s="72"/>
      <c r="OXS31" s="72"/>
      <c r="OXT31" s="72"/>
      <c r="OXU31" s="72"/>
      <c r="OXV31" s="72"/>
      <c r="OXW31" s="72"/>
      <c r="OXX31" s="72"/>
      <c r="OXY31" s="72"/>
      <c r="OXZ31" s="72"/>
      <c r="OYA31" s="72"/>
      <c r="OYB31" s="72"/>
      <c r="OYC31" s="72"/>
      <c r="OYD31" s="72"/>
      <c r="OYE31" s="72"/>
      <c r="OYF31" s="72"/>
      <c r="OYG31" s="72"/>
      <c r="OYH31" s="72"/>
      <c r="OYI31" s="72"/>
      <c r="OYJ31" s="72"/>
      <c r="OYK31" s="72"/>
      <c r="OYL31" s="72"/>
      <c r="OYM31" s="72"/>
      <c r="OYN31" s="72"/>
      <c r="OYO31" s="72"/>
      <c r="OYP31" s="72"/>
      <c r="OYQ31" s="72"/>
      <c r="OYR31" s="72"/>
      <c r="OYS31" s="72"/>
      <c r="OYT31" s="72"/>
      <c r="OYU31" s="72"/>
      <c r="OYV31" s="72"/>
      <c r="OYW31" s="72"/>
      <c r="OYX31" s="72"/>
      <c r="OYY31" s="72"/>
      <c r="OYZ31" s="72"/>
      <c r="OZA31" s="72"/>
      <c r="OZB31" s="72"/>
      <c r="OZC31" s="72"/>
      <c r="OZD31" s="72"/>
      <c r="OZE31" s="72"/>
      <c r="OZF31" s="72"/>
      <c r="OZG31" s="72"/>
      <c r="OZH31" s="72"/>
      <c r="OZI31" s="72"/>
      <c r="OZJ31" s="72"/>
      <c r="OZK31" s="72"/>
      <c r="OZL31" s="72"/>
      <c r="OZM31" s="72"/>
      <c r="OZN31" s="72"/>
      <c r="OZO31" s="72"/>
      <c r="OZP31" s="72"/>
      <c r="OZQ31" s="72"/>
      <c r="OZR31" s="72"/>
      <c r="OZS31" s="72"/>
      <c r="OZT31" s="72"/>
      <c r="OZU31" s="72"/>
      <c r="OZV31" s="72"/>
      <c r="OZW31" s="72"/>
      <c r="OZX31" s="72"/>
      <c r="OZY31" s="72"/>
      <c r="OZZ31" s="72"/>
      <c r="PAA31" s="72"/>
      <c r="PAB31" s="72"/>
      <c r="PAC31" s="72"/>
      <c r="PAD31" s="72"/>
      <c r="PAE31" s="72"/>
      <c r="PAF31" s="72"/>
      <c r="PAG31" s="72"/>
      <c r="PAH31" s="72"/>
      <c r="PAI31" s="72"/>
      <c r="PAJ31" s="72"/>
      <c r="PAK31" s="72"/>
      <c r="PAL31" s="72"/>
      <c r="PAM31" s="72"/>
      <c r="PAN31" s="72"/>
      <c r="PAO31" s="72"/>
      <c r="PAP31" s="72"/>
      <c r="PAQ31" s="72"/>
      <c r="PAR31" s="72"/>
      <c r="PAS31" s="72"/>
      <c r="PAT31" s="72"/>
      <c r="PAU31" s="72"/>
      <c r="PAV31" s="72"/>
      <c r="PAW31" s="72"/>
      <c r="PAX31" s="72"/>
      <c r="PAY31" s="72"/>
      <c r="PAZ31" s="72"/>
      <c r="PBA31" s="72"/>
      <c r="PBB31" s="72"/>
      <c r="PBC31" s="72"/>
      <c r="PBD31" s="72"/>
      <c r="PBE31" s="72"/>
      <c r="PBF31" s="72"/>
      <c r="PBG31" s="72"/>
      <c r="PBH31" s="72"/>
      <c r="PBI31" s="72"/>
      <c r="PBJ31" s="72"/>
      <c r="PBK31" s="72"/>
      <c r="PBL31" s="72"/>
      <c r="PBM31" s="72"/>
      <c r="PBN31" s="72"/>
      <c r="PBO31" s="72"/>
      <c r="PBP31" s="72"/>
      <c r="PBQ31" s="72"/>
      <c r="PBR31" s="72"/>
      <c r="PBS31" s="72"/>
      <c r="PBT31" s="72"/>
      <c r="PBU31" s="72"/>
      <c r="PBV31" s="72"/>
      <c r="PBW31" s="72"/>
      <c r="PBX31" s="72"/>
      <c r="PBY31" s="72"/>
      <c r="PBZ31" s="72"/>
      <c r="PCA31" s="72"/>
      <c r="PCB31" s="72"/>
      <c r="PCC31" s="72"/>
      <c r="PCD31" s="72"/>
      <c r="PCE31" s="72"/>
      <c r="PCF31" s="72"/>
      <c r="PCG31" s="72"/>
      <c r="PCH31" s="72"/>
      <c r="PCI31" s="72"/>
      <c r="PCJ31" s="72"/>
      <c r="PCK31" s="72"/>
      <c r="PCL31" s="72"/>
      <c r="PCM31" s="72"/>
      <c r="PCN31" s="72"/>
      <c r="PCO31" s="72"/>
      <c r="PCP31" s="72"/>
      <c r="PCQ31" s="72"/>
      <c r="PCR31" s="72"/>
      <c r="PCS31" s="72"/>
      <c r="PCT31" s="72"/>
      <c r="PCU31" s="72"/>
      <c r="PCV31" s="72"/>
      <c r="PCW31" s="72"/>
      <c r="PCX31" s="72"/>
      <c r="PCY31" s="72"/>
      <c r="PCZ31" s="72"/>
      <c r="PDA31" s="72"/>
      <c r="PDB31" s="72"/>
      <c r="PDC31" s="72"/>
      <c r="PDD31" s="72"/>
      <c r="PDE31" s="72"/>
      <c r="PDF31" s="72"/>
      <c r="PDG31" s="72"/>
      <c r="PDH31" s="72"/>
      <c r="PDI31" s="72"/>
      <c r="PDJ31" s="72"/>
      <c r="PDK31" s="72"/>
      <c r="PDL31" s="72"/>
      <c r="PDM31" s="72"/>
      <c r="PDN31" s="72"/>
      <c r="PDO31" s="72"/>
      <c r="PDP31" s="72"/>
      <c r="PDQ31" s="72"/>
      <c r="PDR31" s="72"/>
      <c r="PDS31" s="72"/>
      <c r="PDT31" s="72"/>
      <c r="PDU31" s="72"/>
      <c r="PDV31" s="72"/>
      <c r="PDW31" s="72"/>
      <c r="PDX31" s="72"/>
      <c r="PDY31" s="72"/>
      <c r="PDZ31" s="72"/>
      <c r="PEA31" s="72"/>
      <c r="PEB31" s="72"/>
      <c r="PEC31" s="72"/>
      <c r="PED31" s="72"/>
      <c r="PEE31" s="72"/>
      <c r="PEF31" s="72"/>
      <c r="PEG31" s="72"/>
      <c r="PEH31" s="72"/>
      <c r="PEI31" s="72"/>
      <c r="PEJ31" s="72"/>
      <c r="PEK31" s="72"/>
      <c r="PEL31" s="72"/>
      <c r="PEM31" s="72"/>
      <c r="PEN31" s="72"/>
      <c r="PEO31" s="72"/>
      <c r="PEP31" s="72"/>
      <c r="PEQ31" s="72"/>
      <c r="PER31" s="72"/>
      <c r="PES31" s="72"/>
      <c r="PET31" s="72"/>
      <c r="PEU31" s="72"/>
      <c r="PEV31" s="72"/>
      <c r="PEW31" s="72"/>
      <c r="PEX31" s="72"/>
      <c r="PEY31" s="72"/>
      <c r="PEZ31" s="72"/>
      <c r="PFA31" s="72"/>
      <c r="PFB31" s="72"/>
      <c r="PFC31" s="72"/>
      <c r="PFD31" s="72"/>
      <c r="PFE31" s="72"/>
      <c r="PFF31" s="72"/>
      <c r="PFG31" s="72"/>
      <c r="PFH31" s="72"/>
      <c r="PFI31" s="72"/>
      <c r="PFJ31" s="72"/>
      <c r="PFK31" s="72"/>
      <c r="PFL31" s="72"/>
      <c r="PFM31" s="72"/>
      <c r="PFN31" s="72"/>
      <c r="PFO31" s="72"/>
      <c r="PFP31" s="72"/>
      <c r="PFQ31" s="72"/>
      <c r="PFR31" s="72"/>
      <c r="PFS31" s="72"/>
      <c r="PFT31" s="72"/>
      <c r="PFU31" s="72"/>
      <c r="PFV31" s="72"/>
      <c r="PFW31" s="72"/>
      <c r="PFX31" s="72"/>
      <c r="PFY31" s="72"/>
      <c r="PFZ31" s="72"/>
      <c r="PGA31" s="72"/>
      <c r="PGB31" s="72"/>
      <c r="PGC31" s="72"/>
      <c r="PGD31" s="72"/>
      <c r="PGE31" s="72"/>
      <c r="PGF31" s="72"/>
      <c r="PGG31" s="72"/>
      <c r="PGH31" s="72"/>
      <c r="PGI31" s="72"/>
      <c r="PGJ31" s="72"/>
      <c r="PGK31" s="72"/>
      <c r="PGL31" s="72"/>
      <c r="PGM31" s="72"/>
      <c r="PGN31" s="72"/>
      <c r="PGO31" s="72"/>
      <c r="PGP31" s="72"/>
      <c r="PGQ31" s="72"/>
      <c r="PGR31" s="72"/>
      <c r="PGS31" s="72"/>
      <c r="PGT31" s="72"/>
      <c r="PGU31" s="72"/>
      <c r="PGV31" s="72"/>
      <c r="PGW31" s="72"/>
      <c r="PGX31" s="72"/>
      <c r="PGY31" s="72"/>
      <c r="PGZ31" s="72"/>
      <c r="PHA31" s="72"/>
      <c r="PHB31" s="72"/>
      <c r="PHC31" s="72"/>
      <c r="PHD31" s="72"/>
      <c r="PHE31" s="72"/>
      <c r="PHF31" s="72"/>
      <c r="PHG31" s="72"/>
      <c r="PHH31" s="72"/>
      <c r="PHI31" s="72"/>
      <c r="PHJ31" s="72"/>
      <c r="PHK31" s="72"/>
      <c r="PHL31" s="72"/>
      <c r="PHM31" s="72"/>
      <c r="PHN31" s="72"/>
      <c r="PHO31" s="72"/>
      <c r="PHP31" s="72"/>
      <c r="PHQ31" s="72"/>
      <c r="PHR31" s="72"/>
      <c r="PHS31" s="72"/>
      <c r="PHT31" s="72"/>
      <c r="PHU31" s="72"/>
      <c r="PHV31" s="72"/>
      <c r="PHW31" s="72"/>
      <c r="PHX31" s="72"/>
      <c r="PHY31" s="72"/>
      <c r="PHZ31" s="72"/>
      <c r="PIA31" s="72"/>
      <c r="PIB31" s="72"/>
      <c r="PIC31" s="72"/>
      <c r="PID31" s="72"/>
      <c r="PIE31" s="72"/>
      <c r="PIF31" s="72"/>
      <c r="PIG31" s="72"/>
      <c r="PIH31" s="72"/>
      <c r="PII31" s="72"/>
      <c r="PIJ31" s="72"/>
      <c r="PIK31" s="72"/>
      <c r="PIL31" s="72"/>
      <c r="PIM31" s="72"/>
      <c r="PIN31" s="72"/>
      <c r="PIO31" s="72"/>
      <c r="PIP31" s="72"/>
      <c r="PIQ31" s="72"/>
      <c r="PIR31" s="72"/>
      <c r="PIS31" s="72"/>
      <c r="PIT31" s="72"/>
      <c r="PIU31" s="72"/>
      <c r="PIV31" s="72"/>
      <c r="PIW31" s="72"/>
      <c r="PIX31" s="72"/>
      <c r="PIY31" s="72"/>
      <c r="PIZ31" s="72"/>
      <c r="PJA31" s="72"/>
      <c r="PJB31" s="72"/>
      <c r="PJC31" s="72"/>
      <c r="PJD31" s="72"/>
      <c r="PJE31" s="72"/>
      <c r="PJF31" s="72"/>
      <c r="PJG31" s="72"/>
      <c r="PJH31" s="72"/>
      <c r="PJI31" s="72"/>
      <c r="PJJ31" s="72"/>
      <c r="PJK31" s="72"/>
      <c r="PJL31" s="72"/>
      <c r="PJM31" s="72"/>
      <c r="PJN31" s="72"/>
      <c r="PJO31" s="72"/>
      <c r="PJP31" s="72"/>
      <c r="PJQ31" s="72"/>
      <c r="PJR31" s="72"/>
      <c r="PJS31" s="72"/>
      <c r="PJT31" s="72"/>
      <c r="PJU31" s="72"/>
      <c r="PJV31" s="72"/>
      <c r="PJW31" s="72"/>
      <c r="PJX31" s="72"/>
      <c r="PJY31" s="72"/>
      <c r="PJZ31" s="72"/>
      <c r="PKA31" s="72"/>
      <c r="PKB31" s="72"/>
      <c r="PKC31" s="72"/>
      <c r="PKD31" s="72"/>
      <c r="PKE31" s="72"/>
      <c r="PKF31" s="72"/>
      <c r="PKG31" s="72"/>
      <c r="PKH31" s="72"/>
      <c r="PKI31" s="72"/>
      <c r="PKJ31" s="72"/>
      <c r="PKK31" s="72"/>
      <c r="PKL31" s="72"/>
      <c r="PKM31" s="72"/>
      <c r="PKN31" s="72"/>
      <c r="PKO31" s="72"/>
      <c r="PKP31" s="72"/>
      <c r="PKQ31" s="72"/>
      <c r="PKR31" s="72"/>
      <c r="PKS31" s="72"/>
      <c r="PKT31" s="72"/>
      <c r="PKU31" s="72"/>
      <c r="PKV31" s="72"/>
      <c r="PKW31" s="72"/>
      <c r="PKX31" s="72"/>
      <c r="PKY31" s="72"/>
      <c r="PKZ31" s="72"/>
      <c r="PLA31" s="72"/>
      <c r="PLB31" s="72"/>
      <c r="PLC31" s="72"/>
      <c r="PLD31" s="72"/>
      <c r="PLE31" s="72"/>
      <c r="PLF31" s="72"/>
      <c r="PLG31" s="72"/>
      <c r="PLH31" s="72"/>
      <c r="PLI31" s="72"/>
      <c r="PLJ31" s="72"/>
      <c r="PLK31" s="72"/>
      <c r="PLL31" s="72"/>
      <c r="PLM31" s="72"/>
      <c r="PLN31" s="72"/>
      <c r="PLO31" s="72"/>
      <c r="PLP31" s="72"/>
      <c r="PLQ31" s="72"/>
      <c r="PLR31" s="72"/>
      <c r="PLS31" s="72"/>
      <c r="PLT31" s="72"/>
      <c r="PLU31" s="72"/>
      <c r="PLV31" s="72"/>
      <c r="PLW31" s="72"/>
      <c r="PLX31" s="72"/>
      <c r="PLY31" s="72"/>
      <c r="PLZ31" s="72"/>
      <c r="PMA31" s="72"/>
      <c r="PMB31" s="72"/>
      <c r="PMC31" s="72"/>
      <c r="PMD31" s="72"/>
      <c r="PME31" s="72"/>
      <c r="PMF31" s="72"/>
      <c r="PMG31" s="72"/>
      <c r="PMH31" s="72"/>
      <c r="PMI31" s="72"/>
      <c r="PMJ31" s="72"/>
      <c r="PMK31" s="72"/>
      <c r="PML31" s="72"/>
      <c r="PMM31" s="72"/>
      <c r="PMN31" s="72"/>
      <c r="PMO31" s="72"/>
      <c r="PMP31" s="72"/>
      <c r="PMQ31" s="72"/>
      <c r="PMR31" s="72"/>
      <c r="PMS31" s="72"/>
      <c r="PMT31" s="72"/>
      <c r="PMU31" s="72"/>
      <c r="PMV31" s="72"/>
      <c r="PMW31" s="72"/>
      <c r="PMX31" s="72"/>
      <c r="PMY31" s="72"/>
      <c r="PMZ31" s="72"/>
      <c r="PNA31" s="72"/>
      <c r="PNB31" s="72"/>
      <c r="PNC31" s="72"/>
      <c r="PND31" s="72"/>
      <c r="PNE31" s="72"/>
      <c r="PNF31" s="72"/>
      <c r="PNG31" s="72"/>
      <c r="PNH31" s="72"/>
      <c r="PNI31" s="72"/>
      <c r="PNJ31" s="72"/>
      <c r="PNK31" s="72"/>
      <c r="PNL31" s="72"/>
      <c r="PNM31" s="72"/>
      <c r="PNN31" s="72"/>
      <c r="PNO31" s="72"/>
      <c r="PNP31" s="72"/>
      <c r="PNQ31" s="72"/>
      <c r="PNR31" s="72"/>
      <c r="PNS31" s="72"/>
      <c r="PNT31" s="72"/>
      <c r="PNU31" s="72"/>
      <c r="PNV31" s="72"/>
      <c r="PNW31" s="72"/>
      <c r="PNX31" s="72"/>
      <c r="PNY31" s="72"/>
      <c r="PNZ31" s="72"/>
      <c r="POA31" s="72"/>
      <c r="POB31" s="72"/>
      <c r="POC31" s="72"/>
      <c r="POD31" s="72"/>
      <c r="POE31" s="72"/>
      <c r="POF31" s="72"/>
      <c r="POG31" s="72"/>
      <c r="POH31" s="72"/>
      <c r="POI31" s="72"/>
      <c r="POJ31" s="72"/>
      <c r="POK31" s="72"/>
      <c r="POL31" s="72"/>
      <c r="POM31" s="72"/>
      <c r="PON31" s="72"/>
      <c r="POO31" s="72"/>
      <c r="POP31" s="72"/>
      <c r="POQ31" s="72"/>
      <c r="POR31" s="72"/>
      <c r="POS31" s="72"/>
      <c r="POT31" s="72"/>
      <c r="POU31" s="72"/>
      <c r="POV31" s="72"/>
      <c r="POW31" s="72"/>
      <c r="POX31" s="72"/>
      <c r="POY31" s="72"/>
      <c r="POZ31" s="72"/>
      <c r="PPA31" s="72"/>
      <c r="PPB31" s="72"/>
      <c r="PPC31" s="72"/>
      <c r="PPD31" s="72"/>
      <c r="PPE31" s="72"/>
      <c r="PPF31" s="72"/>
      <c r="PPG31" s="72"/>
      <c r="PPH31" s="72"/>
      <c r="PPI31" s="72"/>
      <c r="PPJ31" s="72"/>
      <c r="PPK31" s="72"/>
      <c r="PPL31" s="72"/>
      <c r="PPM31" s="72"/>
      <c r="PPN31" s="72"/>
      <c r="PPO31" s="72"/>
      <c r="PPP31" s="72"/>
      <c r="PPQ31" s="72"/>
      <c r="PPR31" s="72"/>
      <c r="PPS31" s="72"/>
      <c r="PPT31" s="72"/>
      <c r="PPU31" s="72"/>
      <c r="PPV31" s="72"/>
      <c r="PPW31" s="72"/>
      <c r="PPX31" s="72"/>
      <c r="PPY31" s="72"/>
      <c r="PPZ31" s="72"/>
      <c r="PQA31" s="72"/>
      <c r="PQB31" s="72"/>
      <c r="PQC31" s="72"/>
      <c r="PQD31" s="72"/>
      <c r="PQE31" s="72"/>
      <c r="PQF31" s="72"/>
      <c r="PQG31" s="72"/>
      <c r="PQH31" s="72"/>
      <c r="PQI31" s="72"/>
      <c r="PQJ31" s="72"/>
      <c r="PQK31" s="72"/>
      <c r="PQL31" s="72"/>
      <c r="PQM31" s="72"/>
      <c r="PQN31" s="72"/>
      <c r="PQO31" s="72"/>
      <c r="PQP31" s="72"/>
      <c r="PQQ31" s="72"/>
      <c r="PQR31" s="72"/>
      <c r="PQS31" s="72"/>
      <c r="PQT31" s="72"/>
      <c r="PQU31" s="72"/>
      <c r="PQV31" s="72"/>
      <c r="PQW31" s="72"/>
      <c r="PQX31" s="72"/>
      <c r="PQY31" s="72"/>
      <c r="PQZ31" s="72"/>
      <c r="PRA31" s="72"/>
      <c r="PRB31" s="72"/>
      <c r="PRC31" s="72"/>
      <c r="PRD31" s="72"/>
      <c r="PRE31" s="72"/>
      <c r="PRF31" s="72"/>
      <c r="PRG31" s="72"/>
      <c r="PRH31" s="72"/>
      <c r="PRI31" s="72"/>
      <c r="PRJ31" s="72"/>
      <c r="PRK31" s="72"/>
      <c r="PRL31" s="72"/>
      <c r="PRM31" s="72"/>
      <c r="PRN31" s="72"/>
      <c r="PRO31" s="72"/>
      <c r="PRP31" s="72"/>
      <c r="PRQ31" s="72"/>
      <c r="PRR31" s="72"/>
      <c r="PRS31" s="72"/>
      <c r="PRT31" s="72"/>
      <c r="PRU31" s="72"/>
      <c r="PRV31" s="72"/>
      <c r="PRW31" s="72"/>
      <c r="PRX31" s="72"/>
      <c r="PRY31" s="72"/>
      <c r="PRZ31" s="72"/>
      <c r="PSA31" s="72"/>
      <c r="PSB31" s="72"/>
      <c r="PSC31" s="72"/>
      <c r="PSD31" s="72"/>
      <c r="PSE31" s="72"/>
      <c r="PSF31" s="72"/>
      <c r="PSG31" s="72"/>
      <c r="PSH31" s="72"/>
      <c r="PSI31" s="72"/>
      <c r="PSJ31" s="72"/>
      <c r="PSK31" s="72"/>
      <c r="PSL31" s="72"/>
      <c r="PSM31" s="72"/>
      <c r="PSN31" s="72"/>
      <c r="PSO31" s="72"/>
      <c r="PSP31" s="72"/>
      <c r="PSQ31" s="72"/>
      <c r="PSR31" s="72"/>
      <c r="PSS31" s="72"/>
      <c r="PST31" s="72"/>
      <c r="PSU31" s="72"/>
      <c r="PSV31" s="72"/>
      <c r="PSW31" s="72"/>
      <c r="PSX31" s="72"/>
      <c r="PSY31" s="72"/>
      <c r="PSZ31" s="72"/>
      <c r="PTA31" s="72"/>
      <c r="PTB31" s="72"/>
      <c r="PTC31" s="72"/>
      <c r="PTD31" s="72"/>
      <c r="PTE31" s="72"/>
      <c r="PTF31" s="72"/>
      <c r="PTG31" s="72"/>
      <c r="PTH31" s="72"/>
      <c r="PTI31" s="72"/>
      <c r="PTJ31" s="72"/>
      <c r="PTK31" s="72"/>
      <c r="PTL31" s="72"/>
      <c r="PTM31" s="72"/>
      <c r="PTN31" s="72"/>
      <c r="PTO31" s="72"/>
      <c r="PTP31" s="72"/>
      <c r="PTQ31" s="72"/>
      <c r="PTR31" s="72"/>
      <c r="PTS31" s="72"/>
      <c r="PTT31" s="72"/>
      <c r="PTU31" s="72"/>
      <c r="PTV31" s="72"/>
      <c r="PTW31" s="72"/>
      <c r="PTX31" s="72"/>
      <c r="PTY31" s="72"/>
      <c r="PTZ31" s="72"/>
      <c r="PUA31" s="72"/>
      <c r="PUB31" s="72"/>
      <c r="PUC31" s="72"/>
      <c r="PUD31" s="72"/>
      <c r="PUE31" s="72"/>
      <c r="PUF31" s="72"/>
      <c r="PUG31" s="72"/>
      <c r="PUH31" s="72"/>
      <c r="PUI31" s="72"/>
      <c r="PUJ31" s="72"/>
      <c r="PUK31" s="72"/>
      <c r="PUL31" s="72"/>
      <c r="PUM31" s="72"/>
      <c r="PUN31" s="72"/>
      <c r="PUO31" s="72"/>
      <c r="PUP31" s="72"/>
      <c r="PUQ31" s="72"/>
      <c r="PUR31" s="72"/>
      <c r="PUS31" s="72"/>
      <c r="PUT31" s="72"/>
      <c r="PUU31" s="72"/>
      <c r="PUV31" s="72"/>
      <c r="PUW31" s="72"/>
      <c r="PUX31" s="72"/>
      <c r="PUY31" s="72"/>
      <c r="PUZ31" s="72"/>
      <c r="PVA31" s="72"/>
      <c r="PVB31" s="72"/>
      <c r="PVC31" s="72"/>
      <c r="PVD31" s="72"/>
      <c r="PVE31" s="72"/>
      <c r="PVF31" s="72"/>
      <c r="PVG31" s="72"/>
      <c r="PVH31" s="72"/>
      <c r="PVI31" s="72"/>
      <c r="PVJ31" s="72"/>
      <c r="PVK31" s="72"/>
      <c r="PVL31" s="72"/>
      <c r="PVM31" s="72"/>
      <c r="PVN31" s="72"/>
      <c r="PVO31" s="72"/>
      <c r="PVP31" s="72"/>
      <c r="PVQ31" s="72"/>
      <c r="PVR31" s="72"/>
      <c r="PVS31" s="72"/>
      <c r="PVT31" s="72"/>
      <c r="PVU31" s="72"/>
      <c r="PVV31" s="72"/>
      <c r="PVW31" s="72"/>
      <c r="PVX31" s="72"/>
      <c r="PVY31" s="72"/>
      <c r="PVZ31" s="72"/>
      <c r="PWA31" s="72"/>
      <c r="PWB31" s="72"/>
      <c r="PWC31" s="72"/>
      <c r="PWD31" s="72"/>
      <c r="PWE31" s="72"/>
      <c r="PWF31" s="72"/>
      <c r="PWG31" s="72"/>
      <c r="PWH31" s="72"/>
      <c r="PWI31" s="72"/>
      <c r="PWJ31" s="72"/>
      <c r="PWK31" s="72"/>
      <c r="PWL31" s="72"/>
      <c r="PWM31" s="72"/>
      <c r="PWN31" s="72"/>
      <c r="PWO31" s="72"/>
      <c r="PWP31" s="72"/>
      <c r="PWQ31" s="72"/>
      <c r="PWR31" s="72"/>
      <c r="PWS31" s="72"/>
      <c r="PWT31" s="72"/>
      <c r="PWU31" s="72"/>
      <c r="PWV31" s="72"/>
      <c r="PWW31" s="72"/>
      <c r="PWX31" s="72"/>
      <c r="PWY31" s="72"/>
      <c r="PWZ31" s="72"/>
      <c r="PXA31" s="72"/>
      <c r="PXB31" s="72"/>
      <c r="PXC31" s="72"/>
      <c r="PXD31" s="72"/>
      <c r="PXE31" s="72"/>
      <c r="PXF31" s="72"/>
      <c r="PXG31" s="72"/>
      <c r="PXH31" s="72"/>
      <c r="PXI31" s="72"/>
      <c r="PXJ31" s="72"/>
      <c r="PXK31" s="72"/>
      <c r="PXL31" s="72"/>
      <c r="PXM31" s="72"/>
      <c r="PXN31" s="72"/>
      <c r="PXO31" s="72"/>
      <c r="PXP31" s="72"/>
      <c r="PXQ31" s="72"/>
      <c r="PXR31" s="72"/>
      <c r="PXS31" s="72"/>
      <c r="PXT31" s="72"/>
      <c r="PXU31" s="72"/>
      <c r="PXV31" s="72"/>
      <c r="PXW31" s="72"/>
      <c r="PXX31" s="72"/>
      <c r="PXY31" s="72"/>
      <c r="PXZ31" s="72"/>
      <c r="PYA31" s="72"/>
      <c r="PYB31" s="72"/>
      <c r="PYC31" s="72"/>
      <c r="PYD31" s="72"/>
      <c r="PYE31" s="72"/>
      <c r="PYF31" s="72"/>
      <c r="PYG31" s="72"/>
      <c r="PYH31" s="72"/>
      <c r="PYI31" s="72"/>
      <c r="PYJ31" s="72"/>
      <c r="PYK31" s="72"/>
      <c r="PYL31" s="72"/>
      <c r="PYM31" s="72"/>
      <c r="PYN31" s="72"/>
      <c r="PYO31" s="72"/>
      <c r="PYP31" s="72"/>
      <c r="PYQ31" s="72"/>
      <c r="PYR31" s="72"/>
      <c r="PYS31" s="72"/>
      <c r="PYT31" s="72"/>
      <c r="PYU31" s="72"/>
      <c r="PYV31" s="72"/>
      <c r="PYW31" s="72"/>
      <c r="PYX31" s="72"/>
      <c r="PYY31" s="72"/>
      <c r="PYZ31" s="72"/>
      <c r="PZA31" s="72"/>
      <c r="PZB31" s="72"/>
      <c r="PZC31" s="72"/>
      <c r="PZD31" s="72"/>
      <c r="PZE31" s="72"/>
      <c r="PZF31" s="72"/>
      <c r="PZG31" s="72"/>
      <c r="PZH31" s="72"/>
      <c r="PZI31" s="72"/>
      <c r="PZJ31" s="72"/>
      <c r="PZK31" s="72"/>
      <c r="PZL31" s="72"/>
      <c r="PZM31" s="72"/>
      <c r="PZN31" s="72"/>
      <c r="PZO31" s="72"/>
      <c r="PZP31" s="72"/>
      <c r="PZQ31" s="72"/>
      <c r="PZR31" s="72"/>
      <c r="PZS31" s="72"/>
      <c r="PZT31" s="72"/>
      <c r="PZU31" s="72"/>
      <c r="PZV31" s="72"/>
      <c r="PZW31" s="72"/>
      <c r="PZX31" s="72"/>
      <c r="PZY31" s="72"/>
      <c r="PZZ31" s="72"/>
      <c r="QAA31" s="72"/>
      <c r="QAB31" s="72"/>
      <c r="QAC31" s="72"/>
      <c r="QAD31" s="72"/>
      <c r="QAE31" s="72"/>
      <c r="QAF31" s="72"/>
      <c r="QAG31" s="72"/>
      <c r="QAH31" s="72"/>
      <c r="QAI31" s="72"/>
      <c r="QAJ31" s="72"/>
      <c r="QAK31" s="72"/>
      <c r="QAL31" s="72"/>
      <c r="QAM31" s="72"/>
      <c r="QAN31" s="72"/>
      <c r="QAO31" s="72"/>
      <c r="QAP31" s="72"/>
      <c r="QAQ31" s="72"/>
      <c r="QAR31" s="72"/>
      <c r="QAS31" s="72"/>
      <c r="QAT31" s="72"/>
      <c r="QAU31" s="72"/>
      <c r="QAV31" s="72"/>
      <c r="QAW31" s="72"/>
      <c r="QAX31" s="72"/>
      <c r="QAY31" s="72"/>
      <c r="QAZ31" s="72"/>
      <c r="QBA31" s="72"/>
      <c r="QBB31" s="72"/>
      <c r="QBC31" s="72"/>
      <c r="QBD31" s="72"/>
      <c r="QBE31" s="72"/>
      <c r="QBF31" s="72"/>
      <c r="QBG31" s="72"/>
      <c r="QBH31" s="72"/>
      <c r="QBI31" s="72"/>
      <c r="QBJ31" s="72"/>
      <c r="QBK31" s="72"/>
      <c r="QBL31" s="72"/>
      <c r="QBM31" s="72"/>
      <c r="QBN31" s="72"/>
      <c r="QBO31" s="72"/>
      <c r="QBP31" s="72"/>
      <c r="QBQ31" s="72"/>
      <c r="QBR31" s="72"/>
      <c r="QBS31" s="72"/>
      <c r="QBT31" s="72"/>
      <c r="QBU31" s="72"/>
      <c r="QBV31" s="72"/>
      <c r="QBW31" s="72"/>
      <c r="QBX31" s="72"/>
      <c r="QBY31" s="72"/>
      <c r="QBZ31" s="72"/>
      <c r="QCA31" s="72"/>
      <c r="QCB31" s="72"/>
      <c r="QCC31" s="72"/>
      <c r="QCD31" s="72"/>
      <c r="QCE31" s="72"/>
      <c r="QCF31" s="72"/>
      <c r="QCG31" s="72"/>
      <c r="QCH31" s="72"/>
      <c r="QCI31" s="72"/>
      <c r="QCJ31" s="72"/>
      <c r="QCK31" s="72"/>
      <c r="QCL31" s="72"/>
      <c r="QCM31" s="72"/>
      <c r="QCN31" s="72"/>
      <c r="QCO31" s="72"/>
      <c r="QCP31" s="72"/>
      <c r="QCQ31" s="72"/>
      <c r="QCR31" s="72"/>
      <c r="QCS31" s="72"/>
      <c r="QCT31" s="72"/>
      <c r="QCU31" s="72"/>
      <c r="QCV31" s="72"/>
      <c r="QCW31" s="72"/>
      <c r="QCX31" s="72"/>
      <c r="QCY31" s="72"/>
      <c r="QCZ31" s="72"/>
      <c r="QDA31" s="72"/>
      <c r="QDB31" s="72"/>
      <c r="QDC31" s="72"/>
      <c r="QDD31" s="72"/>
      <c r="QDE31" s="72"/>
      <c r="QDF31" s="72"/>
      <c r="QDG31" s="72"/>
      <c r="QDH31" s="72"/>
      <c r="QDI31" s="72"/>
      <c r="QDJ31" s="72"/>
      <c r="QDK31" s="72"/>
      <c r="QDL31" s="72"/>
      <c r="QDM31" s="72"/>
      <c r="QDN31" s="72"/>
      <c r="QDO31" s="72"/>
      <c r="QDP31" s="72"/>
      <c r="QDQ31" s="72"/>
      <c r="QDR31" s="72"/>
      <c r="QDS31" s="72"/>
      <c r="QDT31" s="72"/>
      <c r="QDU31" s="72"/>
      <c r="QDV31" s="72"/>
      <c r="QDW31" s="72"/>
      <c r="QDX31" s="72"/>
      <c r="QDY31" s="72"/>
      <c r="QDZ31" s="72"/>
      <c r="QEA31" s="72"/>
      <c r="QEB31" s="72"/>
      <c r="QEC31" s="72"/>
      <c r="QED31" s="72"/>
      <c r="QEE31" s="72"/>
      <c r="QEF31" s="72"/>
      <c r="QEG31" s="72"/>
      <c r="QEH31" s="72"/>
      <c r="QEI31" s="72"/>
      <c r="QEJ31" s="72"/>
      <c r="QEK31" s="72"/>
      <c r="QEL31" s="72"/>
      <c r="QEM31" s="72"/>
      <c r="QEN31" s="72"/>
      <c r="QEO31" s="72"/>
      <c r="QEP31" s="72"/>
      <c r="QEQ31" s="72"/>
      <c r="QER31" s="72"/>
      <c r="QES31" s="72"/>
      <c r="QET31" s="72"/>
      <c r="QEU31" s="72"/>
      <c r="QEV31" s="72"/>
      <c r="QEW31" s="72"/>
      <c r="QEX31" s="72"/>
      <c r="QEY31" s="72"/>
      <c r="QEZ31" s="72"/>
      <c r="QFA31" s="72"/>
      <c r="QFB31" s="72"/>
      <c r="QFC31" s="72"/>
      <c r="QFD31" s="72"/>
      <c r="QFE31" s="72"/>
      <c r="QFF31" s="72"/>
      <c r="QFG31" s="72"/>
      <c r="QFH31" s="72"/>
      <c r="QFI31" s="72"/>
      <c r="QFJ31" s="72"/>
      <c r="QFK31" s="72"/>
      <c r="QFL31" s="72"/>
      <c r="QFM31" s="72"/>
      <c r="QFN31" s="72"/>
      <c r="QFO31" s="72"/>
      <c r="QFP31" s="72"/>
      <c r="QFQ31" s="72"/>
      <c r="QFR31" s="72"/>
      <c r="QFS31" s="72"/>
      <c r="QFT31" s="72"/>
      <c r="QFU31" s="72"/>
      <c r="QFV31" s="72"/>
      <c r="QFW31" s="72"/>
      <c r="QFX31" s="72"/>
      <c r="QFY31" s="72"/>
      <c r="QFZ31" s="72"/>
      <c r="QGA31" s="72"/>
      <c r="QGB31" s="72"/>
      <c r="QGC31" s="72"/>
      <c r="QGD31" s="72"/>
      <c r="QGE31" s="72"/>
      <c r="QGF31" s="72"/>
      <c r="QGG31" s="72"/>
      <c r="QGH31" s="72"/>
      <c r="QGI31" s="72"/>
      <c r="QGJ31" s="72"/>
      <c r="QGK31" s="72"/>
      <c r="QGL31" s="72"/>
      <c r="QGM31" s="72"/>
      <c r="QGN31" s="72"/>
      <c r="QGO31" s="72"/>
      <c r="QGP31" s="72"/>
      <c r="QGQ31" s="72"/>
      <c r="QGR31" s="72"/>
      <c r="QGS31" s="72"/>
      <c r="QGT31" s="72"/>
      <c r="QGU31" s="72"/>
      <c r="QGV31" s="72"/>
      <c r="QGW31" s="72"/>
      <c r="QGX31" s="72"/>
      <c r="QGY31" s="72"/>
      <c r="QGZ31" s="72"/>
      <c r="QHA31" s="72"/>
      <c r="QHB31" s="72"/>
      <c r="QHC31" s="72"/>
      <c r="QHD31" s="72"/>
      <c r="QHE31" s="72"/>
      <c r="QHF31" s="72"/>
      <c r="QHG31" s="72"/>
      <c r="QHH31" s="72"/>
      <c r="QHI31" s="72"/>
      <c r="QHJ31" s="72"/>
      <c r="QHK31" s="72"/>
      <c r="QHL31" s="72"/>
      <c r="QHM31" s="72"/>
      <c r="QHN31" s="72"/>
      <c r="QHO31" s="72"/>
      <c r="QHP31" s="72"/>
      <c r="QHQ31" s="72"/>
      <c r="QHR31" s="72"/>
      <c r="QHS31" s="72"/>
      <c r="QHT31" s="72"/>
      <c r="QHU31" s="72"/>
      <c r="QHV31" s="72"/>
      <c r="QHW31" s="72"/>
      <c r="QHX31" s="72"/>
      <c r="QHY31" s="72"/>
      <c r="QHZ31" s="72"/>
      <c r="QIA31" s="72"/>
      <c r="QIB31" s="72"/>
      <c r="QIC31" s="72"/>
      <c r="QID31" s="72"/>
      <c r="QIE31" s="72"/>
      <c r="QIF31" s="72"/>
      <c r="QIG31" s="72"/>
      <c r="QIH31" s="72"/>
      <c r="QII31" s="72"/>
      <c r="QIJ31" s="72"/>
      <c r="QIK31" s="72"/>
      <c r="QIL31" s="72"/>
      <c r="QIM31" s="72"/>
      <c r="QIN31" s="72"/>
      <c r="QIO31" s="72"/>
      <c r="QIP31" s="72"/>
      <c r="QIQ31" s="72"/>
      <c r="QIR31" s="72"/>
      <c r="QIS31" s="72"/>
      <c r="QIT31" s="72"/>
      <c r="QIU31" s="72"/>
      <c r="QIV31" s="72"/>
      <c r="QIW31" s="72"/>
      <c r="QIX31" s="72"/>
      <c r="QIY31" s="72"/>
      <c r="QIZ31" s="72"/>
      <c r="QJA31" s="72"/>
      <c r="QJB31" s="72"/>
      <c r="QJC31" s="72"/>
      <c r="QJD31" s="72"/>
      <c r="QJE31" s="72"/>
      <c r="QJF31" s="72"/>
      <c r="QJG31" s="72"/>
      <c r="QJH31" s="72"/>
      <c r="QJI31" s="72"/>
      <c r="QJJ31" s="72"/>
      <c r="QJK31" s="72"/>
      <c r="QJL31" s="72"/>
      <c r="QJM31" s="72"/>
      <c r="QJN31" s="72"/>
      <c r="QJO31" s="72"/>
      <c r="QJP31" s="72"/>
      <c r="QJQ31" s="72"/>
      <c r="QJR31" s="72"/>
      <c r="QJS31" s="72"/>
      <c r="QJT31" s="72"/>
      <c r="QJU31" s="72"/>
      <c r="QJV31" s="72"/>
      <c r="QJW31" s="72"/>
      <c r="QJX31" s="72"/>
      <c r="QJY31" s="72"/>
      <c r="QJZ31" s="72"/>
      <c r="QKA31" s="72"/>
      <c r="QKB31" s="72"/>
      <c r="QKC31" s="72"/>
      <c r="QKD31" s="72"/>
      <c r="QKE31" s="72"/>
      <c r="QKF31" s="72"/>
      <c r="QKG31" s="72"/>
      <c r="QKH31" s="72"/>
      <c r="QKI31" s="72"/>
      <c r="QKJ31" s="72"/>
      <c r="QKK31" s="72"/>
      <c r="QKL31" s="72"/>
      <c r="QKM31" s="72"/>
      <c r="QKN31" s="72"/>
      <c r="QKO31" s="72"/>
      <c r="QKP31" s="72"/>
      <c r="QKQ31" s="72"/>
      <c r="QKR31" s="72"/>
      <c r="QKS31" s="72"/>
      <c r="QKT31" s="72"/>
      <c r="QKU31" s="72"/>
      <c r="QKV31" s="72"/>
      <c r="QKW31" s="72"/>
      <c r="QKX31" s="72"/>
      <c r="QKY31" s="72"/>
      <c r="QKZ31" s="72"/>
      <c r="QLA31" s="72"/>
      <c r="QLB31" s="72"/>
      <c r="QLC31" s="72"/>
      <c r="QLD31" s="72"/>
      <c r="QLE31" s="72"/>
      <c r="QLF31" s="72"/>
      <c r="QLG31" s="72"/>
      <c r="QLH31" s="72"/>
      <c r="QLI31" s="72"/>
      <c r="QLJ31" s="72"/>
      <c r="QLK31" s="72"/>
      <c r="QLL31" s="72"/>
      <c r="QLM31" s="72"/>
      <c r="QLN31" s="72"/>
      <c r="QLO31" s="72"/>
      <c r="QLP31" s="72"/>
      <c r="QLQ31" s="72"/>
      <c r="QLR31" s="72"/>
      <c r="QLS31" s="72"/>
      <c r="QLT31" s="72"/>
      <c r="QLU31" s="72"/>
      <c r="QLV31" s="72"/>
      <c r="QLW31" s="72"/>
      <c r="QLX31" s="72"/>
      <c r="QLY31" s="72"/>
      <c r="QLZ31" s="72"/>
      <c r="QMA31" s="72"/>
      <c r="QMB31" s="72"/>
      <c r="QMC31" s="72"/>
      <c r="QMD31" s="72"/>
      <c r="QME31" s="72"/>
      <c r="QMF31" s="72"/>
      <c r="QMG31" s="72"/>
      <c r="QMH31" s="72"/>
      <c r="QMI31" s="72"/>
      <c r="QMJ31" s="72"/>
      <c r="QMK31" s="72"/>
      <c r="QML31" s="72"/>
      <c r="QMM31" s="72"/>
      <c r="QMN31" s="72"/>
      <c r="QMO31" s="72"/>
      <c r="QMP31" s="72"/>
      <c r="QMQ31" s="72"/>
      <c r="QMR31" s="72"/>
      <c r="QMS31" s="72"/>
      <c r="QMT31" s="72"/>
      <c r="QMU31" s="72"/>
      <c r="QMV31" s="72"/>
      <c r="QMW31" s="72"/>
      <c r="QMX31" s="72"/>
      <c r="QMY31" s="72"/>
      <c r="QMZ31" s="72"/>
      <c r="QNA31" s="72"/>
      <c r="QNB31" s="72"/>
      <c r="QNC31" s="72"/>
      <c r="QND31" s="72"/>
      <c r="QNE31" s="72"/>
      <c r="QNF31" s="72"/>
      <c r="QNG31" s="72"/>
      <c r="QNH31" s="72"/>
      <c r="QNI31" s="72"/>
      <c r="QNJ31" s="72"/>
      <c r="QNK31" s="72"/>
      <c r="QNL31" s="72"/>
      <c r="QNM31" s="72"/>
      <c r="QNN31" s="72"/>
      <c r="QNO31" s="72"/>
      <c r="QNP31" s="72"/>
      <c r="QNQ31" s="72"/>
      <c r="QNR31" s="72"/>
      <c r="QNS31" s="72"/>
      <c r="QNT31" s="72"/>
      <c r="QNU31" s="72"/>
      <c r="QNV31" s="72"/>
      <c r="QNW31" s="72"/>
      <c r="QNX31" s="72"/>
      <c r="QNY31" s="72"/>
      <c r="QNZ31" s="72"/>
      <c r="QOA31" s="72"/>
      <c r="QOB31" s="72"/>
      <c r="QOC31" s="72"/>
      <c r="QOD31" s="72"/>
      <c r="QOE31" s="72"/>
      <c r="QOF31" s="72"/>
      <c r="QOG31" s="72"/>
      <c r="QOH31" s="72"/>
      <c r="QOI31" s="72"/>
      <c r="QOJ31" s="72"/>
      <c r="QOK31" s="72"/>
      <c r="QOL31" s="72"/>
      <c r="QOM31" s="72"/>
      <c r="QON31" s="72"/>
      <c r="QOO31" s="72"/>
      <c r="QOP31" s="72"/>
      <c r="QOQ31" s="72"/>
      <c r="QOR31" s="72"/>
      <c r="QOS31" s="72"/>
      <c r="QOT31" s="72"/>
      <c r="QOU31" s="72"/>
      <c r="QOV31" s="72"/>
      <c r="QOW31" s="72"/>
      <c r="QOX31" s="72"/>
      <c r="QOY31" s="72"/>
      <c r="QOZ31" s="72"/>
      <c r="QPA31" s="72"/>
      <c r="QPB31" s="72"/>
      <c r="QPC31" s="72"/>
      <c r="QPD31" s="72"/>
      <c r="QPE31" s="72"/>
      <c r="QPF31" s="72"/>
      <c r="QPG31" s="72"/>
      <c r="QPH31" s="72"/>
      <c r="QPI31" s="72"/>
      <c r="QPJ31" s="72"/>
      <c r="QPK31" s="72"/>
      <c r="QPL31" s="72"/>
      <c r="QPM31" s="72"/>
      <c r="QPN31" s="72"/>
      <c r="QPO31" s="72"/>
      <c r="QPP31" s="72"/>
      <c r="QPQ31" s="72"/>
      <c r="QPR31" s="72"/>
      <c r="QPS31" s="72"/>
      <c r="QPT31" s="72"/>
      <c r="QPU31" s="72"/>
      <c r="QPV31" s="72"/>
      <c r="QPW31" s="72"/>
      <c r="QPX31" s="72"/>
      <c r="QPY31" s="72"/>
      <c r="QPZ31" s="72"/>
      <c r="QQA31" s="72"/>
      <c r="QQB31" s="72"/>
      <c r="QQC31" s="72"/>
      <c r="QQD31" s="72"/>
      <c r="QQE31" s="72"/>
      <c r="QQF31" s="72"/>
      <c r="QQG31" s="72"/>
      <c r="QQH31" s="72"/>
      <c r="QQI31" s="72"/>
      <c r="QQJ31" s="72"/>
      <c r="QQK31" s="72"/>
      <c r="QQL31" s="72"/>
      <c r="QQM31" s="72"/>
      <c r="QQN31" s="72"/>
      <c r="QQO31" s="72"/>
      <c r="QQP31" s="72"/>
      <c r="QQQ31" s="72"/>
      <c r="QQR31" s="72"/>
      <c r="QQS31" s="72"/>
      <c r="QQT31" s="72"/>
      <c r="QQU31" s="72"/>
      <c r="QQV31" s="72"/>
      <c r="QQW31" s="72"/>
      <c r="QQX31" s="72"/>
      <c r="QQY31" s="72"/>
      <c r="QQZ31" s="72"/>
      <c r="QRA31" s="72"/>
      <c r="QRB31" s="72"/>
      <c r="QRC31" s="72"/>
      <c r="QRD31" s="72"/>
      <c r="QRE31" s="72"/>
      <c r="QRF31" s="72"/>
      <c r="QRG31" s="72"/>
      <c r="QRH31" s="72"/>
      <c r="QRI31" s="72"/>
      <c r="QRJ31" s="72"/>
      <c r="QRK31" s="72"/>
      <c r="QRL31" s="72"/>
      <c r="QRM31" s="72"/>
      <c r="QRN31" s="72"/>
      <c r="QRO31" s="72"/>
      <c r="QRP31" s="72"/>
      <c r="QRQ31" s="72"/>
      <c r="QRR31" s="72"/>
      <c r="QRS31" s="72"/>
      <c r="QRT31" s="72"/>
      <c r="QRU31" s="72"/>
      <c r="QRV31" s="72"/>
      <c r="QRW31" s="72"/>
      <c r="QRX31" s="72"/>
      <c r="QRY31" s="72"/>
      <c r="QRZ31" s="72"/>
      <c r="QSA31" s="72"/>
      <c r="QSB31" s="72"/>
      <c r="QSC31" s="72"/>
      <c r="QSD31" s="72"/>
      <c r="QSE31" s="72"/>
      <c r="QSF31" s="72"/>
      <c r="QSG31" s="72"/>
      <c r="QSH31" s="72"/>
      <c r="QSI31" s="72"/>
      <c r="QSJ31" s="72"/>
      <c r="QSK31" s="72"/>
      <c r="QSL31" s="72"/>
      <c r="QSM31" s="72"/>
      <c r="QSN31" s="72"/>
      <c r="QSO31" s="72"/>
      <c r="QSP31" s="72"/>
      <c r="QSQ31" s="72"/>
      <c r="QSR31" s="72"/>
      <c r="QSS31" s="72"/>
      <c r="QST31" s="72"/>
      <c r="QSU31" s="72"/>
      <c r="QSV31" s="72"/>
      <c r="QSW31" s="72"/>
      <c r="QSX31" s="72"/>
      <c r="QSY31" s="72"/>
      <c r="QSZ31" s="72"/>
      <c r="QTA31" s="72"/>
      <c r="QTB31" s="72"/>
      <c r="QTC31" s="72"/>
      <c r="QTD31" s="72"/>
      <c r="QTE31" s="72"/>
      <c r="QTF31" s="72"/>
      <c r="QTG31" s="72"/>
      <c r="QTH31" s="72"/>
      <c r="QTI31" s="72"/>
      <c r="QTJ31" s="72"/>
      <c r="QTK31" s="72"/>
      <c r="QTL31" s="72"/>
      <c r="QTM31" s="72"/>
      <c r="QTN31" s="72"/>
      <c r="QTO31" s="72"/>
      <c r="QTP31" s="72"/>
      <c r="QTQ31" s="72"/>
      <c r="QTR31" s="72"/>
      <c r="QTS31" s="72"/>
      <c r="QTT31" s="72"/>
      <c r="QTU31" s="72"/>
      <c r="QTV31" s="72"/>
      <c r="QTW31" s="72"/>
      <c r="QTX31" s="72"/>
      <c r="QTY31" s="72"/>
      <c r="QTZ31" s="72"/>
      <c r="QUA31" s="72"/>
      <c r="QUB31" s="72"/>
      <c r="QUC31" s="72"/>
      <c r="QUD31" s="72"/>
      <c r="QUE31" s="72"/>
      <c r="QUF31" s="72"/>
      <c r="QUG31" s="72"/>
      <c r="QUH31" s="72"/>
      <c r="QUI31" s="72"/>
      <c r="QUJ31" s="72"/>
      <c r="QUK31" s="72"/>
      <c r="QUL31" s="72"/>
      <c r="QUM31" s="72"/>
      <c r="QUN31" s="72"/>
      <c r="QUO31" s="72"/>
      <c r="QUP31" s="72"/>
      <c r="QUQ31" s="72"/>
      <c r="QUR31" s="72"/>
      <c r="QUS31" s="72"/>
      <c r="QUT31" s="72"/>
      <c r="QUU31" s="72"/>
      <c r="QUV31" s="72"/>
      <c r="QUW31" s="72"/>
      <c r="QUX31" s="72"/>
      <c r="QUY31" s="72"/>
      <c r="QUZ31" s="72"/>
      <c r="QVA31" s="72"/>
      <c r="QVB31" s="72"/>
      <c r="QVC31" s="72"/>
      <c r="QVD31" s="72"/>
      <c r="QVE31" s="72"/>
      <c r="QVF31" s="72"/>
      <c r="QVG31" s="72"/>
      <c r="QVH31" s="72"/>
      <c r="QVI31" s="72"/>
      <c r="QVJ31" s="72"/>
      <c r="QVK31" s="72"/>
      <c r="QVL31" s="72"/>
      <c r="QVM31" s="72"/>
      <c r="QVN31" s="72"/>
      <c r="QVO31" s="72"/>
      <c r="QVP31" s="72"/>
      <c r="QVQ31" s="72"/>
      <c r="QVR31" s="72"/>
      <c r="QVS31" s="72"/>
      <c r="QVT31" s="72"/>
      <c r="QVU31" s="72"/>
      <c r="QVV31" s="72"/>
      <c r="QVW31" s="72"/>
      <c r="QVX31" s="72"/>
      <c r="QVY31" s="72"/>
      <c r="QVZ31" s="72"/>
      <c r="QWA31" s="72"/>
      <c r="QWB31" s="72"/>
      <c r="QWC31" s="72"/>
      <c r="QWD31" s="72"/>
      <c r="QWE31" s="72"/>
      <c r="QWF31" s="72"/>
      <c r="QWG31" s="72"/>
      <c r="QWH31" s="72"/>
      <c r="QWI31" s="72"/>
      <c r="QWJ31" s="72"/>
      <c r="QWK31" s="72"/>
      <c r="QWL31" s="72"/>
      <c r="QWM31" s="72"/>
      <c r="QWN31" s="72"/>
      <c r="QWO31" s="72"/>
      <c r="QWP31" s="72"/>
      <c r="QWQ31" s="72"/>
      <c r="QWR31" s="72"/>
      <c r="QWS31" s="72"/>
      <c r="QWT31" s="72"/>
      <c r="QWU31" s="72"/>
      <c r="QWV31" s="72"/>
      <c r="QWW31" s="72"/>
      <c r="QWX31" s="72"/>
      <c r="QWY31" s="72"/>
      <c r="QWZ31" s="72"/>
      <c r="QXA31" s="72"/>
      <c r="QXB31" s="72"/>
      <c r="QXC31" s="72"/>
      <c r="QXD31" s="72"/>
      <c r="QXE31" s="72"/>
      <c r="QXF31" s="72"/>
      <c r="QXG31" s="72"/>
      <c r="QXH31" s="72"/>
      <c r="QXI31" s="72"/>
      <c r="QXJ31" s="72"/>
      <c r="QXK31" s="72"/>
      <c r="QXL31" s="72"/>
      <c r="QXM31" s="72"/>
      <c r="QXN31" s="72"/>
      <c r="QXO31" s="72"/>
      <c r="QXP31" s="72"/>
      <c r="QXQ31" s="72"/>
      <c r="QXR31" s="72"/>
      <c r="QXS31" s="72"/>
      <c r="QXT31" s="72"/>
      <c r="QXU31" s="72"/>
      <c r="QXV31" s="72"/>
      <c r="QXW31" s="72"/>
      <c r="QXX31" s="72"/>
      <c r="QXY31" s="72"/>
      <c r="QXZ31" s="72"/>
      <c r="QYA31" s="72"/>
      <c r="QYB31" s="72"/>
      <c r="QYC31" s="72"/>
      <c r="QYD31" s="72"/>
      <c r="QYE31" s="72"/>
      <c r="QYF31" s="72"/>
      <c r="QYG31" s="72"/>
      <c r="QYH31" s="72"/>
      <c r="QYI31" s="72"/>
      <c r="QYJ31" s="72"/>
      <c r="QYK31" s="72"/>
      <c r="QYL31" s="72"/>
      <c r="QYM31" s="72"/>
      <c r="QYN31" s="72"/>
      <c r="QYO31" s="72"/>
      <c r="QYP31" s="72"/>
      <c r="QYQ31" s="72"/>
      <c r="QYR31" s="72"/>
      <c r="QYS31" s="72"/>
      <c r="QYT31" s="72"/>
      <c r="QYU31" s="72"/>
      <c r="QYV31" s="72"/>
      <c r="QYW31" s="72"/>
      <c r="QYX31" s="72"/>
      <c r="QYY31" s="72"/>
      <c r="QYZ31" s="72"/>
      <c r="QZA31" s="72"/>
      <c r="QZB31" s="72"/>
      <c r="QZC31" s="72"/>
      <c r="QZD31" s="72"/>
      <c r="QZE31" s="72"/>
      <c r="QZF31" s="72"/>
      <c r="QZG31" s="72"/>
      <c r="QZH31" s="72"/>
      <c r="QZI31" s="72"/>
      <c r="QZJ31" s="72"/>
      <c r="QZK31" s="72"/>
      <c r="QZL31" s="72"/>
      <c r="QZM31" s="72"/>
      <c r="QZN31" s="72"/>
      <c r="QZO31" s="72"/>
      <c r="QZP31" s="72"/>
      <c r="QZQ31" s="72"/>
      <c r="QZR31" s="72"/>
      <c r="QZS31" s="72"/>
      <c r="QZT31" s="72"/>
      <c r="QZU31" s="72"/>
      <c r="QZV31" s="72"/>
      <c r="QZW31" s="72"/>
      <c r="QZX31" s="72"/>
      <c r="QZY31" s="72"/>
      <c r="QZZ31" s="72"/>
      <c r="RAA31" s="72"/>
      <c r="RAB31" s="72"/>
      <c r="RAC31" s="72"/>
      <c r="RAD31" s="72"/>
      <c r="RAE31" s="72"/>
      <c r="RAF31" s="72"/>
      <c r="RAG31" s="72"/>
      <c r="RAH31" s="72"/>
      <c r="RAI31" s="72"/>
      <c r="RAJ31" s="72"/>
      <c r="RAK31" s="72"/>
      <c r="RAL31" s="72"/>
      <c r="RAM31" s="72"/>
      <c r="RAN31" s="72"/>
      <c r="RAO31" s="72"/>
      <c r="RAP31" s="72"/>
      <c r="RAQ31" s="72"/>
      <c r="RAR31" s="72"/>
      <c r="RAS31" s="72"/>
      <c r="RAT31" s="72"/>
      <c r="RAU31" s="72"/>
      <c r="RAV31" s="72"/>
      <c r="RAW31" s="72"/>
      <c r="RAX31" s="72"/>
      <c r="RAY31" s="72"/>
      <c r="RAZ31" s="72"/>
      <c r="RBA31" s="72"/>
      <c r="RBB31" s="72"/>
      <c r="RBC31" s="72"/>
      <c r="RBD31" s="72"/>
      <c r="RBE31" s="72"/>
      <c r="RBF31" s="72"/>
      <c r="RBG31" s="72"/>
      <c r="RBH31" s="72"/>
      <c r="RBI31" s="72"/>
      <c r="RBJ31" s="72"/>
      <c r="RBK31" s="72"/>
      <c r="RBL31" s="72"/>
      <c r="RBM31" s="72"/>
      <c r="RBN31" s="72"/>
      <c r="RBO31" s="72"/>
      <c r="RBP31" s="72"/>
      <c r="RBQ31" s="72"/>
      <c r="RBR31" s="72"/>
      <c r="RBS31" s="72"/>
      <c r="RBT31" s="72"/>
      <c r="RBU31" s="72"/>
      <c r="RBV31" s="72"/>
      <c r="RBW31" s="72"/>
      <c r="RBX31" s="72"/>
      <c r="RBY31" s="72"/>
      <c r="RBZ31" s="72"/>
      <c r="RCA31" s="72"/>
      <c r="RCB31" s="72"/>
      <c r="RCC31" s="72"/>
      <c r="RCD31" s="72"/>
      <c r="RCE31" s="72"/>
      <c r="RCF31" s="72"/>
      <c r="RCG31" s="72"/>
      <c r="RCH31" s="72"/>
      <c r="RCI31" s="72"/>
      <c r="RCJ31" s="72"/>
      <c r="RCK31" s="72"/>
      <c r="RCL31" s="72"/>
      <c r="RCM31" s="72"/>
      <c r="RCN31" s="72"/>
      <c r="RCO31" s="72"/>
      <c r="RCP31" s="72"/>
      <c r="RCQ31" s="72"/>
      <c r="RCR31" s="72"/>
      <c r="RCS31" s="72"/>
      <c r="RCT31" s="72"/>
      <c r="RCU31" s="72"/>
      <c r="RCV31" s="72"/>
      <c r="RCW31" s="72"/>
      <c r="RCX31" s="72"/>
      <c r="RCY31" s="72"/>
      <c r="RCZ31" s="72"/>
      <c r="RDA31" s="72"/>
      <c r="RDB31" s="72"/>
      <c r="RDC31" s="72"/>
      <c r="RDD31" s="72"/>
      <c r="RDE31" s="72"/>
      <c r="RDF31" s="72"/>
      <c r="RDG31" s="72"/>
      <c r="RDH31" s="72"/>
      <c r="RDI31" s="72"/>
      <c r="RDJ31" s="72"/>
      <c r="RDK31" s="72"/>
      <c r="RDL31" s="72"/>
      <c r="RDM31" s="72"/>
      <c r="RDN31" s="72"/>
      <c r="RDO31" s="72"/>
      <c r="RDP31" s="72"/>
      <c r="RDQ31" s="72"/>
      <c r="RDR31" s="72"/>
      <c r="RDS31" s="72"/>
      <c r="RDT31" s="72"/>
      <c r="RDU31" s="72"/>
      <c r="RDV31" s="72"/>
      <c r="RDW31" s="72"/>
      <c r="RDX31" s="72"/>
      <c r="RDY31" s="72"/>
      <c r="RDZ31" s="72"/>
      <c r="REA31" s="72"/>
      <c r="REB31" s="72"/>
      <c r="REC31" s="72"/>
      <c r="RED31" s="72"/>
      <c r="REE31" s="72"/>
      <c r="REF31" s="72"/>
      <c r="REG31" s="72"/>
      <c r="REH31" s="72"/>
      <c r="REI31" s="72"/>
      <c r="REJ31" s="72"/>
      <c r="REK31" s="72"/>
      <c r="REL31" s="72"/>
      <c r="REM31" s="72"/>
      <c r="REN31" s="72"/>
      <c r="REO31" s="72"/>
      <c r="REP31" s="72"/>
      <c r="REQ31" s="72"/>
      <c r="RER31" s="72"/>
      <c r="RES31" s="72"/>
      <c r="RET31" s="72"/>
      <c r="REU31" s="72"/>
      <c r="REV31" s="72"/>
      <c r="REW31" s="72"/>
      <c r="REX31" s="72"/>
      <c r="REY31" s="72"/>
      <c r="REZ31" s="72"/>
      <c r="RFA31" s="72"/>
      <c r="RFB31" s="72"/>
      <c r="RFC31" s="72"/>
      <c r="RFD31" s="72"/>
      <c r="RFE31" s="72"/>
      <c r="RFF31" s="72"/>
      <c r="RFG31" s="72"/>
      <c r="RFH31" s="72"/>
      <c r="RFI31" s="72"/>
      <c r="RFJ31" s="72"/>
      <c r="RFK31" s="72"/>
      <c r="RFL31" s="72"/>
      <c r="RFM31" s="72"/>
      <c r="RFN31" s="72"/>
      <c r="RFO31" s="72"/>
      <c r="RFP31" s="72"/>
      <c r="RFQ31" s="72"/>
      <c r="RFR31" s="72"/>
      <c r="RFS31" s="72"/>
      <c r="RFT31" s="72"/>
      <c r="RFU31" s="72"/>
      <c r="RFV31" s="72"/>
      <c r="RFW31" s="72"/>
      <c r="RFX31" s="72"/>
      <c r="RFY31" s="72"/>
      <c r="RFZ31" s="72"/>
      <c r="RGA31" s="72"/>
      <c r="RGB31" s="72"/>
      <c r="RGC31" s="72"/>
      <c r="RGD31" s="72"/>
      <c r="RGE31" s="72"/>
      <c r="RGF31" s="72"/>
      <c r="RGG31" s="72"/>
      <c r="RGH31" s="72"/>
      <c r="RGI31" s="72"/>
      <c r="RGJ31" s="72"/>
      <c r="RGK31" s="72"/>
      <c r="RGL31" s="72"/>
      <c r="RGM31" s="72"/>
      <c r="RGN31" s="72"/>
      <c r="RGO31" s="72"/>
      <c r="RGP31" s="72"/>
      <c r="RGQ31" s="72"/>
      <c r="RGR31" s="72"/>
      <c r="RGS31" s="72"/>
      <c r="RGT31" s="72"/>
      <c r="RGU31" s="72"/>
      <c r="RGV31" s="72"/>
      <c r="RGW31" s="72"/>
      <c r="RGX31" s="72"/>
      <c r="RGY31" s="72"/>
      <c r="RGZ31" s="72"/>
      <c r="RHA31" s="72"/>
      <c r="RHB31" s="72"/>
      <c r="RHC31" s="72"/>
      <c r="RHD31" s="72"/>
      <c r="RHE31" s="72"/>
      <c r="RHF31" s="72"/>
      <c r="RHG31" s="72"/>
      <c r="RHH31" s="72"/>
      <c r="RHI31" s="72"/>
      <c r="RHJ31" s="72"/>
      <c r="RHK31" s="72"/>
      <c r="RHL31" s="72"/>
      <c r="RHM31" s="72"/>
      <c r="RHN31" s="72"/>
      <c r="RHO31" s="72"/>
      <c r="RHP31" s="72"/>
      <c r="RHQ31" s="72"/>
      <c r="RHR31" s="72"/>
      <c r="RHS31" s="72"/>
      <c r="RHT31" s="72"/>
      <c r="RHU31" s="72"/>
      <c r="RHV31" s="72"/>
      <c r="RHW31" s="72"/>
      <c r="RHX31" s="72"/>
      <c r="RHY31" s="72"/>
      <c r="RHZ31" s="72"/>
      <c r="RIA31" s="72"/>
      <c r="RIB31" s="72"/>
      <c r="RIC31" s="72"/>
      <c r="RID31" s="72"/>
      <c r="RIE31" s="72"/>
      <c r="RIF31" s="72"/>
      <c r="RIG31" s="72"/>
      <c r="RIH31" s="72"/>
      <c r="RII31" s="72"/>
      <c r="RIJ31" s="72"/>
      <c r="RIK31" s="72"/>
      <c r="RIL31" s="72"/>
      <c r="RIM31" s="72"/>
      <c r="RIN31" s="72"/>
      <c r="RIO31" s="72"/>
      <c r="RIP31" s="72"/>
      <c r="RIQ31" s="72"/>
      <c r="RIR31" s="72"/>
      <c r="RIS31" s="72"/>
      <c r="RIT31" s="72"/>
      <c r="RIU31" s="72"/>
      <c r="RIV31" s="72"/>
      <c r="RIW31" s="72"/>
      <c r="RIX31" s="72"/>
      <c r="RIY31" s="72"/>
      <c r="RIZ31" s="72"/>
      <c r="RJA31" s="72"/>
      <c r="RJB31" s="72"/>
      <c r="RJC31" s="72"/>
      <c r="RJD31" s="72"/>
      <c r="RJE31" s="72"/>
      <c r="RJF31" s="72"/>
      <c r="RJG31" s="72"/>
      <c r="RJH31" s="72"/>
      <c r="RJI31" s="72"/>
      <c r="RJJ31" s="72"/>
      <c r="RJK31" s="72"/>
      <c r="RJL31" s="72"/>
      <c r="RJM31" s="72"/>
      <c r="RJN31" s="72"/>
      <c r="RJO31" s="72"/>
      <c r="RJP31" s="72"/>
      <c r="RJQ31" s="72"/>
      <c r="RJR31" s="72"/>
      <c r="RJS31" s="72"/>
      <c r="RJT31" s="72"/>
      <c r="RJU31" s="72"/>
      <c r="RJV31" s="72"/>
      <c r="RJW31" s="72"/>
      <c r="RJX31" s="72"/>
      <c r="RJY31" s="72"/>
      <c r="RJZ31" s="72"/>
      <c r="RKA31" s="72"/>
      <c r="RKB31" s="72"/>
      <c r="RKC31" s="72"/>
      <c r="RKD31" s="72"/>
      <c r="RKE31" s="72"/>
      <c r="RKF31" s="72"/>
      <c r="RKG31" s="72"/>
      <c r="RKH31" s="72"/>
      <c r="RKI31" s="72"/>
      <c r="RKJ31" s="72"/>
      <c r="RKK31" s="72"/>
      <c r="RKL31" s="72"/>
      <c r="RKM31" s="72"/>
      <c r="RKN31" s="72"/>
      <c r="RKO31" s="72"/>
      <c r="RKP31" s="72"/>
      <c r="RKQ31" s="72"/>
      <c r="RKR31" s="72"/>
      <c r="RKS31" s="72"/>
      <c r="RKT31" s="72"/>
      <c r="RKU31" s="72"/>
      <c r="RKV31" s="72"/>
      <c r="RKW31" s="72"/>
      <c r="RKX31" s="72"/>
      <c r="RKY31" s="72"/>
      <c r="RKZ31" s="72"/>
      <c r="RLA31" s="72"/>
      <c r="RLB31" s="72"/>
      <c r="RLC31" s="72"/>
      <c r="RLD31" s="72"/>
      <c r="RLE31" s="72"/>
      <c r="RLF31" s="72"/>
      <c r="RLG31" s="72"/>
      <c r="RLH31" s="72"/>
      <c r="RLI31" s="72"/>
      <c r="RLJ31" s="72"/>
      <c r="RLK31" s="72"/>
      <c r="RLL31" s="72"/>
      <c r="RLM31" s="72"/>
      <c r="RLN31" s="72"/>
      <c r="RLO31" s="72"/>
      <c r="RLP31" s="72"/>
      <c r="RLQ31" s="72"/>
      <c r="RLR31" s="72"/>
      <c r="RLS31" s="72"/>
      <c r="RLT31" s="72"/>
      <c r="RLU31" s="72"/>
      <c r="RLV31" s="72"/>
      <c r="RLW31" s="72"/>
      <c r="RLX31" s="72"/>
      <c r="RLY31" s="72"/>
      <c r="RLZ31" s="72"/>
      <c r="RMA31" s="72"/>
      <c r="RMB31" s="72"/>
      <c r="RMC31" s="72"/>
      <c r="RMD31" s="72"/>
      <c r="RME31" s="72"/>
      <c r="RMF31" s="72"/>
      <c r="RMG31" s="72"/>
      <c r="RMH31" s="72"/>
      <c r="RMI31" s="72"/>
      <c r="RMJ31" s="72"/>
      <c r="RMK31" s="72"/>
      <c r="RML31" s="72"/>
      <c r="RMM31" s="72"/>
      <c r="RMN31" s="72"/>
      <c r="RMO31" s="72"/>
      <c r="RMP31" s="72"/>
      <c r="RMQ31" s="72"/>
      <c r="RMR31" s="72"/>
      <c r="RMS31" s="72"/>
      <c r="RMT31" s="72"/>
      <c r="RMU31" s="72"/>
      <c r="RMV31" s="72"/>
      <c r="RMW31" s="72"/>
      <c r="RMX31" s="72"/>
      <c r="RMY31" s="72"/>
      <c r="RMZ31" s="72"/>
      <c r="RNA31" s="72"/>
      <c r="RNB31" s="72"/>
      <c r="RNC31" s="72"/>
      <c r="RND31" s="72"/>
      <c r="RNE31" s="72"/>
      <c r="RNF31" s="72"/>
      <c r="RNG31" s="72"/>
      <c r="RNH31" s="72"/>
      <c r="RNI31" s="72"/>
      <c r="RNJ31" s="72"/>
      <c r="RNK31" s="72"/>
      <c r="RNL31" s="72"/>
      <c r="RNM31" s="72"/>
      <c r="RNN31" s="72"/>
      <c r="RNO31" s="72"/>
      <c r="RNP31" s="72"/>
      <c r="RNQ31" s="72"/>
      <c r="RNR31" s="72"/>
      <c r="RNS31" s="72"/>
      <c r="RNT31" s="72"/>
      <c r="RNU31" s="72"/>
      <c r="RNV31" s="72"/>
      <c r="RNW31" s="72"/>
      <c r="RNX31" s="72"/>
      <c r="RNY31" s="72"/>
      <c r="RNZ31" s="72"/>
      <c r="ROA31" s="72"/>
      <c r="ROB31" s="72"/>
      <c r="ROC31" s="72"/>
      <c r="ROD31" s="72"/>
      <c r="ROE31" s="72"/>
      <c r="ROF31" s="72"/>
      <c r="ROG31" s="72"/>
      <c r="ROH31" s="72"/>
      <c r="ROI31" s="72"/>
      <c r="ROJ31" s="72"/>
      <c r="ROK31" s="72"/>
      <c r="ROL31" s="72"/>
      <c r="ROM31" s="72"/>
      <c r="RON31" s="72"/>
      <c r="ROO31" s="72"/>
      <c r="ROP31" s="72"/>
      <c r="ROQ31" s="72"/>
      <c r="ROR31" s="72"/>
      <c r="ROS31" s="72"/>
      <c r="ROT31" s="72"/>
      <c r="ROU31" s="72"/>
      <c r="ROV31" s="72"/>
      <c r="ROW31" s="72"/>
      <c r="ROX31" s="72"/>
      <c r="ROY31" s="72"/>
      <c r="ROZ31" s="72"/>
      <c r="RPA31" s="72"/>
      <c r="RPB31" s="72"/>
      <c r="RPC31" s="72"/>
      <c r="RPD31" s="72"/>
      <c r="RPE31" s="72"/>
      <c r="RPF31" s="72"/>
      <c r="RPG31" s="72"/>
      <c r="RPH31" s="72"/>
      <c r="RPI31" s="72"/>
      <c r="RPJ31" s="72"/>
      <c r="RPK31" s="72"/>
      <c r="RPL31" s="72"/>
      <c r="RPM31" s="72"/>
      <c r="RPN31" s="72"/>
      <c r="RPO31" s="72"/>
      <c r="RPP31" s="72"/>
      <c r="RPQ31" s="72"/>
      <c r="RPR31" s="72"/>
      <c r="RPS31" s="72"/>
      <c r="RPT31" s="72"/>
      <c r="RPU31" s="72"/>
      <c r="RPV31" s="72"/>
      <c r="RPW31" s="72"/>
      <c r="RPX31" s="72"/>
      <c r="RPY31" s="72"/>
      <c r="RPZ31" s="72"/>
      <c r="RQA31" s="72"/>
      <c r="RQB31" s="72"/>
      <c r="RQC31" s="72"/>
      <c r="RQD31" s="72"/>
      <c r="RQE31" s="72"/>
      <c r="RQF31" s="72"/>
      <c r="RQG31" s="72"/>
      <c r="RQH31" s="72"/>
      <c r="RQI31" s="72"/>
      <c r="RQJ31" s="72"/>
      <c r="RQK31" s="72"/>
      <c r="RQL31" s="72"/>
      <c r="RQM31" s="72"/>
      <c r="RQN31" s="72"/>
      <c r="RQO31" s="72"/>
      <c r="RQP31" s="72"/>
      <c r="RQQ31" s="72"/>
      <c r="RQR31" s="72"/>
      <c r="RQS31" s="72"/>
      <c r="RQT31" s="72"/>
      <c r="RQU31" s="72"/>
      <c r="RQV31" s="72"/>
      <c r="RQW31" s="72"/>
      <c r="RQX31" s="72"/>
      <c r="RQY31" s="72"/>
      <c r="RQZ31" s="72"/>
      <c r="RRA31" s="72"/>
      <c r="RRB31" s="72"/>
      <c r="RRC31" s="72"/>
      <c r="RRD31" s="72"/>
      <c r="RRE31" s="72"/>
      <c r="RRF31" s="72"/>
      <c r="RRG31" s="72"/>
      <c r="RRH31" s="72"/>
      <c r="RRI31" s="72"/>
      <c r="RRJ31" s="72"/>
      <c r="RRK31" s="72"/>
      <c r="RRL31" s="72"/>
      <c r="RRM31" s="72"/>
      <c r="RRN31" s="72"/>
      <c r="RRO31" s="72"/>
      <c r="RRP31" s="72"/>
      <c r="RRQ31" s="72"/>
      <c r="RRR31" s="72"/>
      <c r="RRS31" s="72"/>
      <c r="RRT31" s="72"/>
      <c r="RRU31" s="72"/>
      <c r="RRV31" s="72"/>
      <c r="RRW31" s="72"/>
      <c r="RRX31" s="72"/>
      <c r="RRY31" s="72"/>
      <c r="RRZ31" s="72"/>
      <c r="RSA31" s="72"/>
      <c r="RSB31" s="72"/>
      <c r="RSC31" s="72"/>
      <c r="RSD31" s="72"/>
      <c r="RSE31" s="72"/>
      <c r="RSF31" s="72"/>
      <c r="RSG31" s="72"/>
      <c r="RSH31" s="72"/>
      <c r="RSI31" s="72"/>
      <c r="RSJ31" s="72"/>
      <c r="RSK31" s="72"/>
      <c r="RSL31" s="72"/>
      <c r="RSM31" s="72"/>
      <c r="RSN31" s="72"/>
      <c r="RSO31" s="72"/>
      <c r="RSP31" s="72"/>
      <c r="RSQ31" s="72"/>
      <c r="RSR31" s="72"/>
      <c r="RSS31" s="72"/>
      <c r="RST31" s="72"/>
      <c r="RSU31" s="72"/>
      <c r="RSV31" s="72"/>
      <c r="RSW31" s="72"/>
      <c r="RSX31" s="72"/>
      <c r="RSY31" s="72"/>
      <c r="RSZ31" s="72"/>
      <c r="RTA31" s="72"/>
      <c r="RTB31" s="72"/>
      <c r="RTC31" s="72"/>
      <c r="RTD31" s="72"/>
      <c r="RTE31" s="72"/>
      <c r="RTF31" s="72"/>
      <c r="RTG31" s="72"/>
      <c r="RTH31" s="72"/>
      <c r="RTI31" s="72"/>
      <c r="RTJ31" s="72"/>
      <c r="RTK31" s="72"/>
      <c r="RTL31" s="72"/>
      <c r="RTM31" s="72"/>
      <c r="RTN31" s="72"/>
      <c r="RTO31" s="72"/>
      <c r="RTP31" s="72"/>
      <c r="RTQ31" s="72"/>
      <c r="RTR31" s="72"/>
      <c r="RTS31" s="72"/>
      <c r="RTT31" s="72"/>
      <c r="RTU31" s="72"/>
      <c r="RTV31" s="72"/>
      <c r="RTW31" s="72"/>
      <c r="RTX31" s="72"/>
      <c r="RTY31" s="72"/>
      <c r="RTZ31" s="72"/>
      <c r="RUA31" s="72"/>
      <c r="RUB31" s="72"/>
      <c r="RUC31" s="72"/>
      <c r="RUD31" s="72"/>
      <c r="RUE31" s="72"/>
      <c r="RUF31" s="72"/>
      <c r="RUG31" s="72"/>
      <c r="RUH31" s="72"/>
      <c r="RUI31" s="72"/>
      <c r="RUJ31" s="72"/>
      <c r="RUK31" s="72"/>
      <c r="RUL31" s="72"/>
      <c r="RUM31" s="72"/>
      <c r="RUN31" s="72"/>
      <c r="RUO31" s="72"/>
      <c r="RUP31" s="72"/>
      <c r="RUQ31" s="72"/>
      <c r="RUR31" s="72"/>
      <c r="RUS31" s="72"/>
      <c r="RUT31" s="72"/>
      <c r="RUU31" s="72"/>
      <c r="RUV31" s="72"/>
      <c r="RUW31" s="72"/>
      <c r="RUX31" s="72"/>
      <c r="RUY31" s="72"/>
      <c r="RUZ31" s="72"/>
      <c r="RVA31" s="72"/>
      <c r="RVB31" s="72"/>
      <c r="RVC31" s="72"/>
      <c r="RVD31" s="72"/>
      <c r="RVE31" s="72"/>
      <c r="RVF31" s="72"/>
      <c r="RVG31" s="72"/>
      <c r="RVH31" s="72"/>
      <c r="RVI31" s="72"/>
      <c r="RVJ31" s="72"/>
      <c r="RVK31" s="72"/>
      <c r="RVL31" s="72"/>
      <c r="RVM31" s="72"/>
      <c r="RVN31" s="72"/>
      <c r="RVO31" s="72"/>
      <c r="RVP31" s="72"/>
      <c r="RVQ31" s="72"/>
      <c r="RVR31" s="72"/>
      <c r="RVS31" s="72"/>
      <c r="RVT31" s="72"/>
      <c r="RVU31" s="72"/>
      <c r="RVV31" s="72"/>
      <c r="RVW31" s="72"/>
      <c r="RVX31" s="72"/>
      <c r="RVY31" s="72"/>
      <c r="RVZ31" s="72"/>
      <c r="RWA31" s="72"/>
      <c r="RWB31" s="72"/>
      <c r="RWC31" s="72"/>
      <c r="RWD31" s="72"/>
      <c r="RWE31" s="72"/>
      <c r="RWF31" s="72"/>
      <c r="RWG31" s="72"/>
      <c r="RWH31" s="72"/>
      <c r="RWI31" s="72"/>
      <c r="RWJ31" s="72"/>
      <c r="RWK31" s="72"/>
      <c r="RWL31" s="72"/>
      <c r="RWM31" s="72"/>
      <c r="RWN31" s="72"/>
      <c r="RWO31" s="72"/>
      <c r="RWP31" s="72"/>
      <c r="RWQ31" s="72"/>
      <c r="RWR31" s="72"/>
      <c r="RWS31" s="72"/>
      <c r="RWT31" s="72"/>
      <c r="RWU31" s="72"/>
      <c r="RWV31" s="72"/>
      <c r="RWW31" s="72"/>
      <c r="RWX31" s="72"/>
      <c r="RWY31" s="72"/>
      <c r="RWZ31" s="72"/>
      <c r="RXA31" s="72"/>
      <c r="RXB31" s="72"/>
      <c r="RXC31" s="72"/>
      <c r="RXD31" s="72"/>
      <c r="RXE31" s="72"/>
      <c r="RXF31" s="72"/>
      <c r="RXG31" s="72"/>
      <c r="RXH31" s="72"/>
      <c r="RXI31" s="72"/>
      <c r="RXJ31" s="72"/>
      <c r="RXK31" s="72"/>
      <c r="RXL31" s="72"/>
      <c r="RXM31" s="72"/>
      <c r="RXN31" s="72"/>
      <c r="RXO31" s="72"/>
      <c r="RXP31" s="72"/>
      <c r="RXQ31" s="72"/>
      <c r="RXR31" s="72"/>
      <c r="RXS31" s="72"/>
      <c r="RXT31" s="72"/>
      <c r="RXU31" s="72"/>
      <c r="RXV31" s="72"/>
      <c r="RXW31" s="72"/>
      <c r="RXX31" s="72"/>
      <c r="RXY31" s="72"/>
      <c r="RXZ31" s="72"/>
      <c r="RYA31" s="72"/>
      <c r="RYB31" s="72"/>
      <c r="RYC31" s="72"/>
      <c r="RYD31" s="72"/>
      <c r="RYE31" s="72"/>
      <c r="RYF31" s="72"/>
      <c r="RYG31" s="72"/>
      <c r="RYH31" s="72"/>
      <c r="RYI31" s="72"/>
      <c r="RYJ31" s="72"/>
      <c r="RYK31" s="72"/>
      <c r="RYL31" s="72"/>
      <c r="RYM31" s="72"/>
      <c r="RYN31" s="72"/>
      <c r="RYO31" s="72"/>
      <c r="RYP31" s="72"/>
      <c r="RYQ31" s="72"/>
      <c r="RYR31" s="72"/>
      <c r="RYS31" s="72"/>
      <c r="RYT31" s="72"/>
      <c r="RYU31" s="72"/>
      <c r="RYV31" s="72"/>
      <c r="RYW31" s="72"/>
      <c r="RYX31" s="72"/>
      <c r="RYY31" s="72"/>
      <c r="RYZ31" s="72"/>
      <c r="RZA31" s="72"/>
      <c r="RZB31" s="72"/>
      <c r="RZC31" s="72"/>
      <c r="RZD31" s="72"/>
      <c r="RZE31" s="72"/>
      <c r="RZF31" s="72"/>
      <c r="RZG31" s="72"/>
      <c r="RZH31" s="72"/>
      <c r="RZI31" s="72"/>
      <c r="RZJ31" s="72"/>
      <c r="RZK31" s="72"/>
      <c r="RZL31" s="72"/>
      <c r="RZM31" s="72"/>
      <c r="RZN31" s="72"/>
      <c r="RZO31" s="72"/>
      <c r="RZP31" s="72"/>
      <c r="RZQ31" s="72"/>
      <c r="RZR31" s="72"/>
      <c r="RZS31" s="72"/>
      <c r="RZT31" s="72"/>
      <c r="RZU31" s="72"/>
      <c r="RZV31" s="72"/>
      <c r="RZW31" s="72"/>
      <c r="RZX31" s="72"/>
      <c r="RZY31" s="72"/>
      <c r="RZZ31" s="72"/>
      <c r="SAA31" s="72"/>
      <c r="SAB31" s="72"/>
      <c r="SAC31" s="72"/>
      <c r="SAD31" s="72"/>
      <c r="SAE31" s="72"/>
      <c r="SAF31" s="72"/>
      <c r="SAG31" s="72"/>
      <c r="SAH31" s="72"/>
      <c r="SAI31" s="72"/>
      <c r="SAJ31" s="72"/>
      <c r="SAK31" s="72"/>
      <c r="SAL31" s="72"/>
      <c r="SAM31" s="72"/>
      <c r="SAN31" s="72"/>
      <c r="SAO31" s="72"/>
      <c r="SAP31" s="72"/>
      <c r="SAQ31" s="72"/>
      <c r="SAR31" s="72"/>
      <c r="SAS31" s="72"/>
      <c r="SAT31" s="72"/>
      <c r="SAU31" s="72"/>
      <c r="SAV31" s="72"/>
      <c r="SAW31" s="72"/>
      <c r="SAX31" s="72"/>
      <c r="SAY31" s="72"/>
      <c r="SAZ31" s="72"/>
      <c r="SBA31" s="72"/>
      <c r="SBB31" s="72"/>
      <c r="SBC31" s="72"/>
      <c r="SBD31" s="72"/>
      <c r="SBE31" s="72"/>
      <c r="SBF31" s="72"/>
      <c r="SBG31" s="72"/>
      <c r="SBH31" s="72"/>
      <c r="SBI31" s="72"/>
      <c r="SBJ31" s="72"/>
      <c r="SBK31" s="72"/>
      <c r="SBL31" s="72"/>
      <c r="SBM31" s="72"/>
      <c r="SBN31" s="72"/>
      <c r="SBO31" s="72"/>
      <c r="SBP31" s="72"/>
      <c r="SBQ31" s="72"/>
      <c r="SBR31" s="72"/>
      <c r="SBS31" s="72"/>
      <c r="SBT31" s="72"/>
      <c r="SBU31" s="72"/>
      <c r="SBV31" s="72"/>
      <c r="SBW31" s="72"/>
      <c r="SBX31" s="72"/>
      <c r="SBY31" s="72"/>
      <c r="SBZ31" s="72"/>
      <c r="SCA31" s="72"/>
      <c r="SCB31" s="72"/>
      <c r="SCC31" s="72"/>
      <c r="SCD31" s="72"/>
      <c r="SCE31" s="72"/>
      <c r="SCF31" s="72"/>
      <c r="SCG31" s="72"/>
      <c r="SCH31" s="72"/>
      <c r="SCI31" s="72"/>
      <c r="SCJ31" s="72"/>
      <c r="SCK31" s="72"/>
      <c r="SCL31" s="72"/>
      <c r="SCM31" s="72"/>
      <c r="SCN31" s="72"/>
      <c r="SCO31" s="72"/>
      <c r="SCP31" s="72"/>
      <c r="SCQ31" s="72"/>
      <c r="SCR31" s="72"/>
      <c r="SCS31" s="72"/>
      <c r="SCT31" s="72"/>
      <c r="SCU31" s="72"/>
      <c r="SCV31" s="72"/>
      <c r="SCW31" s="72"/>
      <c r="SCX31" s="72"/>
      <c r="SCY31" s="72"/>
      <c r="SCZ31" s="72"/>
      <c r="SDA31" s="72"/>
      <c r="SDB31" s="72"/>
      <c r="SDC31" s="72"/>
      <c r="SDD31" s="72"/>
      <c r="SDE31" s="72"/>
      <c r="SDF31" s="72"/>
      <c r="SDG31" s="72"/>
      <c r="SDH31" s="72"/>
      <c r="SDI31" s="72"/>
      <c r="SDJ31" s="72"/>
      <c r="SDK31" s="72"/>
      <c r="SDL31" s="72"/>
      <c r="SDM31" s="72"/>
      <c r="SDN31" s="72"/>
      <c r="SDO31" s="72"/>
      <c r="SDP31" s="72"/>
      <c r="SDQ31" s="72"/>
      <c r="SDR31" s="72"/>
      <c r="SDS31" s="72"/>
      <c r="SDT31" s="72"/>
      <c r="SDU31" s="72"/>
      <c r="SDV31" s="72"/>
      <c r="SDW31" s="72"/>
      <c r="SDX31" s="72"/>
      <c r="SDY31" s="72"/>
      <c r="SDZ31" s="72"/>
      <c r="SEA31" s="72"/>
      <c r="SEB31" s="72"/>
      <c r="SEC31" s="72"/>
      <c r="SED31" s="72"/>
      <c r="SEE31" s="72"/>
      <c r="SEF31" s="72"/>
      <c r="SEG31" s="72"/>
      <c r="SEH31" s="72"/>
      <c r="SEI31" s="72"/>
      <c r="SEJ31" s="72"/>
      <c r="SEK31" s="72"/>
      <c r="SEL31" s="72"/>
      <c r="SEM31" s="72"/>
      <c r="SEN31" s="72"/>
      <c r="SEO31" s="72"/>
      <c r="SEP31" s="72"/>
      <c r="SEQ31" s="72"/>
      <c r="SER31" s="72"/>
      <c r="SES31" s="72"/>
      <c r="SET31" s="72"/>
      <c r="SEU31" s="72"/>
      <c r="SEV31" s="72"/>
      <c r="SEW31" s="72"/>
      <c r="SEX31" s="72"/>
      <c r="SEY31" s="72"/>
      <c r="SEZ31" s="72"/>
      <c r="SFA31" s="72"/>
      <c r="SFB31" s="72"/>
      <c r="SFC31" s="72"/>
      <c r="SFD31" s="72"/>
      <c r="SFE31" s="72"/>
      <c r="SFF31" s="72"/>
      <c r="SFG31" s="72"/>
      <c r="SFH31" s="72"/>
      <c r="SFI31" s="72"/>
      <c r="SFJ31" s="72"/>
      <c r="SFK31" s="72"/>
      <c r="SFL31" s="72"/>
      <c r="SFM31" s="72"/>
      <c r="SFN31" s="72"/>
      <c r="SFO31" s="72"/>
      <c r="SFP31" s="72"/>
      <c r="SFQ31" s="72"/>
      <c r="SFR31" s="72"/>
      <c r="SFS31" s="72"/>
      <c r="SFT31" s="72"/>
      <c r="SFU31" s="72"/>
      <c r="SFV31" s="72"/>
      <c r="SFW31" s="72"/>
      <c r="SFX31" s="72"/>
      <c r="SFY31" s="72"/>
      <c r="SFZ31" s="72"/>
      <c r="SGA31" s="72"/>
      <c r="SGB31" s="72"/>
      <c r="SGC31" s="72"/>
      <c r="SGD31" s="72"/>
      <c r="SGE31" s="72"/>
      <c r="SGF31" s="72"/>
      <c r="SGG31" s="72"/>
      <c r="SGH31" s="72"/>
      <c r="SGI31" s="72"/>
      <c r="SGJ31" s="72"/>
      <c r="SGK31" s="72"/>
      <c r="SGL31" s="72"/>
      <c r="SGM31" s="72"/>
      <c r="SGN31" s="72"/>
      <c r="SGO31" s="72"/>
      <c r="SGP31" s="72"/>
      <c r="SGQ31" s="72"/>
      <c r="SGR31" s="72"/>
      <c r="SGS31" s="72"/>
      <c r="SGT31" s="72"/>
      <c r="SGU31" s="72"/>
      <c r="SGV31" s="72"/>
      <c r="SGW31" s="72"/>
      <c r="SGX31" s="72"/>
      <c r="SGY31" s="72"/>
      <c r="SGZ31" s="72"/>
      <c r="SHA31" s="72"/>
      <c r="SHB31" s="72"/>
      <c r="SHC31" s="72"/>
      <c r="SHD31" s="72"/>
      <c r="SHE31" s="72"/>
      <c r="SHF31" s="72"/>
      <c r="SHG31" s="72"/>
      <c r="SHH31" s="72"/>
      <c r="SHI31" s="72"/>
      <c r="SHJ31" s="72"/>
      <c r="SHK31" s="72"/>
      <c r="SHL31" s="72"/>
      <c r="SHM31" s="72"/>
      <c r="SHN31" s="72"/>
      <c r="SHO31" s="72"/>
      <c r="SHP31" s="72"/>
      <c r="SHQ31" s="72"/>
      <c r="SHR31" s="72"/>
      <c r="SHS31" s="72"/>
      <c r="SHT31" s="72"/>
      <c r="SHU31" s="72"/>
      <c r="SHV31" s="72"/>
      <c r="SHW31" s="72"/>
      <c r="SHX31" s="72"/>
      <c r="SHY31" s="72"/>
      <c r="SHZ31" s="72"/>
      <c r="SIA31" s="72"/>
      <c r="SIB31" s="72"/>
      <c r="SIC31" s="72"/>
      <c r="SID31" s="72"/>
      <c r="SIE31" s="72"/>
      <c r="SIF31" s="72"/>
      <c r="SIG31" s="72"/>
      <c r="SIH31" s="72"/>
      <c r="SII31" s="72"/>
      <c r="SIJ31" s="72"/>
      <c r="SIK31" s="72"/>
      <c r="SIL31" s="72"/>
      <c r="SIM31" s="72"/>
      <c r="SIN31" s="72"/>
      <c r="SIO31" s="72"/>
      <c r="SIP31" s="72"/>
      <c r="SIQ31" s="72"/>
      <c r="SIR31" s="72"/>
      <c r="SIS31" s="72"/>
      <c r="SIT31" s="72"/>
      <c r="SIU31" s="72"/>
      <c r="SIV31" s="72"/>
      <c r="SIW31" s="72"/>
      <c r="SIX31" s="72"/>
      <c r="SIY31" s="72"/>
      <c r="SIZ31" s="72"/>
      <c r="SJA31" s="72"/>
      <c r="SJB31" s="72"/>
      <c r="SJC31" s="72"/>
      <c r="SJD31" s="72"/>
      <c r="SJE31" s="72"/>
      <c r="SJF31" s="72"/>
      <c r="SJG31" s="72"/>
      <c r="SJH31" s="72"/>
      <c r="SJI31" s="72"/>
      <c r="SJJ31" s="72"/>
      <c r="SJK31" s="72"/>
      <c r="SJL31" s="72"/>
      <c r="SJM31" s="72"/>
      <c r="SJN31" s="72"/>
      <c r="SJO31" s="72"/>
      <c r="SJP31" s="72"/>
      <c r="SJQ31" s="72"/>
      <c r="SJR31" s="72"/>
      <c r="SJS31" s="72"/>
      <c r="SJT31" s="72"/>
      <c r="SJU31" s="72"/>
      <c r="SJV31" s="72"/>
      <c r="SJW31" s="72"/>
      <c r="SJX31" s="72"/>
      <c r="SJY31" s="72"/>
      <c r="SJZ31" s="72"/>
      <c r="SKA31" s="72"/>
      <c r="SKB31" s="72"/>
      <c r="SKC31" s="72"/>
      <c r="SKD31" s="72"/>
      <c r="SKE31" s="72"/>
      <c r="SKF31" s="72"/>
      <c r="SKG31" s="72"/>
      <c r="SKH31" s="72"/>
      <c r="SKI31" s="72"/>
      <c r="SKJ31" s="72"/>
      <c r="SKK31" s="72"/>
      <c r="SKL31" s="72"/>
      <c r="SKM31" s="72"/>
      <c r="SKN31" s="72"/>
      <c r="SKO31" s="72"/>
      <c r="SKP31" s="72"/>
      <c r="SKQ31" s="72"/>
      <c r="SKR31" s="72"/>
      <c r="SKS31" s="72"/>
      <c r="SKT31" s="72"/>
      <c r="SKU31" s="72"/>
      <c r="SKV31" s="72"/>
      <c r="SKW31" s="72"/>
      <c r="SKX31" s="72"/>
      <c r="SKY31" s="72"/>
      <c r="SKZ31" s="72"/>
      <c r="SLA31" s="72"/>
      <c r="SLB31" s="72"/>
      <c r="SLC31" s="72"/>
      <c r="SLD31" s="72"/>
      <c r="SLE31" s="72"/>
      <c r="SLF31" s="72"/>
      <c r="SLG31" s="72"/>
      <c r="SLH31" s="72"/>
      <c r="SLI31" s="72"/>
      <c r="SLJ31" s="72"/>
      <c r="SLK31" s="72"/>
      <c r="SLL31" s="72"/>
      <c r="SLM31" s="72"/>
      <c r="SLN31" s="72"/>
      <c r="SLO31" s="72"/>
      <c r="SLP31" s="72"/>
      <c r="SLQ31" s="72"/>
      <c r="SLR31" s="72"/>
      <c r="SLS31" s="72"/>
      <c r="SLT31" s="72"/>
      <c r="SLU31" s="72"/>
      <c r="SLV31" s="72"/>
      <c r="SLW31" s="72"/>
      <c r="SLX31" s="72"/>
      <c r="SLY31" s="72"/>
      <c r="SLZ31" s="72"/>
      <c r="SMA31" s="72"/>
      <c r="SMB31" s="72"/>
      <c r="SMC31" s="72"/>
      <c r="SMD31" s="72"/>
      <c r="SME31" s="72"/>
      <c r="SMF31" s="72"/>
      <c r="SMG31" s="72"/>
      <c r="SMH31" s="72"/>
      <c r="SMI31" s="72"/>
      <c r="SMJ31" s="72"/>
      <c r="SMK31" s="72"/>
      <c r="SML31" s="72"/>
      <c r="SMM31" s="72"/>
      <c r="SMN31" s="72"/>
      <c r="SMO31" s="72"/>
      <c r="SMP31" s="72"/>
      <c r="SMQ31" s="72"/>
      <c r="SMR31" s="72"/>
      <c r="SMS31" s="72"/>
      <c r="SMT31" s="72"/>
      <c r="SMU31" s="72"/>
      <c r="SMV31" s="72"/>
      <c r="SMW31" s="72"/>
      <c r="SMX31" s="72"/>
      <c r="SMY31" s="72"/>
      <c r="SMZ31" s="72"/>
      <c r="SNA31" s="72"/>
      <c r="SNB31" s="72"/>
      <c r="SNC31" s="72"/>
      <c r="SND31" s="72"/>
      <c r="SNE31" s="72"/>
      <c r="SNF31" s="72"/>
      <c r="SNG31" s="72"/>
      <c r="SNH31" s="72"/>
      <c r="SNI31" s="72"/>
      <c r="SNJ31" s="72"/>
      <c r="SNK31" s="72"/>
      <c r="SNL31" s="72"/>
      <c r="SNM31" s="72"/>
      <c r="SNN31" s="72"/>
      <c r="SNO31" s="72"/>
      <c r="SNP31" s="72"/>
      <c r="SNQ31" s="72"/>
      <c r="SNR31" s="72"/>
      <c r="SNS31" s="72"/>
      <c r="SNT31" s="72"/>
      <c r="SNU31" s="72"/>
      <c r="SNV31" s="72"/>
      <c r="SNW31" s="72"/>
      <c r="SNX31" s="72"/>
      <c r="SNY31" s="72"/>
      <c r="SNZ31" s="72"/>
      <c r="SOA31" s="72"/>
      <c r="SOB31" s="72"/>
      <c r="SOC31" s="72"/>
      <c r="SOD31" s="72"/>
      <c r="SOE31" s="72"/>
      <c r="SOF31" s="72"/>
      <c r="SOG31" s="72"/>
      <c r="SOH31" s="72"/>
      <c r="SOI31" s="72"/>
      <c r="SOJ31" s="72"/>
      <c r="SOK31" s="72"/>
      <c r="SOL31" s="72"/>
      <c r="SOM31" s="72"/>
      <c r="SON31" s="72"/>
      <c r="SOO31" s="72"/>
      <c r="SOP31" s="72"/>
      <c r="SOQ31" s="72"/>
      <c r="SOR31" s="72"/>
      <c r="SOS31" s="72"/>
      <c r="SOT31" s="72"/>
      <c r="SOU31" s="72"/>
      <c r="SOV31" s="72"/>
      <c r="SOW31" s="72"/>
      <c r="SOX31" s="72"/>
      <c r="SOY31" s="72"/>
      <c r="SOZ31" s="72"/>
      <c r="SPA31" s="72"/>
      <c r="SPB31" s="72"/>
      <c r="SPC31" s="72"/>
      <c r="SPD31" s="72"/>
      <c r="SPE31" s="72"/>
      <c r="SPF31" s="72"/>
      <c r="SPG31" s="72"/>
      <c r="SPH31" s="72"/>
      <c r="SPI31" s="72"/>
      <c r="SPJ31" s="72"/>
      <c r="SPK31" s="72"/>
      <c r="SPL31" s="72"/>
      <c r="SPM31" s="72"/>
      <c r="SPN31" s="72"/>
      <c r="SPO31" s="72"/>
      <c r="SPP31" s="72"/>
      <c r="SPQ31" s="72"/>
      <c r="SPR31" s="72"/>
      <c r="SPS31" s="72"/>
      <c r="SPT31" s="72"/>
      <c r="SPU31" s="72"/>
      <c r="SPV31" s="72"/>
      <c r="SPW31" s="72"/>
      <c r="SPX31" s="72"/>
      <c r="SPY31" s="72"/>
      <c r="SPZ31" s="72"/>
      <c r="SQA31" s="72"/>
      <c r="SQB31" s="72"/>
      <c r="SQC31" s="72"/>
      <c r="SQD31" s="72"/>
      <c r="SQE31" s="72"/>
      <c r="SQF31" s="72"/>
      <c r="SQG31" s="72"/>
      <c r="SQH31" s="72"/>
      <c r="SQI31" s="72"/>
      <c r="SQJ31" s="72"/>
      <c r="SQK31" s="72"/>
      <c r="SQL31" s="72"/>
      <c r="SQM31" s="72"/>
      <c r="SQN31" s="72"/>
      <c r="SQO31" s="72"/>
      <c r="SQP31" s="72"/>
      <c r="SQQ31" s="72"/>
      <c r="SQR31" s="72"/>
      <c r="SQS31" s="72"/>
      <c r="SQT31" s="72"/>
      <c r="SQU31" s="72"/>
      <c r="SQV31" s="72"/>
      <c r="SQW31" s="72"/>
      <c r="SQX31" s="72"/>
      <c r="SQY31" s="72"/>
      <c r="SQZ31" s="72"/>
      <c r="SRA31" s="72"/>
      <c r="SRB31" s="72"/>
      <c r="SRC31" s="72"/>
      <c r="SRD31" s="72"/>
      <c r="SRE31" s="72"/>
      <c r="SRF31" s="72"/>
      <c r="SRG31" s="72"/>
      <c r="SRH31" s="72"/>
      <c r="SRI31" s="72"/>
      <c r="SRJ31" s="72"/>
      <c r="SRK31" s="72"/>
      <c r="SRL31" s="72"/>
      <c r="SRM31" s="72"/>
      <c r="SRN31" s="72"/>
      <c r="SRO31" s="72"/>
      <c r="SRP31" s="72"/>
      <c r="SRQ31" s="72"/>
      <c r="SRR31" s="72"/>
      <c r="SRS31" s="72"/>
      <c r="SRT31" s="72"/>
      <c r="SRU31" s="72"/>
      <c r="SRV31" s="72"/>
      <c r="SRW31" s="72"/>
      <c r="SRX31" s="72"/>
      <c r="SRY31" s="72"/>
      <c r="SRZ31" s="72"/>
      <c r="SSA31" s="72"/>
      <c r="SSB31" s="72"/>
      <c r="SSC31" s="72"/>
      <c r="SSD31" s="72"/>
      <c r="SSE31" s="72"/>
      <c r="SSF31" s="72"/>
      <c r="SSG31" s="72"/>
      <c r="SSH31" s="72"/>
      <c r="SSI31" s="72"/>
      <c r="SSJ31" s="72"/>
      <c r="SSK31" s="72"/>
      <c r="SSL31" s="72"/>
      <c r="SSM31" s="72"/>
      <c r="SSN31" s="72"/>
      <c r="SSO31" s="72"/>
      <c r="SSP31" s="72"/>
      <c r="SSQ31" s="72"/>
      <c r="SSR31" s="72"/>
      <c r="SSS31" s="72"/>
      <c r="SST31" s="72"/>
      <c r="SSU31" s="72"/>
      <c r="SSV31" s="72"/>
      <c r="SSW31" s="72"/>
      <c r="SSX31" s="72"/>
      <c r="SSY31" s="72"/>
      <c r="SSZ31" s="72"/>
      <c r="STA31" s="72"/>
      <c r="STB31" s="72"/>
      <c r="STC31" s="72"/>
      <c r="STD31" s="72"/>
      <c r="STE31" s="72"/>
      <c r="STF31" s="72"/>
      <c r="STG31" s="72"/>
      <c r="STH31" s="72"/>
      <c r="STI31" s="72"/>
      <c r="STJ31" s="72"/>
      <c r="STK31" s="72"/>
      <c r="STL31" s="72"/>
      <c r="STM31" s="72"/>
      <c r="STN31" s="72"/>
      <c r="STO31" s="72"/>
      <c r="STP31" s="72"/>
      <c r="STQ31" s="72"/>
      <c r="STR31" s="72"/>
      <c r="STS31" s="72"/>
      <c r="STT31" s="72"/>
      <c r="STU31" s="72"/>
      <c r="STV31" s="72"/>
      <c r="STW31" s="72"/>
      <c r="STX31" s="72"/>
      <c r="STY31" s="72"/>
      <c r="STZ31" s="72"/>
      <c r="SUA31" s="72"/>
      <c r="SUB31" s="72"/>
      <c r="SUC31" s="72"/>
      <c r="SUD31" s="72"/>
      <c r="SUE31" s="72"/>
      <c r="SUF31" s="72"/>
      <c r="SUG31" s="72"/>
      <c r="SUH31" s="72"/>
      <c r="SUI31" s="72"/>
      <c r="SUJ31" s="72"/>
      <c r="SUK31" s="72"/>
      <c r="SUL31" s="72"/>
      <c r="SUM31" s="72"/>
      <c r="SUN31" s="72"/>
      <c r="SUO31" s="72"/>
      <c r="SUP31" s="72"/>
      <c r="SUQ31" s="72"/>
      <c r="SUR31" s="72"/>
      <c r="SUS31" s="72"/>
      <c r="SUT31" s="72"/>
      <c r="SUU31" s="72"/>
      <c r="SUV31" s="72"/>
      <c r="SUW31" s="72"/>
      <c r="SUX31" s="72"/>
      <c r="SUY31" s="72"/>
      <c r="SUZ31" s="72"/>
      <c r="SVA31" s="72"/>
      <c r="SVB31" s="72"/>
      <c r="SVC31" s="72"/>
      <c r="SVD31" s="72"/>
      <c r="SVE31" s="72"/>
      <c r="SVF31" s="72"/>
      <c r="SVG31" s="72"/>
      <c r="SVH31" s="72"/>
      <c r="SVI31" s="72"/>
      <c r="SVJ31" s="72"/>
      <c r="SVK31" s="72"/>
      <c r="SVL31" s="72"/>
      <c r="SVM31" s="72"/>
      <c r="SVN31" s="72"/>
      <c r="SVO31" s="72"/>
      <c r="SVP31" s="72"/>
      <c r="SVQ31" s="72"/>
      <c r="SVR31" s="72"/>
      <c r="SVS31" s="72"/>
      <c r="SVT31" s="72"/>
      <c r="SVU31" s="72"/>
      <c r="SVV31" s="72"/>
      <c r="SVW31" s="72"/>
      <c r="SVX31" s="72"/>
      <c r="SVY31" s="72"/>
      <c r="SVZ31" s="72"/>
      <c r="SWA31" s="72"/>
      <c r="SWB31" s="72"/>
      <c r="SWC31" s="72"/>
      <c r="SWD31" s="72"/>
      <c r="SWE31" s="72"/>
      <c r="SWF31" s="72"/>
      <c r="SWG31" s="72"/>
      <c r="SWH31" s="72"/>
      <c r="SWI31" s="72"/>
      <c r="SWJ31" s="72"/>
      <c r="SWK31" s="72"/>
      <c r="SWL31" s="72"/>
      <c r="SWM31" s="72"/>
      <c r="SWN31" s="72"/>
      <c r="SWO31" s="72"/>
      <c r="SWP31" s="72"/>
      <c r="SWQ31" s="72"/>
      <c r="SWR31" s="72"/>
      <c r="SWS31" s="72"/>
      <c r="SWT31" s="72"/>
      <c r="SWU31" s="72"/>
      <c r="SWV31" s="72"/>
      <c r="SWW31" s="72"/>
      <c r="SWX31" s="72"/>
      <c r="SWY31" s="72"/>
      <c r="SWZ31" s="72"/>
      <c r="SXA31" s="72"/>
      <c r="SXB31" s="72"/>
      <c r="SXC31" s="72"/>
      <c r="SXD31" s="72"/>
      <c r="SXE31" s="72"/>
      <c r="SXF31" s="72"/>
      <c r="SXG31" s="72"/>
      <c r="SXH31" s="72"/>
      <c r="SXI31" s="72"/>
      <c r="SXJ31" s="72"/>
      <c r="SXK31" s="72"/>
      <c r="SXL31" s="72"/>
      <c r="SXM31" s="72"/>
      <c r="SXN31" s="72"/>
      <c r="SXO31" s="72"/>
      <c r="SXP31" s="72"/>
      <c r="SXQ31" s="72"/>
      <c r="SXR31" s="72"/>
      <c r="SXS31" s="72"/>
      <c r="SXT31" s="72"/>
      <c r="SXU31" s="72"/>
      <c r="SXV31" s="72"/>
      <c r="SXW31" s="72"/>
      <c r="SXX31" s="72"/>
      <c r="SXY31" s="72"/>
      <c r="SXZ31" s="72"/>
      <c r="SYA31" s="72"/>
      <c r="SYB31" s="72"/>
      <c r="SYC31" s="72"/>
      <c r="SYD31" s="72"/>
      <c r="SYE31" s="72"/>
      <c r="SYF31" s="72"/>
      <c r="SYG31" s="72"/>
      <c r="SYH31" s="72"/>
      <c r="SYI31" s="72"/>
      <c r="SYJ31" s="72"/>
      <c r="SYK31" s="72"/>
      <c r="SYL31" s="72"/>
      <c r="SYM31" s="72"/>
      <c r="SYN31" s="72"/>
      <c r="SYO31" s="72"/>
      <c r="SYP31" s="72"/>
      <c r="SYQ31" s="72"/>
      <c r="SYR31" s="72"/>
      <c r="SYS31" s="72"/>
      <c r="SYT31" s="72"/>
      <c r="SYU31" s="72"/>
      <c r="SYV31" s="72"/>
      <c r="SYW31" s="72"/>
      <c r="SYX31" s="72"/>
      <c r="SYY31" s="72"/>
      <c r="SYZ31" s="72"/>
      <c r="SZA31" s="72"/>
      <c r="SZB31" s="72"/>
      <c r="SZC31" s="72"/>
      <c r="SZD31" s="72"/>
      <c r="SZE31" s="72"/>
      <c r="SZF31" s="72"/>
      <c r="SZG31" s="72"/>
      <c r="SZH31" s="72"/>
      <c r="SZI31" s="72"/>
      <c r="SZJ31" s="72"/>
      <c r="SZK31" s="72"/>
      <c r="SZL31" s="72"/>
      <c r="SZM31" s="72"/>
      <c r="SZN31" s="72"/>
      <c r="SZO31" s="72"/>
      <c r="SZP31" s="72"/>
      <c r="SZQ31" s="72"/>
      <c r="SZR31" s="72"/>
      <c r="SZS31" s="72"/>
      <c r="SZT31" s="72"/>
      <c r="SZU31" s="72"/>
      <c r="SZV31" s="72"/>
      <c r="SZW31" s="72"/>
      <c r="SZX31" s="72"/>
      <c r="SZY31" s="72"/>
      <c r="SZZ31" s="72"/>
      <c r="TAA31" s="72"/>
      <c r="TAB31" s="72"/>
      <c r="TAC31" s="72"/>
      <c r="TAD31" s="72"/>
      <c r="TAE31" s="72"/>
      <c r="TAF31" s="72"/>
      <c r="TAG31" s="72"/>
      <c r="TAH31" s="72"/>
      <c r="TAI31" s="72"/>
      <c r="TAJ31" s="72"/>
      <c r="TAK31" s="72"/>
      <c r="TAL31" s="72"/>
      <c r="TAM31" s="72"/>
      <c r="TAN31" s="72"/>
      <c r="TAO31" s="72"/>
      <c r="TAP31" s="72"/>
      <c r="TAQ31" s="72"/>
      <c r="TAR31" s="72"/>
      <c r="TAS31" s="72"/>
      <c r="TAT31" s="72"/>
      <c r="TAU31" s="72"/>
      <c r="TAV31" s="72"/>
      <c r="TAW31" s="72"/>
      <c r="TAX31" s="72"/>
      <c r="TAY31" s="72"/>
      <c r="TAZ31" s="72"/>
      <c r="TBA31" s="72"/>
      <c r="TBB31" s="72"/>
      <c r="TBC31" s="72"/>
      <c r="TBD31" s="72"/>
      <c r="TBE31" s="72"/>
      <c r="TBF31" s="72"/>
      <c r="TBG31" s="72"/>
      <c r="TBH31" s="72"/>
      <c r="TBI31" s="72"/>
      <c r="TBJ31" s="72"/>
      <c r="TBK31" s="72"/>
      <c r="TBL31" s="72"/>
      <c r="TBM31" s="72"/>
      <c r="TBN31" s="72"/>
      <c r="TBO31" s="72"/>
      <c r="TBP31" s="72"/>
      <c r="TBQ31" s="72"/>
      <c r="TBR31" s="72"/>
      <c r="TBS31" s="72"/>
      <c r="TBT31" s="72"/>
      <c r="TBU31" s="72"/>
      <c r="TBV31" s="72"/>
      <c r="TBW31" s="72"/>
      <c r="TBX31" s="72"/>
      <c r="TBY31" s="72"/>
      <c r="TBZ31" s="72"/>
      <c r="TCA31" s="72"/>
      <c r="TCB31" s="72"/>
      <c r="TCC31" s="72"/>
      <c r="TCD31" s="72"/>
      <c r="TCE31" s="72"/>
      <c r="TCF31" s="72"/>
      <c r="TCG31" s="72"/>
      <c r="TCH31" s="72"/>
      <c r="TCI31" s="72"/>
      <c r="TCJ31" s="72"/>
      <c r="TCK31" s="72"/>
      <c r="TCL31" s="72"/>
      <c r="TCM31" s="72"/>
      <c r="TCN31" s="72"/>
      <c r="TCO31" s="72"/>
      <c r="TCP31" s="72"/>
      <c r="TCQ31" s="72"/>
      <c r="TCR31" s="72"/>
      <c r="TCS31" s="72"/>
      <c r="TCT31" s="72"/>
      <c r="TCU31" s="72"/>
      <c r="TCV31" s="72"/>
      <c r="TCW31" s="72"/>
      <c r="TCX31" s="72"/>
      <c r="TCY31" s="72"/>
      <c r="TCZ31" s="72"/>
      <c r="TDA31" s="72"/>
      <c r="TDB31" s="72"/>
      <c r="TDC31" s="72"/>
      <c r="TDD31" s="72"/>
      <c r="TDE31" s="72"/>
      <c r="TDF31" s="72"/>
      <c r="TDG31" s="72"/>
      <c r="TDH31" s="72"/>
      <c r="TDI31" s="72"/>
      <c r="TDJ31" s="72"/>
      <c r="TDK31" s="72"/>
      <c r="TDL31" s="72"/>
      <c r="TDM31" s="72"/>
      <c r="TDN31" s="72"/>
      <c r="TDO31" s="72"/>
      <c r="TDP31" s="72"/>
      <c r="TDQ31" s="72"/>
      <c r="TDR31" s="72"/>
      <c r="TDS31" s="72"/>
      <c r="TDT31" s="72"/>
      <c r="TDU31" s="72"/>
      <c r="TDV31" s="72"/>
      <c r="TDW31" s="72"/>
      <c r="TDX31" s="72"/>
      <c r="TDY31" s="72"/>
      <c r="TDZ31" s="72"/>
      <c r="TEA31" s="72"/>
      <c r="TEB31" s="72"/>
      <c r="TEC31" s="72"/>
      <c r="TED31" s="72"/>
      <c r="TEE31" s="72"/>
      <c r="TEF31" s="72"/>
      <c r="TEG31" s="72"/>
      <c r="TEH31" s="72"/>
      <c r="TEI31" s="72"/>
      <c r="TEJ31" s="72"/>
      <c r="TEK31" s="72"/>
      <c r="TEL31" s="72"/>
      <c r="TEM31" s="72"/>
      <c r="TEN31" s="72"/>
      <c r="TEO31" s="72"/>
      <c r="TEP31" s="72"/>
      <c r="TEQ31" s="72"/>
      <c r="TER31" s="72"/>
      <c r="TES31" s="72"/>
      <c r="TET31" s="72"/>
      <c r="TEU31" s="72"/>
      <c r="TEV31" s="72"/>
      <c r="TEW31" s="72"/>
      <c r="TEX31" s="72"/>
      <c r="TEY31" s="72"/>
      <c r="TEZ31" s="72"/>
      <c r="TFA31" s="72"/>
      <c r="TFB31" s="72"/>
      <c r="TFC31" s="72"/>
      <c r="TFD31" s="72"/>
      <c r="TFE31" s="72"/>
      <c r="TFF31" s="72"/>
      <c r="TFG31" s="72"/>
      <c r="TFH31" s="72"/>
      <c r="TFI31" s="72"/>
      <c r="TFJ31" s="72"/>
      <c r="TFK31" s="72"/>
      <c r="TFL31" s="72"/>
      <c r="TFM31" s="72"/>
      <c r="TFN31" s="72"/>
      <c r="TFO31" s="72"/>
      <c r="TFP31" s="72"/>
      <c r="TFQ31" s="72"/>
      <c r="TFR31" s="72"/>
      <c r="TFS31" s="72"/>
      <c r="TFT31" s="72"/>
      <c r="TFU31" s="72"/>
      <c r="TFV31" s="72"/>
      <c r="TFW31" s="72"/>
      <c r="TFX31" s="72"/>
      <c r="TFY31" s="72"/>
      <c r="TFZ31" s="72"/>
      <c r="TGA31" s="72"/>
      <c r="TGB31" s="72"/>
      <c r="TGC31" s="72"/>
      <c r="TGD31" s="72"/>
      <c r="TGE31" s="72"/>
      <c r="TGF31" s="72"/>
      <c r="TGG31" s="72"/>
      <c r="TGH31" s="72"/>
      <c r="TGI31" s="72"/>
      <c r="TGJ31" s="72"/>
      <c r="TGK31" s="72"/>
      <c r="TGL31" s="72"/>
      <c r="TGM31" s="72"/>
      <c r="TGN31" s="72"/>
      <c r="TGO31" s="72"/>
      <c r="TGP31" s="72"/>
      <c r="TGQ31" s="72"/>
      <c r="TGR31" s="72"/>
      <c r="TGS31" s="72"/>
      <c r="TGT31" s="72"/>
      <c r="TGU31" s="72"/>
      <c r="TGV31" s="72"/>
      <c r="TGW31" s="72"/>
      <c r="TGX31" s="72"/>
      <c r="TGY31" s="72"/>
      <c r="TGZ31" s="72"/>
      <c r="THA31" s="72"/>
      <c r="THB31" s="72"/>
      <c r="THC31" s="72"/>
      <c r="THD31" s="72"/>
      <c r="THE31" s="72"/>
      <c r="THF31" s="72"/>
      <c r="THG31" s="72"/>
      <c r="THH31" s="72"/>
      <c r="THI31" s="72"/>
      <c r="THJ31" s="72"/>
      <c r="THK31" s="72"/>
      <c r="THL31" s="72"/>
      <c r="THM31" s="72"/>
      <c r="THN31" s="72"/>
      <c r="THO31" s="72"/>
      <c r="THP31" s="72"/>
      <c r="THQ31" s="72"/>
      <c r="THR31" s="72"/>
      <c r="THS31" s="72"/>
      <c r="THT31" s="72"/>
      <c r="THU31" s="72"/>
      <c r="THV31" s="72"/>
      <c r="THW31" s="72"/>
      <c r="THX31" s="72"/>
      <c r="THY31" s="72"/>
      <c r="THZ31" s="72"/>
      <c r="TIA31" s="72"/>
      <c r="TIB31" s="72"/>
      <c r="TIC31" s="72"/>
      <c r="TID31" s="72"/>
      <c r="TIE31" s="72"/>
      <c r="TIF31" s="72"/>
      <c r="TIG31" s="72"/>
      <c r="TIH31" s="72"/>
      <c r="TII31" s="72"/>
      <c r="TIJ31" s="72"/>
      <c r="TIK31" s="72"/>
      <c r="TIL31" s="72"/>
      <c r="TIM31" s="72"/>
      <c r="TIN31" s="72"/>
      <c r="TIO31" s="72"/>
      <c r="TIP31" s="72"/>
      <c r="TIQ31" s="72"/>
      <c r="TIR31" s="72"/>
      <c r="TIS31" s="72"/>
      <c r="TIT31" s="72"/>
      <c r="TIU31" s="72"/>
      <c r="TIV31" s="72"/>
      <c r="TIW31" s="72"/>
      <c r="TIX31" s="72"/>
      <c r="TIY31" s="72"/>
      <c r="TIZ31" s="72"/>
      <c r="TJA31" s="72"/>
      <c r="TJB31" s="72"/>
      <c r="TJC31" s="72"/>
      <c r="TJD31" s="72"/>
      <c r="TJE31" s="72"/>
      <c r="TJF31" s="72"/>
      <c r="TJG31" s="72"/>
      <c r="TJH31" s="72"/>
      <c r="TJI31" s="72"/>
      <c r="TJJ31" s="72"/>
      <c r="TJK31" s="72"/>
      <c r="TJL31" s="72"/>
      <c r="TJM31" s="72"/>
      <c r="TJN31" s="72"/>
      <c r="TJO31" s="72"/>
      <c r="TJP31" s="72"/>
      <c r="TJQ31" s="72"/>
      <c r="TJR31" s="72"/>
      <c r="TJS31" s="72"/>
      <c r="TJT31" s="72"/>
      <c r="TJU31" s="72"/>
      <c r="TJV31" s="72"/>
      <c r="TJW31" s="72"/>
      <c r="TJX31" s="72"/>
      <c r="TJY31" s="72"/>
      <c r="TJZ31" s="72"/>
      <c r="TKA31" s="72"/>
      <c r="TKB31" s="72"/>
      <c r="TKC31" s="72"/>
      <c r="TKD31" s="72"/>
      <c r="TKE31" s="72"/>
      <c r="TKF31" s="72"/>
      <c r="TKG31" s="72"/>
      <c r="TKH31" s="72"/>
      <c r="TKI31" s="72"/>
      <c r="TKJ31" s="72"/>
      <c r="TKK31" s="72"/>
      <c r="TKL31" s="72"/>
      <c r="TKM31" s="72"/>
      <c r="TKN31" s="72"/>
      <c r="TKO31" s="72"/>
      <c r="TKP31" s="72"/>
      <c r="TKQ31" s="72"/>
      <c r="TKR31" s="72"/>
      <c r="TKS31" s="72"/>
      <c r="TKT31" s="72"/>
      <c r="TKU31" s="72"/>
      <c r="TKV31" s="72"/>
      <c r="TKW31" s="72"/>
      <c r="TKX31" s="72"/>
      <c r="TKY31" s="72"/>
      <c r="TKZ31" s="72"/>
      <c r="TLA31" s="72"/>
      <c r="TLB31" s="72"/>
      <c r="TLC31" s="72"/>
      <c r="TLD31" s="72"/>
      <c r="TLE31" s="72"/>
      <c r="TLF31" s="72"/>
      <c r="TLG31" s="72"/>
      <c r="TLH31" s="72"/>
      <c r="TLI31" s="72"/>
      <c r="TLJ31" s="72"/>
      <c r="TLK31" s="72"/>
      <c r="TLL31" s="72"/>
      <c r="TLM31" s="72"/>
      <c r="TLN31" s="72"/>
      <c r="TLO31" s="72"/>
      <c r="TLP31" s="72"/>
      <c r="TLQ31" s="72"/>
      <c r="TLR31" s="72"/>
      <c r="TLS31" s="72"/>
      <c r="TLT31" s="72"/>
      <c r="TLU31" s="72"/>
      <c r="TLV31" s="72"/>
      <c r="TLW31" s="72"/>
      <c r="TLX31" s="72"/>
      <c r="TLY31" s="72"/>
      <c r="TLZ31" s="72"/>
      <c r="TMA31" s="72"/>
      <c r="TMB31" s="72"/>
      <c r="TMC31" s="72"/>
      <c r="TMD31" s="72"/>
      <c r="TME31" s="72"/>
      <c r="TMF31" s="72"/>
      <c r="TMG31" s="72"/>
      <c r="TMH31" s="72"/>
      <c r="TMI31" s="72"/>
      <c r="TMJ31" s="72"/>
      <c r="TMK31" s="72"/>
      <c r="TML31" s="72"/>
      <c r="TMM31" s="72"/>
      <c r="TMN31" s="72"/>
      <c r="TMO31" s="72"/>
      <c r="TMP31" s="72"/>
      <c r="TMQ31" s="72"/>
      <c r="TMR31" s="72"/>
      <c r="TMS31" s="72"/>
      <c r="TMT31" s="72"/>
      <c r="TMU31" s="72"/>
      <c r="TMV31" s="72"/>
      <c r="TMW31" s="72"/>
      <c r="TMX31" s="72"/>
      <c r="TMY31" s="72"/>
      <c r="TMZ31" s="72"/>
      <c r="TNA31" s="72"/>
      <c r="TNB31" s="72"/>
      <c r="TNC31" s="72"/>
      <c r="TND31" s="72"/>
      <c r="TNE31" s="72"/>
      <c r="TNF31" s="72"/>
      <c r="TNG31" s="72"/>
      <c r="TNH31" s="72"/>
      <c r="TNI31" s="72"/>
      <c r="TNJ31" s="72"/>
      <c r="TNK31" s="72"/>
      <c r="TNL31" s="72"/>
      <c r="TNM31" s="72"/>
      <c r="TNN31" s="72"/>
      <c r="TNO31" s="72"/>
      <c r="TNP31" s="72"/>
      <c r="TNQ31" s="72"/>
      <c r="TNR31" s="72"/>
      <c r="TNS31" s="72"/>
      <c r="TNT31" s="72"/>
      <c r="TNU31" s="72"/>
      <c r="TNV31" s="72"/>
      <c r="TNW31" s="72"/>
      <c r="TNX31" s="72"/>
      <c r="TNY31" s="72"/>
      <c r="TNZ31" s="72"/>
      <c r="TOA31" s="72"/>
      <c r="TOB31" s="72"/>
      <c r="TOC31" s="72"/>
      <c r="TOD31" s="72"/>
      <c r="TOE31" s="72"/>
      <c r="TOF31" s="72"/>
      <c r="TOG31" s="72"/>
      <c r="TOH31" s="72"/>
      <c r="TOI31" s="72"/>
      <c r="TOJ31" s="72"/>
      <c r="TOK31" s="72"/>
      <c r="TOL31" s="72"/>
      <c r="TOM31" s="72"/>
      <c r="TON31" s="72"/>
      <c r="TOO31" s="72"/>
      <c r="TOP31" s="72"/>
      <c r="TOQ31" s="72"/>
      <c r="TOR31" s="72"/>
      <c r="TOS31" s="72"/>
      <c r="TOT31" s="72"/>
      <c r="TOU31" s="72"/>
      <c r="TOV31" s="72"/>
      <c r="TOW31" s="72"/>
      <c r="TOX31" s="72"/>
      <c r="TOY31" s="72"/>
      <c r="TOZ31" s="72"/>
      <c r="TPA31" s="72"/>
      <c r="TPB31" s="72"/>
      <c r="TPC31" s="72"/>
      <c r="TPD31" s="72"/>
      <c r="TPE31" s="72"/>
      <c r="TPF31" s="72"/>
      <c r="TPG31" s="72"/>
      <c r="TPH31" s="72"/>
      <c r="TPI31" s="72"/>
      <c r="TPJ31" s="72"/>
      <c r="TPK31" s="72"/>
      <c r="TPL31" s="72"/>
      <c r="TPM31" s="72"/>
      <c r="TPN31" s="72"/>
      <c r="TPO31" s="72"/>
      <c r="TPP31" s="72"/>
      <c r="TPQ31" s="72"/>
      <c r="TPR31" s="72"/>
      <c r="TPS31" s="72"/>
      <c r="TPT31" s="72"/>
      <c r="TPU31" s="72"/>
      <c r="TPV31" s="72"/>
      <c r="TPW31" s="72"/>
      <c r="TPX31" s="72"/>
      <c r="TPY31" s="72"/>
      <c r="TPZ31" s="72"/>
      <c r="TQA31" s="72"/>
      <c r="TQB31" s="72"/>
      <c r="TQC31" s="72"/>
      <c r="TQD31" s="72"/>
      <c r="TQE31" s="72"/>
      <c r="TQF31" s="72"/>
      <c r="TQG31" s="72"/>
      <c r="TQH31" s="72"/>
      <c r="TQI31" s="72"/>
      <c r="TQJ31" s="72"/>
      <c r="TQK31" s="72"/>
      <c r="TQL31" s="72"/>
      <c r="TQM31" s="72"/>
      <c r="TQN31" s="72"/>
      <c r="TQO31" s="72"/>
      <c r="TQP31" s="72"/>
      <c r="TQQ31" s="72"/>
      <c r="TQR31" s="72"/>
      <c r="TQS31" s="72"/>
      <c r="TQT31" s="72"/>
      <c r="TQU31" s="72"/>
      <c r="TQV31" s="72"/>
      <c r="TQW31" s="72"/>
      <c r="TQX31" s="72"/>
      <c r="TQY31" s="72"/>
      <c r="TQZ31" s="72"/>
      <c r="TRA31" s="72"/>
      <c r="TRB31" s="72"/>
      <c r="TRC31" s="72"/>
      <c r="TRD31" s="72"/>
      <c r="TRE31" s="72"/>
      <c r="TRF31" s="72"/>
      <c r="TRG31" s="72"/>
      <c r="TRH31" s="72"/>
      <c r="TRI31" s="72"/>
      <c r="TRJ31" s="72"/>
      <c r="TRK31" s="72"/>
      <c r="TRL31" s="72"/>
      <c r="TRM31" s="72"/>
      <c r="TRN31" s="72"/>
      <c r="TRO31" s="72"/>
      <c r="TRP31" s="72"/>
      <c r="TRQ31" s="72"/>
      <c r="TRR31" s="72"/>
      <c r="TRS31" s="72"/>
      <c r="TRT31" s="72"/>
      <c r="TRU31" s="72"/>
      <c r="TRV31" s="72"/>
      <c r="TRW31" s="72"/>
      <c r="TRX31" s="72"/>
      <c r="TRY31" s="72"/>
      <c r="TRZ31" s="72"/>
      <c r="TSA31" s="72"/>
      <c r="TSB31" s="72"/>
      <c r="TSC31" s="72"/>
      <c r="TSD31" s="72"/>
      <c r="TSE31" s="72"/>
      <c r="TSF31" s="72"/>
      <c r="TSG31" s="72"/>
      <c r="TSH31" s="72"/>
      <c r="TSI31" s="72"/>
      <c r="TSJ31" s="72"/>
      <c r="TSK31" s="72"/>
      <c r="TSL31" s="72"/>
      <c r="TSM31" s="72"/>
      <c r="TSN31" s="72"/>
      <c r="TSO31" s="72"/>
      <c r="TSP31" s="72"/>
      <c r="TSQ31" s="72"/>
      <c r="TSR31" s="72"/>
      <c r="TSS31" s="72"/>
      <c r="TST31" s="72"/>
      <c r="TSU31" s="72"/>
      <c r="TSV31" s="72"/>
      <c r="TSW31" s="72"/>
      <c r="TSX31" s="72"/>
      <c r="TSY31" s="72"/>
      <c r="TSZ31" s="72"/>
      <c r="TTA31" s="72"/>
      <c r="TTB31" s="72"/>
      <c r="TTC31" s="72"/>
      <c r="TTD31" s="72"/>
      <c r="TTE31" s="72"/>
      <c r="TTF31" s="72"/>
      <c r="TTG31" s="72"/>
      <c r="TTH31" s="72"/>
      <c r="TTI31" s="72"/>
      <c r="TTJ31" s="72"/>
      <c r="TTK31" s="72"/>
      <c r="TTL31" s="72"/>
      <c r="TTM31" s="72"/>
      <c r="TTN31" s="72"/>
      <c r="TTO31" s="72"/>
      <c r="TTP31" s="72"/>
      <c r="TTQ31" s="72"/>
      <c r="TTR31" s="72"/>
      <c r="TTS31" s="72"/>
      <c r="TTT31" s="72"/>
      <c r="TTU31" s="72"/>
      <c r="TTV31" s="72"/>
      <c r="TTW31" s="72"/>
      <c r="TTX31" s="72"/>
      <c r="TTY31" s="72"/>
      <c r="TTZ31" s="72"/>
      <c r="TUA31" s="72"/>
      <c r="TUB31" s="72"/>
      <c r="TUC31" s="72"/>
      <c r="TUD31" s="72"/>
      <c r="TUE31" s="72"/>
      <c r="TUF31" s="72"/>
      <c r="TUG31" s="72"/>
      <c r="TUH31" s="72"/>
      <c r="TUI31" s="72"/>
      <c r="TUJ31" s="72"/>
      <c r="TUK31" s="72"/>
      <c r="TUL31" s="72"/>
      <c r="TUM31" s="72"/>
      <c r="TUN31" s="72"/>
      <c r="TUO31" s="72"/>
      <c r="TUP31" s="72"/>
      <c r="TUQ31" s="72"/>
      <c r="TUR31" s="72"/>
      <c r="TUS31" s="72"/>
      <c r="TUT31" s="72"/>
      <c r="TUU31" s="72"/>
      <c r="TUV31" s="72"/>
      <c r="TUW31" s="72"/>
      <c r="TUX31" s="72"/>
      <c r="TUY31" s="72"/>
      <c r="TUZ31" s="72"/>
      <c r="TVA31" s="72"/>
      <c r="TVB31" s="72"/>
      <c r="TVC31" s="72"/>
      <c r="TVD31" s="72"/>
      <c r="TVE31" s="72"/>
      <c r="TVF31" s="72"/>
      <c r="TVG31" s="72"/>
      <c r="TVH31" s="72"/>
      <c r="TVI31" s="72"/>
      <c r="TVJ31" s="72"/>
      <c r="TVK31" s="72"/>
      <c r="TVL31" s="72"/>
      <c r="TVM31" s="72"/>
      <c r="TVN31" s="72"/>
      <c r="TVO31" s="72"/>
      <c r="TVP31" s="72"/>
      <c r="TVQ31" s="72"/>
      <c r="TVR31" s="72"/>
      <c r="TVS31" s="72"/>
      <c r="TVT31" s="72"/>
      <c r="TVU31" s="72"/>
      <c r="TVV31" s="72"/>
      <c r="TVW31" s="72"/>
      <c r="TVX31" s="72"/>
      <c r="TVY31" s="72"/>
      <c r="TVZ31" s="72"/>
      <c r="TWA31" s="72"/>
      <c r="TWB31" s="72"/>
      <c r="TWC31" s="72"/>
      <c r="TWD31" s="72"/>
      <c r="TWE31" s="72"/>
      <c r="TWF31" s="72"/>
      <c r="TWG31" s="72"/>
      <c r="TWH31" s="72"/>
      <c r="TWI31" s="72"/>
      <c r="TWJ31" s="72"/>
      <c r="TWK31" s="72"/>
      <c r="TWL31" s="72"/>
      <c r="TWM31" s="72"/>
      <c r="TWN31" s="72"/>
      <c r="TWO31" s="72"/>
      <c r="TWP31" s="72"/>
      <c r="TWQ31" s="72"/>
      <c r="TWR31" s="72"/>
      <c r="TWS31" s="72"/>
      <c r="TWT31" s="72"/>
      <c r="TWU31" s="72"/>
      <c r="TWV31" s="72"/>
      <c r="TWW31" s="72"/>
      <c r="TWX31" s="72"/>
      <c r="TWY31" s="72"/>
      <c r="TWZ31" s="72"/>
      <c r="TXA31" s="72"/>
      <c r="TXB31" s="72"/>
      <c r="TXC31" s="72"/>
      <c r="TXD31" s="72"/>
      <c r="TXE31" s="72"/>
      <c r="TXF31" s="72"/>
      <c r="TXG31" s="72"/>
      <c r="TXH31" s="72"/>
      <c r="TXI31" s="72"/>
      <c r="TXJ31" s="72"/>
      <c r="TXK31" s="72"/>
      <c r="TXL31" s="72"/>
      <c r="TXM31" s="72"/>
      <c r="TXN31" s="72"/>
      <c r="TXO31" s="72"/>
      <c r="TXP31" s="72"/>
      <c r="TXQ31" s="72"/>
      <c r="TXR31" s="72"/>
      <c r="TXS31" s="72"/>
      <c r="TXT31" s="72"/>
      <c r="TXU31" s="72"/>
      <c r="TXV31" s="72"/>
      <c r="TXW31" s="72"/>
      <c r="TXX31" s="72"/>
      <c r="TXY31" s="72"/>
      <c r="TXZ31" s="72"/>
      <c r="TYA31" s="72"/>
      <c r="TYB31" s="72"/>
      <c r="TYC31" s="72"/>
      <c r="TYD31" s="72"/>
      <c r="TYE31" s="72"/>
      <c r="TYF31" s="72"/>
      <c r="TYG31" s="72"/>
      <c r="TYH31" s="72"/>
      <c r="TYI31" s="72"/>
      <c r="TYJ31" s="72"/>
      <c r="TYK31" s="72"/>
      <c r="TYL31" s="72"/>
      <c r="TYM31" s="72"/>
      <c r="TYN31" s="72"/>
      <c r="TYO31" s="72"/>
      <c r="TYP31" s="72"/>
      <c r="TYQ31" s="72"/>
      <c r="TYR31" s="72"/>
      <c r="TYS31" s="72"/>
      <c r="TYT31" s="72"/>
      <c r="TYU31" s="72"/>
      <c r="TYV31" s="72"/>
      <c r="TYW31" s="72"/>
      <c r="TYX31" s="72"/>
      <c r="TYY31" s="72"/>
      <c r="TYZ31" s="72"/>
      <c r="TZA31" s="72"/>
      <c r="TZB31" s="72"/>
      <c r="TZC31" s="72"/>
      <c r="TZD31" s="72"/>
      <c r="TZE31" s="72"/>
      <c r="TZF31" s="72"/>
      <c r="TZG31" s="72"/>
      <c r="TZH31" s="72"/>
      <c r="TZI31" s="72"/>
      <c r="TZJ31" s="72"/>
      <c r="TZK31" s="72"/>
      <c r="TZL31" s="72"/>
      <c r="TZM31" s="72"/>
      <c r="TZN31" s="72"/>
      <c r="TZO31" s="72"/>
      <c r="TZP31" s="72"/>
      <c r="TZQ31" s="72"/>
      <c r="TZR31" s="72"/>
      <c r="TZS31" s="72"/>
      <c r="TZT31" s="72"/>
      <c r="TZU31" s="72"/>
      <c r="TZV31" s="72"/>
      <c r="TZW31" s="72"/>
      <c r="TZX31" s="72"/>
      <c r="TZY31" s="72"/>
      <c r="TZZ31" s="72"/>
      <c r="UAA31" s="72"/>
      <c r="UAB31" s="72"/>
      <c r="UAC31" s="72"/>
      <c r="UAD31" s="72"/>
      <c r="UAE31" s="72"/>
      <c r="UAF31" s="72"/>
      <c r="UAG31" s="72"/>
      <c r="UAH31" s="72"/>
      <c r="UAI31" s="72"/>
      <c r="UAJ31" s="72"/>
      <c r="UAK31" s="72"/>
      <c r="UAL31" s="72"/>
      <c r="UAM31" s="72"/>
      <c r="UAN31" s="72"/>
      <c r="UAO31" s="72"/>
      <c r="UAP31" s="72"/>
      <c r="UAQ31" s="72"/>
      <c r="UAR31" s="72"/>
      <c r="UAS31" s="72"/>
      <c r="UAT31" s="72"/>
      <c r="UAU31" s="72"/>
      <c r="UAV31" s="72"/>
      <c r="UAW31" s="72"/>
      <c r="UAX31" s="72"/>
      <c r="UAY31" s="72"/>
      <c r="UAZ31" s="72"/>
      <c r="UBA31" s="72"/>
      <c r="UBB31" s="72"/>
      <c r="UBC31" s="72"/>
      <c r="UBD31" s="72"/>
      <c r="UBE31" s="72"/>
      <c r="UBF31" s="72"/>
      <c r="UBG31" s="72"/>
      <c r="UBH31" s="72"/>
      <c r="UBI31" s="72"/>
      <c r="UBJ31" s="72"/>
      <c r="UBK31" s="72"/>
      <c r="UBL31" s="72"/>
      <c r="UBM31" s="72"/>
      <c r="UBN31" s="72"/>
      <c r="UBO31" s="72"/>
      <c r="UBP31" s="72"/>
      <c r="UBQ31" s="72"/>
      <c r="UBR31" s="72"/>
      <c r="UBS31" s="72"/>
      <c r="UBT31" s="72"/>
      <c r="UBU31" s="72"/>
      <c r="UBV31" s="72"/>
      <c r="UBW31" s="72"/>
      <c r="UBX31" s="72"/>
      <c r="UBY31" s="72"/>
      <c r="UBZ31" s="72"/>
      <c r="UCA31" s="72"/>
      <c r="UCB31" s="72"/>
      <c r="UCC31" s="72"/>
      <c r="UCD31" s="72"/>
      <c r="UCE31" s="72"/>
      <c r="UCF31" s="72"/>
      <c r="UCG31" s="72"/>
      <c r="UCH31" s="72"/>
      <c r="UCI31" s="72"/>
      <c r="UCJ31" s="72"/>
      <c r="UCK31" s="72"/>
      <c r="UCL31" s="72"/>
      <c r="UCM31" s="72"/>
      <c r="UCN31" s="72"/>
      <c r="UCO31" s="72"/>
      <c r="UCP31" s="72"/>
      <c r="UCQ31" s="72"/>
      <c r="UCR31" s="72"/>
      <c r="UCS31" s="72"/>
      <c r="UCT31" s="72"/>
      <c r="UCU31" s="72"/>
      <c r="UCV31" s="72"/>
      <c r="UCW31" s="72"/>
      <c r="UCX31" s="72"/>
      <c r="UCY31" s="72"/>
      <c r="UCZ31" s="72"/>
      <c r="UDA31" s="72"/>
      <c r="UDB31" s="72"/>
      <c r="UDC31" s="72"/>
      <c r="UDD31" s="72"/>
      <c r="UDE31" s="72"/>
      <c r="UDF31" s="72"/>
      <c r="UDG31" s="72"/>
      <c r="UDH31" s="72"/>
      <c r="UDI31" s="72"/>
      <c r="UDJ31" s="72"/>
      <c r="UDK31" s="72"/>
      <c r="UDL31" s="72"/>
      <c r="UDM31" s="72"/>
      <c r="UDN31" s="72"/>
      <c r="UDO31" s="72"/>
      <c r="UDP31" s="72"/>
      <c r="UDQ31" s="72"/>
      <c r="UDR31" s="72"/>
      <c r="UDS31" s="72"/>
      <c r="UDT31" s="72"/>
      <c r="UDU31" s="72"/>
      <c r="UDV31" s="72"/>
      <c r="UDW31" s="72"/>
      <c r="UDX31" s="72"/>
      <c r="UDY31" s="72"/>
      <c r="UDZ31" s="72"/>
      <c r="UEA31" s="72"/>
      <c r="UEB31" s="72"/>
      <c r="UEC31" s="72"/>
      <c r="UED31" s="72"/>
      <c r="UEE31" s="72"/>
      <c r="UEF31" s="72"/>
      <c r="UEG31" s="72"/>
      <c r="UEH31" s="72"/>
      <c r="UEI31" s="72"/>
      <c r="UEJ31" s="72"/>
      <c r="UEK31" s="72"/>
      <c r="UEL31" s="72"/>
      <c r="UEM31" s="72"/>
      <c r="UEN31" s="72"/>
      <c r="UEO31" s="72"/>
      <c r="UEP31" s="72"/>
      <c r="UEQ31" s="72"/>
      <c r="UER31" s="72"/>
      <c r="UES31" s="72"/>
      <c r="UET31" s="72"/>
      <c r="UEU31" s="72"/>
      <c r="UEV31" s="72"/>
      <c r="UEW31" s="72"/>
      <c r="UEX31" s="72"/>
      <c r="UEY31" s="72"/>
      <c r="UEZ31" s="72"/>
      <c r="UFA31" s="72"/>
      <c r="UFB31" s="72"/>
      <c r="UFC31" s="72"/>
      <c r="UFD31" s="72"/>
      <c r="UFE31" s="72"/>
      <c r="UFF31" s="72"/>
      <c r="UFG31" s="72"/>
      <c r="UFH31" s="72"/>
      <c r="UFI31" s="72"/>
      <c r="UFJ31" s="72"/>
      <c r="UFK31" s="72"/>
      <c r="UFL31" s="72"/>
      <c r="UFM31" s="72"/>
      <c r="UFN31" s="72"/>
      <c r="UFO31" s="72"/>
      <c r="UFP31" s="72"/>
      <c r="UFQ31" s="72"/>
      <c r="UFR31" s="72"/>
      <c r="UFS31" s="72"/>
      <c r="UFT31" s="72"/>
      <c r="UFU31" s="72"/>
      <c r="UFV31" s="72"/>
      <c r="UFW31" s="72"/>
      <c r="UFX31" s="72"/>
      <c r="UFY31" s="72"/>
      <c r="UFZ31" s="72"/>
      <c r="UGA31" s="72"/>
      <c r="UGB31" s="72"/>
      <c r="UGC31" s="72"/>
      <c r="UGD31" s="72"/>
      <c r="UGE31" s="72"/>
      <c r="UGF31" s="72"/>
      <c r="UGG31" s="72"/>
      <c r="UGH31" s="72"/>
      <c r="UGI31" s="72"/>
      <c r="UGJ31" s="72"/>
      <c r="UGK31" s="72"/>
      <c r="UGL31" s="72"/>
      <c r="UGM31" s="72"/>
      <c r="UGN31" s="72"/>
      <c r="UGO31" s="72"/>
      <c r="UGP31" s="72"/>
      <c r="UGQ31" s="72"/>
      <c r="UGR31" s="72"/>
      <c r="UGS31" s="72"/>
      <c r="UGT31" s="72"/>
      <c r="UGU31" s="72"/>
      <c r="UGV31" s="72"/>
      <c r="UGW31" s="72"/>
      <c r="UGX31" s="72"/>
      <c r="UGY31" s="72"/>
      <c r="UGZ31" s="72"/>
      <c r="UHA31" s="72"/>
      <c r="UHB31" s="72"/>
      <c r="UHC31" s="72"/>
      <c r="UHD31" s="72"/>
      <c r="UHE31" s="72"/>
      <c r="UHF31" s="72"/>
      <c r="UHG31" s="72"/>
      <c r="UHH31" s="72"/>
      <c r="UHI31" s="72"/>
      <c r="UHJ31" s="72"/>
      <c r="UHK31" s="72"/>
      <c r="UHL31" s="72"/>
      <c r="UHM31" s="72"/>
      <c r="UHN31" s="72"/>
      <c r="UHO31" s="72"/>
      <c r="UHP31" s="72"/>
      <c r="UHQ31" s="72"/>
      <c r="UHR31" s="72"/>
      <c r="UHS31" s="72"/>
      <c r="UHT31" s="72"/>
      <c r="UHU31" s="72"/>
      <c r="UHV31" s="72"/>
      <c r="UHW31" s="72"/>
      <c r="UHX31" s="72"/>
      <c r="UHY31" s="72"/>
      <c r="UHZ31" s="72"/>
      <c r="UIA31" s="72"/>
      <c r="UIB31" s="72"/>
      <c r="UIC31" s="72"/>
      <c r="UID31" s="72"/>
      <c r="UIE31" s="72"/>
      <c r="UIF31" s="72"/>
      <c r="UIG31" s="72"/>
      <c r="UIH31" s="72"/>
      <c r="UII31" s="72"/>
      <c r="UIJ31" s="72"/>
      <c r="UIK31" s="72"/>
      <c r="UIL31" s="72"/>
      <c r="UIM31" s="72"/>
      <c r="UIN31" s="72"/>
      <c r="UIO31" s="72"/>
      <c r="UIP31" s="72"/>
      <c r="UIQ31" s="72"/>
      <c r="UIR31" s="72"/>
      <c r="UIS31" s="72"/>
      <c r="UIT31" s="72"/>
      <c r="UIU31" s="72"/>
      <c r="UIV31" s="72"/>
      <c r="UIW31" s="72"/>
      <c r="UIX31" s="72"/>
      <c r="UIY31" s="72"/>
      <c r="UIZ31" s="72"/>
      <c r="UJA31" s="72"/>
      <c r="UJB31" s="72"/>
      <c r="UJC31" s="72"/>
      <c r="UJD31" s="72"/>
      <c r="UJE31" s="72"/>
      <c r="UJF31" s="72"/>
      <c r="UJG31" s="72"/>
      <c r="UJH31" s="72"/>
      <c r="UJI31" s="72"/>
      <c r="UJJ31" s="72"/>
      <c r="UJK31" s="72"/>
      <c r="UJL31" s="72"/>
      <c r="UJM31" s="72"/>
      <c r="UJN31" s="72"/>
      <c r="UJO31" s="72"/>
      <c r="UJP31" s="72"/>
      <c r="UJQ31" s="72"/>
      <c r="UJR31" s="72"/>
      <c r="UJS31" s="72"/>
      <c r="UJT31" s="72"/>
      <c r="UJU31" s="72"/>
      <c r="UJV31" s="72"/>
      <c r="UJW31" s="72"/>
      <c r="UJX31" s="72"/>
      <c r="UJY31" s="72"/>
      <c r="UJZ31" s="72"/>
      <c r="UKA31" s="72"/>
      <c r="UKB31" s="72"/>
      <c r="UKC31" s="72"/>
      <c r="UKD31" s="72"/>
      <c r="UKE31" s="72"/>
      <c r="UKF31" s="72"/>
      <c r="UKG31" s="72"/>
      <c r="UKH31" s="72"/>
      <c r="UKI31" s="72"/>
      <c r="UKJ31" s="72"/>
      <c r="UKK31" s="72"/>
      <c r="UKL31" s="72"/>
      <c r="UKM31" s="72"/>
      <c r="UKN31" s="72"/>
      <c r="UKO31" s="72"/>
      <c r="UKP31" s="72"/>
      <c r="UKQ31" s="72"/>
      <c r="UKR31" s="72"/>
      <c r="UKS31" s="72"/>
      <c r="UKT31" s="72"/>
      <c r="UKU31" s="72"/>
      <c r="UKV31" s="72"/>
      <c r="UKW31" s="72"/>
      <c r="UKX31" s="72"/>
      <c r="UKY31" s="72"/>
      <c r="UKZ31" s="72"/>
      <c r="ULA31" s="72"/>
      <c r="ULB31" s="72"/>
      <c r="ULC31" s="72"/>
      <c r="ULD31" s="72"/>
      <c r="ULE31" s="72"/>
      <c r="ULF31" s="72"/>
      <c r="ULG31" s="72"/>
      <c r="ULH31" s="72"/>
      <c r="ULI31" s="72"/>
      <c r="ULJ31" s="72"/>
      <c r="ULK31" s="72"/>
      <c r="ULL31" s="72"/>
      <c r="ULM31" s="72"/>
      <c r="ULN31" s="72"/>
      <c r="ULO31" s="72"/>
      <c r="ULP31" s="72"/>
      <c r="ULQ31" s="72"/>
      <c r="ULR31" s="72"/>
      <c r="ULS31" s="72"/>
      <c r="ULT31" s="72"/>
      <c r="ULU31" s="72"/>
      <c r="ULV31" s="72"/>
      <c r="ULW31" s="72"/>
      <c r="ULX31" s="72"/>
      <c r="ULY31" s="72"/>
      <c r="ULZ31" s="72"/>
      <c r="UMA31" s="72"/>
      <c r="UMB31" s="72"/>
      <c r="UMC31" s="72"/>
      <c r="UMD31" s="72"/>
      <c r="UME31" s="72"/>
      <c r="UMF31" s="72"/>
      <c r="UMG31" s="72"/>
      <c r="UMH31" s="72"/>
      <c r="UMI31" s="72"/>
      <c r="UMJ31" s="72"/>
      <c r="UMK31" s="72"/>
      <c r="UML31" s="72"/>
      <c r="UMM31" s="72"/>
      <c r="UMN31" s="72"/>
      <c r="UMO31" s="72"/>
      <c r="UMP31" s="72"/>
      <c r="UMQ31" s="72"/>
      <c r="UMR31" s="72"/>
      <c r="UMS31" s="72"/>
      <c r="UMT31" s="72"/>
      <c r="UMU31" s="72"/>
      <c r="UMV31" s="72"/>
      <c r="UMW31" s="72"/>
      <c r="UMX31" s="72"/>
      <c r="UMY31" s="72"/>
      <c r="UMZ31" s="72"/>
      <c r="UNA31" s="72"/>
      <c r="UNB31" s="72"/>
      <c r="UNC31" s="72"/>
      <c r="UND31" s="72"/>
      <c r="UNE31" s="72"/>
      <c r="UNF31" s="72"/>
      <c r="UNG31" s="72"/>
      <c r="UNH31" s="72"/>
      <c r="UNI31" s="72"/>
      <c r="UNJ31" s="72"/>
      <c r="UNK31" s="72"/>
      <c r="UNL31" s="72"/>
      <c r="UNM31" s="72"/>
      <c r="UNN31" s="72"/>
      <c r="UNO31" s="72"/>
      <c r="UNP31" s="72"/>
      <c r="UNQ31" s="72"/>
      <c r="UNR31" s="72"/>
      <c r="UNS31" s="72"/>
      <c r="UNT31" s="72"/>
      <c r="UNU31" s="72"/>
      <c r="UNV31" s="72"/>
      <c r="UNW31" s="72"/>
      <c r="UNX31" s="72"/>
      <c r="UNY31" s="72"/>
      <c r="UNZ31" s="72"/>
      <c r="UOA31" s="72"/>
      <c r="UOB31" s="72"/>
      <c r="UOC31" s="72"/>
      <c r="UOD31" s="72"/>
      <c r="UOE31" s="72"/>
      <c r="UOF31" s="72"/>
      <c r="UOG31" s="72"/>
      <c r="UOH31" s="72"/>
      <c r="UOI31" s="72"/>
      <c r="UOJ31" s="72"/>
      <c r="UOK31" s="72"/>
      <c r="UOL31" s="72"/>
      <c r="UOM31" s="72"/>
      <c r="UON31" s="72"/>
      <c r="UOO31" s="72"/>
      <c r="UOP31" s="72"/>
      <c r="UOQ31" s="72"/>
      <c r="UOR31" s="72"/>
      <c r="UOS31" s="72"/>
      <c r="UOT31" s="72"/>
      <c r="UOU31" s="72"/>
      <c r="UOV31" s="72"/>
      <c r="UOW31" s="72"/>
      <c r="UOX31" s="72"/>
      <c r="UOY31" s="72"/>
      <c r="UOZ31" s="72"/>
      <c r="UPA31" s="72"/>
      <c r="UPB31" s="72"/>
      <c r="UPC31" s="72"/>
      <c r="UPD31" s="72"/>
      <c r="UPE31" s="72"/>
      <c r="UPF31" s="72"/>
      <c r="UPG31" s="72"/>
      <c r="UPH31" s="72"/>
      <c r="UPI31" s="72"/>
      <c r="UPJ31" s="72"/>
      <c r="UPK31" s="72"/>
      <c r="UPL31" s="72"/>
      <c r="UPM31" s="72"/>
      <c r="UPN31" s="72"/>
      <c r="UPO31" s="72"/>
      <c r="UPP31" s="72"/>
      <c r="UPQ31" s="72"/>
      <c r="UPR31" s="72"/>
      <c r="UPS31" s="72"/>
      <c r="UPT31" s="72"/>
      <c r="UPU31" s="72"/>
      <c r="UPV31" s="72"/>
      <c r="UPW31" s="72"/>
      <c r="UPX31" s="72"/>
      <c r="UPY31" s="72"/>
      <c r="UPZ31" s="72"/>
      <c r="UQA31" s="72"/>
      <c r="UQB31" s="72"/>
      <c r="UQC31" s="72"/>
      <c r="UQD31" s="72"/>
      <c r="UQE31" s="72"/>
      <c r="UQF31" s="72"/>
      <c r="UQG31" s="72"/>
      <c r="UQH31" s="72"/>
      <c r="UQI31" s="72"/>
      <c r="UQJ31" s="72"/>
      <c r="UQK31" s="72"/>
      <c r="UQL31" s="72"/>
      <c r="UQM31" s="72"/>
      <c r="UQN31" s="72"/>
      <c r="UQO31" s="72"/>
      <c r="UQP31" s="72"/>
      <c r="UQQ31" s="72"/>
      <c r="UQR31" s="72"/>
      <c r="UQS31" s="72"/>
      <c r="UQT31" s="72"/>
      <c r="UQU31" s="72"/>
      <c r="UQV31" s="72"/>
      <c r="UQW31" s="72"/>
      <c r="UQX31" s="72"/>
      <c r="UQY31" s="72"/>
      <c r="UQZ31" s="72"/>
      <c r="URA31" s="72"/>
      <c r="URB31" s="72"/>
      <c r="URC31" s="72"/>
      <c r="URD31" s="72"/>
      <c r="URE31" s="72"/>
      <c r="URF31" s="72"/>
      <c r="URG31" s="72"/>
      <c r="URH31" s="72"/>
      <c r="URI31" s="72"/>
      <c r="URJ31" s="72"/>
      <c r="URK31" s="72"/>
      <c r="URL31" s="72"/>
      <c r="URM31" s="72"/>
      <c r="URN31" s="72"/>
      <c r="URO31" s="72"/>
      <c r="URP31" s="72"/>
      <c r="URQ31" s="72"/>
      <c r="URR31" s="72"/>
      <c r="URS31" s="72"/>
      <c r="URT31" s="72"/>
      <c r="URU31" s="72"/>
      <c r="URV31" s="72"/>
      <c r="URW31" s="72"/>
      <c r="URX31" s="72"/>
      <c r="URY31" s="72"/>
      <c r="URZ31" s="72"/>
      <c r="USA31" s="72"/>
      <c r="USB31" s="72"/>
      <c r="USC31" s="72"/>
      <c r="USD31" s="72"/>
      <c r="USE31" s="72"/>
      <c r="USF31" s="72"/>
      <c r="USG31" s="72"/>
      <c r="USH31" s="72"/>
      <c r="USI31" s="72"/>
      <c r="USJ31" s="72"/>
      <c r="USK31" s="72"/>
      <c r="USL31" s="72"/>
      <c r="USM31" s="72"/>
      <c r="USN31" s="72"/>
      <c r="USO31" s="72"/>
      <c r="USP31" s="72"/>
      <c r="USQ31" s="72"/>
      <c r="USR31" s="72"/>
      <c r="USS31" s="72"/>
      <c r="UST31" s="72"/>
      <c r="USU31" s="72"/>
      <c r="USV31" s="72"/>
      <c r="USW31" s="72"/>
      <c r="USX31" s="72"/>
      <c r="USY31" s="72"/>
      <c r="USZ31" s="72"/>
      <c r="UTA31" s="72"/>
      <c r="UTB31" s="72"/>
      <c r="UTC31" s="72"/>
      <c r="UTD31" s="72"/>
      <c r="UTE31" s="72"/>
      <c r="UTF31" s="72"/>
      <c r="UTG31" s="72"/>
      <c r="UTH31" s="72"/>
      <c r="UTI31" s="72"/>
      <c r="UTJ31" s="72"/>
      <c r="UTK31" s="72"/>
      <c r="UTL31" s="72"/>
      <c r="UTM31" s="72"/>
      <c r="UTN31" s="72"/>
      <c r="UTO31" s="72"/>
      <c r="UTP31" s="72"/>
      <c r="UTQ31" s="72"/>
      <c r="UTR31" s="72"/>
      <c r="UTS31" s="72"/>
      <c r="UTT31" s="72"/>
      <c r="UTU31" s="72"/>
      <c r="UTV31" s="72"/>
      <c r="UTW31" s="72"/>
      <c r="UTX31" s="72"/>
      <c r="UTY31" s="72"/>
      <c r="UTZ31" s="72"/>
      <c r="UUA31" s="72"/>
      <c r="UUB31" s="72"/>
      <c r="UUC31" s="72"/>
      <c r="UUD31" s="72"/>
      <c r="UUE31" s="72"/>
      <c r="UUF31" s="72"/>
      <c r="UUG31" s="72"/>
      <c r="UUH31" s="72"/>
      <c r="UUI31" s="72"/>
      <c r="UUJ31" s="72"/>
      <c r="UUK31" s="72"/>
      <c r="UUL31" s="72"/>
      <c r="UUM31" s="72"/>
      <c r="UUN31" s="72"/>
      <c r="UUO31" s="72"/>
      <c r="UUP31" s="72"/>
      <c r="UUQ31" s="72"/>
      <c r="UUR31" s="72"/>
      <c r="UUS31" s="72"/>
      <c r="UUT31" s="72"/>
      <c r="UUU31" s="72"/>
      <c r="UUV31" s="72"/>
      <c r="UUW31" s="72"/>
      <c r="UUX31" s="72"/>
      <c r="UUY31" s="72"/>
      <c r="UUZ31" s="72"/>
      <c r="UVA31" s="72"/>
      <c r="UVB31" s="72"/>
      <c r="UVC31" s="72"/>
      <c r="UVD31" s="72"/>
      <c r="UVE31" s="72"/>
      <c r="UVF31" s="72"/>
      <c r="UVG31" s="72"/>
      <c r="UVH31" s="72"/>
      <c r="UVI31" s="72"/>
      <c r="UVJ31" s="72"/>
      <c r="UVK31" s="72"/>
      <c r="UVL31" s="72"/>
      <c r="UVM31" s="72"/>
      <c r="UVN31" s="72"/>
      <c r="UVO31" s="72"/>
      <c r="UVP31" s="72"/>
      <c r="UVQ31" s="72"/>
      <c r="UVR31" s="72"/>
      <c r="UVS31" s="72"/>
      <c r="UVT31" s="72"/>
      <c r="UVU31" s="72"/>
      <c r="UVV31" s="72"/>
      <c r="UVW31" s="72"/>
      <c r="UVX31" s="72"/>
      <c r="UVY31" s="72"/>
      <c r="UVZ31" s="72"/>
      <c r="UWA31" s="72"/>
      <c r="UWB31" s="72"/>
      <c r="UWC31" s="72"/>
      <c r="UWD31" s="72"/>
      <c r="UWE31" s="72"/>
      <c r="UWF31" s="72"/>
      <c r="UWG31" s="72"/>
      <c r="UWH31" s="72"/>
      <c r="UWI31" s="72"/>
      <c r="UWJ31" s="72"/>
      <c r="UWK31" s="72"/>
      <c r="UWL31" s="72"/>
      <c r="UWM31" s="72"/>
      <c r="UWN31" s="72"/>
      <c r="UWO31" s="72"/>
      <c r="UWP31" s="72"/>
      <c r="UWQ31" s="72"/>
      <c r="UWR31" s="72"/>
      <c r="UWS31" s="72"/>
      <c r="UWT31" s="72"/>
      <c r="UWU31" s="72"/>
      <c r="UWV31" s="72"/>
      <c r="UWW31" s="72"/>
      <c r="UWX31" s="72"/>
      <c r="UWY31" s="72"/>
      <c r="UWZ31" s="72"/>
      <c r="UXA31" s="72"/>
      <c r="UXB31" s="72"/>
      <c r="UXC31" s="72"/>
      <c r="UXD31" s="72"/>
      <c r="UXE31" s="72"/>
      <c r="UXF31" s="72"/>
      <c r="UXG31" s="72"/>
      <c r="UXH31" s="72"/>
      <c r="UXI31" s="72"/>
      <c r="UXJ31" s="72"/>
      <c r="UXK31" s="72"/>
      <c r="UXL31" s="72"/>
      <c r="UXM31" s="72"/>
      <c r="UXN31" s="72"/>
      <c r="UXO31" s="72"/>
      <c r="UXP31" s="72"/>
      <c r="UXQ31" s="72"/>
      <c r="UXR31" s="72"/>
      <c r="UXS31" s="72"/>
      <c r="UXT31" s="72"/>
      <c r="UXU31" s="72"/>
      <c r="UXV31" s="72"/>
      <c r="UXW31" s="72"/>
      <c r="UXX31" s="72"/>
      <c r="UXY31" s="72"/>
      <c r="UXZ31" s="72"/>
      <c r="UYA31" s="72"/>
      <c r="UYB31" s="72"/>
      <c r="UYC31" s="72"/>
      <c r="UYD31" s="72"/>
      <c r="UYE31" s="72"/>
      <c r="UYF31" s="72"/>
      <c r="UYG31" s="72"/>
      <c r="UYH31" s="72"/>
      <c r="UYI31" s="72"/>
      <c r="UYJ31" s="72"/>
      <c r="UYK31" s="72"/>
      <c r="UYL31" s="72"/>
      <c r="UYM31" s="72"/>
      <c r="UYN31" s="72"/>
      <c r="UYO31" s="72"/>
      <c r="UYP31" s="72"/>
      <c r="UYQ31" s="72"/>
      <c r="UYR31" s="72"/>
      <c r="UYS31" s="72"/>
      <c r="UYT31" s="72"/>
      <c r="UYU31" s="72"/>
      <c r="UYV31" s="72"/>
      <c r="UYW31" s="72"/>
      <c r="UYX31" s="72"/>
      <c r="UYY31" s="72"/>
      <c r="UYZ31" s="72"/>
      <c r="UZA31" s="72"/>
      <c r="UZB31" s="72"/>
      <c r="UZC31" s="72"/>
      <c r="UZD31" s="72"/>
      <c r="UZE31" s="72"/>
      <c r="UZF31" s="72"/>
      <c r="UZG31" s="72"/>
      <c r="UZH31" s="72"/>
      <c r="UZI31" s="72"/>
      <c r="UZJ31" s="72"/>
      <c r="UZK31" s="72"/>
      <c r="UZL31" s="72"/>
      <c r="UZM31" s="72"/>
      <c r="UZN31" s="72"/>
      <c r="UZO31" s="72"/>
      <c r="UZP31" s="72"/>
      <c r="UZQ31" s="72"/>
      <c r="UZR31" s="72"/>
      <c r="UZS31" s="72"/>
      <c r="UZT31" s="72"/>
      <c r="UZU31" s="72"/>
      <c r="UZV31" s="72"/>
      <c r="UZW31" s="72"/>
      <c r="UZX31" s="72"/>
      <c r="UZY31" s="72"/>
      <c r="UZZ31" s="72"/>
      <c r="VAA31" s="72"/>
      <c r="VAB31" s="72"/>
      <c r="VAC31" s="72"/>
      <c r="VAD31" s="72"/>
      <c r="VAE31" s="72"/>
      <c r="VAF31" s="72"/>
      <c r="VAG31" s="72"/>
      <c r="VAH31" s="72"/>
      <c r="VAI31" s="72"/>
      <c r="VAJ31" s="72"/>
      <c r="VAK31" s="72"/>
      <c r="VAL31" s="72"/>
      <c r="VAM31" s="72"/>
      <c r="VAN31" s="72"/>
      <c r="VAO31" s="72"/>
      <c r="VAP31" s="72"/>
      <c r="VAQ31" s="72"/>
      <c r="VAR31" s="72"/>
      <c r="VAS31" s="72"/>
      <c r="VAT31" s="72"/>
      <c r="VAU31" s="72"/>
      <c r="VAV31" s="72"/>
      <c r="VAW31" s="72"/>
      <c r="VAX31" s="72"/>
      <c r="VAY31" s="72"/>
      <c r="VAZ31" s="72"/>
      <c r="VBA31" s="72"/>
      <c r="VBB31" s="72"/>
      <c r="VBC31" s="72"/>
      <c r="VBD31" s="72"/>
      <c r="VBE31" s="72"/>
      <c r="VBF31" s="72"/>
      <c r="VBG31" s="72"/>
      <c r="VBH31" s="72"/>
      <c r="VBI31" s="72"/>
      <c r="VBJ31" s="72"/>
      <c r="VBK31" s="72"/>
      <c r="VBL31" s="72"/>
      <c r="VBM31" s="72"/>
      <c r="VBN31" s="72"/>
      <c r="VBO31" s="72"/>
      <c r="VBP31" s="72"/>
      <c r="VBQ31" s="72"/>
      <c r="VBR31" s="72"/>
      <c r="VBS31" s="72"/>
      <c r="VBT31" s="72"/>
      <c r="VBU31" s="72"/>
      <c r="VBV31" s="72"/>
      <c r="VBW31" s="72"/>
      <c r="VBX31" s="72"/>
      <c r="VBY31" s="72"/>
      <c r="VBZ31" s="72"/>
      <c r="VCA31" s="72"/>
      <c r="VCB31" s="72"/>
      <c r="VCC31" s="72"/>
      <c r="VCD31" s="72"/>
      <c r="VCE31" s="72"/>
      <c r="VCF31" s="72"/>
      <c r="VCG31" s="72"/>
      <c r="VCH31" s="72"/>
      <c r="VCI31" s="72"/>
      <c r="VCJ31" s="72"/>
      <c r="VCK31" s="72"/>
      <c r="VCL31" s="72"/>
      <c r="VCM31" s="72"/>
      <c r="VCN31" s="72"/>
      <c r="VCO31" s="72"/>
      <c r="VCP31" s="72"/>
      <c r="VCQ31" s="72"/>
      <c r="VCR31" s="72"/>
      <c r="VCS31" s="72"/>
      <c r="VCT31" s="72"/>
      <c r="VCU31" s="72"/>
      <c r="VCV31" s="72"/>
      <c r="VCW31" s="72"/>
      <c r="VCX31" s="72"/>
      <c r="VCY31" s="72"/>
      <c r="VCZ31" s="72"/>
      <c r="VDA31" s="72"/>
      <c r="VDB31" s="72"/>
      <c r="VDC31" s="72"/>
      <c r="VDD31" s="72"/>
      <c r="VDE31" s="72"/>
      <c r="VDF31" s="72"/>
      <c r="VDG31" s="72"/>
      <c r="VDH31" s="72"/>
      <c r="VDI31" s="72"/>
      <c r="VDJ31" s="72"/>
      <c r="VDK31" s="72"/>
      <c r="VDL31" s="72"/>
      <c r="VDM31" s="72"/>
      <c r="VDN31" s="72"/>
      <c r="VDO31" s="72"/>
      <c r="VDP31" s="72"/>
      <c r="VDQ31" s="72"/>
      <c r="VDR31" s="72"/>
      <c r="VDS31" s="72"/>
      <c r="VDT31" s="72"/>
      <c r="VDU31" s="72"/>
      <c r="VDV31" s="72"/>
      <c r="VDW31" s="72"/>
      <c r="VDX31" s="72"/>
      <c r="VDY31" s="72"/>
      <c r="VDZ31" s="72"/>
      <c r="VEA31" s="72"/>
      <c r="VEB31" s="72"/>
      <c r="VEC31" s="72"/>
      <c r="VED31" s="72"/>
      <c r="VEE31" s="72"/>
      <c r="VEF31" s="72"/>
      <c r="VEG31" s="72"/>
      <c r="VEH31" s="72"/>
      <c r="VEI31" s="72"/>
      <c r="VEJ31" s="72"/>
      <c r="VEK31" s="72"/>
      <c r="VEL31" s="72"/>
      <c r="VEM31" s="72"/>
      <c r="VEN31" s="72"/>
      <c r="VEO31" s="72"/>
      <c r="VEP31" s="72"/>
      <c r="VEQ31" s="72"/>
      <c r="VER31" s="72"/>
      <c r="VES31" s="72"/>
      <c r="VET31" s="72"/>
      <c r="VEU31" s="72"/>
      <c r="VEV31" s="72"/>
      <c r="VEW31" s="72"/>
      <c r="VEX31" s="72"/>
      <c r="VEY31" s="72"/>
      <c r="VEZ31" s="72"/>
      <c r="VFA31" s="72"/>
      <c r="VFB31" s="72"/>
      <c r="VFC31" s="72"/>
      <c r="VFD31" s="72"/>
      <c r="VFE31" s="72"/>
      <c r="VFF31" s="72"/>
      <c r="VFG31" s="72"/>
      <c r="VFH31" s="72"/>
      <c r="VFI31" s="72"/>
      <c r="VFJ31" s="72"/>
      <c r="VFK31" s="72"/>
      <c r="VFL31" s="72"/>
      <c r="VFM31" s="72"/>
      <c r="VFN31" s="72"/>
      <c r="VFO31" s="72"/>
      <c r="VFP31" s="72"/>
      <c r="VFQ31" s="72"/>
      <c r="VFR31" s="72"/>
      <c r="VFS31" s="72"/>
      <c r="VFT31" s="72"/>
      <c r="VFU31" s="72"/>
      <c r="VFV31" s="72"/>
      <c r="VFW31" s="72"/>
      <c r="VFX31" s="72"/>
      <c r="VFY31" s="72"/>
      <c r="VFZ31" s="72"/>
      <c r="VGA31" s="72"/>
      <c r="VGB31" s="72"/>
      <c r="VGC31" s="72"/>
      <c r="VGD31" s="72"/>
      <c r="VGE31" s="72"/>
      <c r="VGF31" s="72"/>
      <c r="VGG31" s="72"/>
      <c r="VGH31" s="72"/>
      <c r="VGI31" s="72"/>
      <c r="VGJ31" s="72"/>
      <c r="VGK31" s="72"/>
      <c r="VGL31" s="72"/>
      <c r="VGM31" s="72"/>
      <c r="VGN31" s="72"/>
      <c r="VGO31" s="72"/>
      <c r="VGP31" s="72"/>
      <c r="VGQ31" s="72"/>
      <c r="VGR31" s="72"/>
      <c r="VGS31" s="72"/>
      <c r="VGT31" s="72"/>
      <c r="VGU31" s="72"/>
      <c r="VGV31" s="72"/>
      <c r="VGW31" s="72"/>
      <c r="VGX31" s="72"/>
      <c r="VGY31" s="72"/>
      <c r="VGZ31" s="72"/>
      <c r="VHA31" s="72"/>
      <c r="VHB31" s="72"/>
      <c r="VHC31" s="72"/>
      <c r="VHD31" s="72"/>
      <c r="VHE31" s="72"/>
      <c r="VHF31" s="72"/>
      <c r="VHG31" s="72"/>
      <c r="VHH31" s="72"/>
      <c r="VHI31" s="72"/>
      <c r="VHJ31" s="72"/>
      <c r="VHK31" s="72"/>
      <c r="VHL31" s="72"/>
      <c r="VHM31" s="72"/>
      <c r="VHN31" s="72"/>
      <c r="VHO31" s="72"/>
      <c r="VHP31" s="72"/>
      <c r="VHQ31" s="72"/>
      <c r="VHR31" s="72"/>
      <c r="VHS31" s="72"/>
      <c r="VHT31" s="72"/>
      <c r="VHU31" s="72"/>
      <c r="VHV31" s="72"/>
      <c r="VHW31" s="72"/>
      <c r="VHX31" s="72"/>
      <c r="VHY31" s="72"/>
      <c r="VHZ31" s="72"/>
      <c r="VIA31" s="72"/>
      <c r="VIB31" s="72"/>
      <c r="VIC31" s="72"/>
      <c r="VID31" s="72"/>
      <c r="VIE31" s="72"/>
      <c r="VIF31" s="72"/>
      <c r="VIG31" s="72"/>
      <c r="VIH31" s="72"/>
      <c r="VII31" s="72"/>
      <c r="VIJ31" s="72"/>
      <c r="VIK31" s="72"/>
      <c r="VIL31" s="72"/>
      <c r="VIM31" s="72"/>
      <c r="VIN31" s="72"/>
      <c r="VIO31" s="72"/>
      <c r="VIP31" s="72"/>
      <c r="VIQ31" s="72"/>
      <c r="VIR31" s="72"/>
      <c r="VIS31" s="72"/>
      <c r="VIT31" s="72"/>
      <c r="VIU31" s="72"/>
      <c r="VIV31" s="72"/>
      <c r="VIW31" s="72"/>
      <c r="VIX31" s="72"/>
      <c r="VIY31" s="72"/>
      <c r="VIZ31" s="72"/>
      <c r="VJA31" s="72"/>
      <c r="VJB31" s="72"/>
      <c r="VJC31" s="72"/>
      <c r="VJD31" s="72"/>
      <c r="VJE31" s="72"/>
      <c r="VJF31" s="72"/>
      <c r="VJG31" s="72"/>
      <c r="VJH31" s="72"/>
      <c r="VJI31" s="72"/>
      <c r="VJJ31" s="72"/>
      <c r="VJK31" s="72"/>
      <c r="VJL31" s="72"/>
      <c r="VJM31" s="72"/>
      <c r="VJN31" s="72"/>
      <c r="VJO31" s="72"/>
      <c r="VJP31" s="72"/>
      <c r="VJQ31" s="72"/>
      <c r="VJR31" s="72"/>
      <c r="VJS31" s="72"/>
      <c r="VJT31" s="72"/>
      <c r="VJU31" s="72"/>
      <c r="VJV31" s="72"/>
      <c r="VJW31" s="72"/>
      <c r="VJX31" s="72"/>
      <c r="VJY31" s="72"/>
      <c r="VJZ31" s="72"/>
      <c r="VKA31" s="72"/>
      <c r="VKB31" s="72"/>
      <c r="VKC31" s="72"/>
      <c r="VKD31" s="72"/>
      <c r="VKE31" s="72"/>
      <c r="VKF31" s="72"/>
      <c r="VKG31" s="72"/>
      <c r="VKH31" s="72"/>
      <c r="VKI31" s="72"/>
      <c r="VKJ31" s="72"/>
      <c r="VKK31" s="72"/>
      <c r="VKL31" s="72"/>
      <c r="VKM31" s="72"/>
      <c r="VKN31" s="72"/>
      <c r="VKO31" s="72"/>
      <c r="VKP31" s="72"/>
      <c r="VKQ31" s="72"/>
      <c r="VKR31" s="72"/>
      <c r="VKS31" s="72"/>
      <c r="VKT31" s="72"/>
      <c r="VKU31" s="72"/>
      <c r="VKV31" s="72"/>
      <c r="VKW31" s="72"/>
      <c r="VKX31" s="72"/>
      <c r="VKY31" s="72"/>
      <c r="VKZ31" s="72"/>
      <c r="VLA31" s="72"/>
      <c r="VLB31" s="72"/>
      <c r="VLC31" s="72"/>
      <c r="VLD31" s="72"/>
      <c r="VLE31" s="72"/>
      <c r="VLF31" s="72"/>
      <c r="VLG31" s="72"/>
      <c r="VLH31" s="72"/>
      <c r="VLI31" s="72"/>
      <c r="VLJ31" s="72"/>
      <c r="VLK31" s="72"/>
      <c r="VLL31" s="72"/>
      <c r="VLM31" s="72"/>
      <c r="VLN31" s="72"/>
      <c r="VLO31" s="72"/>
      <c r="VLP31" s="72"/>
      <c r="VLQ31" s="72"/>
      <c r="VLR31" s="72"/>
      <c r="VLS31" s="72"/>
      <c r="VLT31" s="72"/>
      <c r="VLU31" s="72"/>
      <c r="VLV31" s="72"/>
      <c r="VLW31" s="72"/>
      <c r="VLX31" s="72"/>
      <c r="VLY31" s="72"/>
      <c r="VLZ31" s="72"/>
      <c r="VMA31" s="72"/>
      <c r="VMB31" s="72"/>
      <c r="VMC31" s="72"/>
      <c r="VMD31" s="72"/>
      <c r="VME31" s="72"/>
      <c r="VMF31" s="72"/>
      <c r="VMG31" s="72"/>
      <c r="VMH31" s="72"/>
      <c r="VMI31" s="72"/>
      <c r="VMJ31" s="72"/>
      <c r="VMK31" s="72"/>
      <c r="VML31" s="72"/>
      <c r="VMM31" s="72"/>
      <c r="VMN31" s="72"/>
      <c r="VMO31" s="72"/>
      <c r="VMP31" s="72"/>
      <c r="VMQ31" s="72"/>
      <c r="VMR31" s="72"/>
      <c r="VMS31" s="72"/>
      <c r="VMT31" s="72"/>
      <c r="VMU31" s="72"/>
      <c r="VMV31" s="72"/>
      <c r="VMW31" s="72"/>
      <c r="VMX31" s="72"/>
      <c r="VMY31" s="72"/>
      <c r="VMZ31" s="72"/>
      <c r="VNA31" s="72"/>
      <c r="VNB31" s="72"/>
      <c r="VNC31" s="72"/>
      <c r="VND31" s="72"/>
      <c r="VNE31" s="72"/>
      <c r="VNF31" s="72"/>
      <c r="VNG31" s="72"/>
      <c r="VNH31" s="72"/>
      <c r="VNI31" s="72"/>
      <c r="VNJ31" s="72"/>
      <c r="VNK31" s="72"/>
      <c r="VNL31" s="72"/>
      <c r="VNM31" s="72"/>
      <c r="VNN31" s="72"/>
      <c r="VNO31" s="72"/>
      <c r="VNP31" s="72"/>
      <c r="VNQ31" s="72"/>
      <c r="VNR31" s="72"/>
      <c r="VNS31" s="72"/>
      <c r="VNT31" s="72"/>
      <c r="VNU31" s="72"/>
      <c r="VNV31" s="72"/>
      <c r="VNW31" s="72"/>
      <c r="VNX31" s="72"/>
      <c r="VNY31" s="72"/>
      <c r="VNZ31" s="72"/>
      <c r="VOA31" s="72"/>
      <c r="VOB31" s="72"/>
      <c r="VOC31" s="72"/>
      <c r="VOD31" s="72"/>
      <c r="VOE31" s="72"/>
      <c r="VOF31" s="72"/>
      <c r="VOG31" s="72"/>
      <c r="VOH31" s="72"/>
      <c r="VOI31" s="72"/>
      <c r="VOJ31" s="72"/>
      <c r="VOK31" s="72"/>
      <c r="VOL31" s="72"/>
      <c r="VOM31" s="72"/>
      <c r="VON31" s="72"/>
      <c r="VOO31" s="72"/>
      <c r="VOP31" s="72"/>
      <c r="VOQ31" s="72"/>
      <c r="VOR31" s="72"/>
      <c r="VOS31" s="72"/>
      <c r="VOT31" s="72"/>
      <c r="VOU31" s="72"/>
      <c r="VOV31" s="72"/>
      <c r="VOW31" s="72"/>
      <c r="VOX31" s="72"/>
      <c r="VOY31" s="72"/>
      <c r="VOZ31" s="72"/>
      <c r="VPA31" s="72"/>
      <c r="VPB31" s="72"/>
      <c r="VPC31" s="72"/>
      <c r="VPD31" s="72"/>
      <c r="VPE31" s="72"/>
      <c r="VPF31" s="72"/>
      <c r="VPG31" s="72"/>
      <c r="VPH31" s="72"/>
      <c r="VPI31" s="72"/>
      <c r="VPJ31" s="72"/>
      <c r="VPK31" s="72"/>
      <c r="VPL31" s="72"/>
      <c r="VPM31" s="72"/>
      <c r="VPN31" s="72"/>
      <c r="VPO31" s="72"/>
      <c r="VPP31" s="72"/>
      <c r="VPQ31" s="72"/>
      <c r="VPR31" s="72"/>
      <c r="VPS31" s="72"/>
      <c r="VPT31" s="72"/>
      <c r="VPU31" s="72"/>
      <c r="VPV31" s="72"/>
      <c r="VPW31" s="72"/>
      <c r="VPX31" s="72"/>
      <c r="VPY31" s="72"/>
      <c r="VPZ31" s="72"/>
      <c r="VQA31" s="72"/>
      <c r="VQB31" s="72"/>
      <c r="VQC31" s="72"/>
      <c r="VQD31" s="72"/>
      <c r="VQE31" s="72"/>
      <c r="VQF31" s="72"/>
      <c r="VQG31" s="72"/>
      <c r="VQH31" s="72"/>
      <c r="VQI31" s="72"/>
      <c r="VQJ31" s="72"/>
      <c r="VQK31" s="72"/>
      <c r="VQL31" s="72"/>
      <c r="VQM31" s="72"/>
      <c r="VQN31" s="72"/>
      <c r="VQO31" s="72"/>
      <c r="VQP31" s="72"/>
      <c r="VQQ31" s="72"/>
      <c r="VQR31" s="72"/>
      <c r="VQS31" s="72"/>
      <c r="VQT31" s="72"/>
      <c r="VQU31" s="72"/>
      <c r="VQV31" s="72"/>
      <c r="VQW31" s="72"/>
      <c r="VQX31" s="72"/>
      <c r="VQY31" s="72"/>
      <c r="VQZ31" s="72"/>
      <c r="VRA31" s="72"/>
      <c r="VRB31" s="72"/>
      <c r="VRC31" s="72"/>
      <c r="VRD31" s="72"/>
      <c r="VRE31" s="72"/>
      <c r="VRF31" s="72"/>
      <c r="VRG31" s="72"/>
      <c r="VRH31" s="72"/>
      <c r="VRI31" s="72"/>
      <c r="VRJ31" s="72"/>
      <c r="VRK31" s="72"/>
      <c r="VRL31" s="72"/>
      <c r="VRM31" s="72"/>
      <c r="VRN31" s="72"/>
      <c r="VRO31" s="72"/>
      <c r="VRP31" s="72"/>
      <c r="VRQ31" s="72"/>
      <c r="VRR31" s="72"/>
      <c r="VRS31" s="72"/>
      <c r="VRT31" s="72"/>
      <c r="VRU31" s="72"/>
      <c r="VRV31" s="72"/>
      <c r="VRW31" s="72"/>
      <c r="VRX31" s="72"/>
      <c r="VRY31" s="72"/>
      <c r="VRZ31" s="72"/>
      <c r="VSA31" s="72"/>
      <c r="VSB31" s="72"/>
      <c r="VSC31" s="72"/>
      <c r="VSD31" s="72"/>
      <c r="VSE31" s="72"/>
      <c r="VSF31" s="72"/>
      <c r="VSG31" s="72"/>
      <c r="VSH31" s="72"/>
      <c r="VSI31" s="72"/>
      <c r="VSJ31" s="72"/>
      <c r="VSK31" s="72"/>
      <c r="VSL31" s="72"/>
      <c r="VSM31" s="72"/>
      <c r="VSN31" s="72"/>
      <c r="VSO31" s="72"/>
      <c r="VSP31" s="72"/>
      <c r="VSQ31" s="72"/>
      <c r="VSR31" s="72"/>
      <c r="VSS31" s="72"/>
      <c r="VST31" s="72"/>
      <c r="VSU31" s="72"/>
      <c r="VSV31" s="72"/>
      <c r="VSW31" s="72"/>
      <c r="VSX31" s="72"/>
      <c r="VSY31" s="72"/>
      <c r="VSZ31" s="72"/>
      <c r="VTA31" s="72"/>
      <c r="VTB31" s="72"/>
      <c r="VTC31" s="72"/>
      <c r="VTD31" s="72"/>
      <c r="VTE31" s="72"/>
      <c r="VTF31" s="72"/>
      <c r="VTG31" s="72"/>
      <c r="VTH31" s="72"/>
      <c r="VTI31" s="72"/>
      <c r="VTJ31" s="72"/>
      <c r="VTK31" s="72"/>
      <c r="VTL31" s="72"/>
      <c r="VTM31" s="72"/>
      <c r="VTN31" s="72"/>
      <c r="VTO31" s="72"/>
      <c r="VTP31" s="72"/>
      <c r="VTQ31" s="72"/>
      <c r="VTR31" s="72"/>
      <c r="VTS31" s="72"/>
      <c r="VTT31" s="72"/>
      <c r="VTU31" s="72"/>
      <c r="VTV31" s="72"/>
      <c r="VTW31" s="72"/>
      <c r="VTX31" s="72"/>
      <c r="VTY31" s="72"/>
      <c r="VTZ31" s="72"/>
      <c r="VUA31" s="72"/>
      <c r="VUB31" s="72"/>
      <c r="VUC31" s="72"/>
      <c r="VUD31" s="72"/>
      <c r="VUE31" s="72"/>
      <c r="VUF31" s="72"/>
      <c r="VUG31" s="72"/>
      <c r="VUH31" s="72"/>
      <c r="VUI31" s="72"/>
      <c r="VUJ31" s="72"/>
      <c r="VUK31" s="72"/>
      <c r="VUL31" s="72"/>
      <c r="VUM31" s="72"/>
      <c r="VUN31" s="72"/>
      <c r="VUO31" s="72"/>
      <c r="VUP31" s="72"/>
      <c r="VUQ31" s="72"/>
      <c r="VUR31" s="72"/>
      <c r="VUS31" s="72"/>
      <c r="VUT31" s="72"/>
      <c r="VUU31" s="72"/>
      <c r="VUV31" s="72"/>
      <c r="VUW31" s="72"/>
      <c r="VUX31" s="72"/>
      <c r="VUY31" s="72"/>
      <c r="VUZ31" s="72"/>
      <c r="VVA31" s="72"/>
      <c r="VVB31" s="72"/>
      <c r="VVC31" s="72"/>
      <c r="VVD31" s="72"/>
      <c r="VVE31" s="72"/>
      <c r="VVF31" s="72"/>
      <c r="VVG31" s="72"/>
      <c r="VVH31" s="72"/>
      <c r="VVI31" s="72"/>
      <c r="VVJ31" s="72"/>
      <c r="VVK31" s="72"/>
      <c r="VVL31" s="72"/>
      <c r="VVM31" s="72"/>
      <c r="VVN31" s="72"/>
      <c r="VVO31" s="72"/>
      <c r="VVP31" s="72"/>
      <c r="VVQ31" s="72"/>
      <c r="VVR31" s="72"/>
      <c r="VVS31" s="72"/>
      <c r="VVT31" s="72"/>
      <c r="VVU31" s="72"/>
      <c r="VVV31" s="72"/>
      <c r="VVW31" s="72"/>
      <c r="VVX31" s="72"/>
      <c r="VVY31" s="72"/>
      <c r="VVZ31" s="72"/>
      <c r="VWA31" s="72"/>
      <c r="VWB31" s="72"/>
      <c r="VWC31" s="72"/>
      <c r="VWD31" s="72"/>
      <c r="VWE31" s="72"/>
      <c r="VWF31" s="72"/>
      <c r="VWG31" s="72"/>
      <c r="VWH31" s="72"/>
      <c r="VWI31" s="72"/>
      <c r="VWJ31" s="72"/>
      <c r="VWK31" s="72"/>
      <c r="VWL31" s="72"/>
      <c r="VWM31" s="72"/>
      <c r="VWN31" s="72"/>
      <c r="VWO31" s="72"/>
      <c r="VWP31" s="72"/>
      <c r="VWQ31" s="72"/>
      <c r="VWR31" s="72"/>
      <c r="VWS31" s="72"/>
      <c r="VWT31" s="72"/>
      <c r="VWU31" s="72"/>
      <c r="VWV31" s="72"/>
      <c r="VWW31" s="72"/>
      <c r="VWX31" s="72"/>
      <c r="VWY31" s="72"/>
      <c r="VWZ31" s="72"/>
      <c r="VXA31" s="72"/>
      <c r="VXB31" s="72"/>
      <c r="VXC31" s="72"/>
      <c r="VXD31" s="72"/>
      <c r="VXE31" s="72"/>
      <c r="VXF31" s="72"/>
      <c r="VXG31" s="72"/>
      <c r="VXH31" s="72"/>
      <c r="VXI31" s="72"/>
      <c r="VXJ31" s="72"/>
      <c r="VXK31" s="72"/>
      <c r="VXL31" s="72"/>
      <c r="VXM31" s="72"/>
      <c r="VXN31" s="72"/>
      <c r="VXO31" s="72"/>
      <c r="VXP31" s="72"/>
      <c r="VXQ31" s="72"/>
      <c r="VXR31" s="72"/>
      <c r="VXS31" s="72"/>
      <c r="VXT31" s="72"/>
      <c r="VXU31" s="72"/>
      <c r="VXV31" s="72"/>
      <c r="VXW31" s="72"/>
      <c r="VXX31" s="72"/>
      <c r="VXY31" s="72"/>
      <c r="VXZ31" s="72"/>
      <c r="VYA31" s="72"/>
      <c r="VYB31" s="72"/>
      <c r="VYC31" s="72"/>
      <c r="VYD31" s="72"/>
      <c r="VYE31" s="72"/>
      <c r="VYF31" s="72"/>
      <c r="VYG31" s="72"/>
      <c r="VYH31" s="72"/>
      <c r="VYI31" s="72"/>
      <c r="VYJ31" s="72"/>
      <c r="VYK31" s="72"/>
      <c r="VYL31" s="72"/>
      <c r="VYM31" s="72"/>
      <c r="VYN31" s="72"/>
      <c r="VYO31" s="72"/>
      <c r="VYP31" s="72"/>
      <c r="VYQ31" s="72"/>
      <c r="VYR31" s="72"/>
      <c r="VYS31" s="72"/>
      <c r="VYT31" s="72"/>
      <c r="VYU31" s="72"/>
      <c r="VYV31" s="72"/>
      <c r="VYW31" s="72"/>
      <c r="VYX31" s="72"/>
      <c r="VYY31" s="72"/>
      <c r="VYZ31" s="72"/>
      <c r="VZA31" s="72"/>
      <c r="VZB31" s="72"/>
      <c r="VZC31" s="72"/>
      <c r="VZD31" s="72"/>
      <c r="VZE31" s="72"/>
      <c r="VZF31" s="72"/>
      <c r="VZG31" s="72"/>
      <c r="VZH31" s="72"/>
      <c r="VZI31" s="72"/>
      <c r="VZJ31" s="72"/>
      <c r="VZK31" s="72"/>
      <c r="VZL31" s="72"/>
      <c r="VZM31" s="72"/>
      <c r="VZN31" s="72"/>
      <c r="VZO31" s="72"/>
      <c r="VZP31" s="72"/>
      <c r="VZQ31" s="72"/>
      <c r="VZR31" s="72"/>
      <c r="VZS31" s="72"/>
      <c r="VZT31" s="72"/>
      <c r="VZU31" s="72"/>
      <c r="VZV31" s="72"/>
      <c r="VZW31" s="72"/>
      <c r="VZX31" s="72"/>
      <c r="VZY31" s="72"/>
      <c r="VZZ31" s="72"/>
      <c r="WAA31" s="72"/>
      <c r="WAB31" s="72"/>
      <c r="WAC31" s="72"/>
      <c r="WAD31" s="72"/>
      <c r="WAE31" s="72"/>
      <c r="WAF31" s="72"/>
      <c r="WAG31" s="72"/>
      <c r="WAH31" s="72"/>
      <c r="WAI31" s="72"/>
      <c r="WAJ31" s="72"/>
      <c r="WAK31" s="72"/>
      <c r="WAL31" s="72"/>
      <c r="WAM31" s="72"/>
      <c r="WAN31" s="72"/>
      <c r="WAO31" s="72"/>
      <c r="WAP31" s="72"/>
      <c r="WAQ31" s="72"/>
      <c r="WAR31" s="72"/>
      <c r="WAS31" s="72"/>
      <c r="WAT31" s="72"/>
      <c r="WAU31" s="72"/>
      <c r="WAV31" s="72"/>
      <c r="WAW31" s="72"/>
      <c r="WAX31" s="72"/>
      <c r="WAY31" s="72"/>
      <c r="WAZ31" s="72"/>
      <c r="WBA31" s="72"/>
      <c r="WBB31" s="72"/>
      <c r="WBC31" s="72"/>
      <c r="WBD31" s="72"/>
      <c r="WBE31" s="72"/>
      <c r="WBF31" s="72"/>
      <c r="WBG31" s="72"/>
      <c r="WBH31" s="72"/>
      <c r="WBI31" s="72"/>
      <c r="WBJ31" s="72"/>
      <c r="WBK31" s="72"/>
      <c r="WBL31" s="72"/>
      <c r="WBM31" s="72"/>
      <c r="WBN31" s="72"/>
      <c r="WBO31" s="72"/>
      <c r="WBP31" s="72"/>
      <c r="WBQ31" s="72"/>
      <c r="WBR31" s="72"/>
      <c r="WBS31" s="72"/>
      <c r="WBT31" s="72"/>
      <c r="WBU31" s="72"/>
      <c r="WBV31" s="72"/>
      <c r="WBW31" s="72"/>
      <c r="WBX31" s="72"/>
      <c r="WBY31" s="72"/>
      <c r="WBZ31" s="72"/>
      <c r="WCA31" s="72"/>
      <c r="WCB31" s="72"/>
      <c r="WCC31" s="72"/>
      <c r="WCD31" s="72"/>
      <c r="WCE31" s="72"/>
      <c r="WCF31" s="72"/>
      <c r="WCG31" s="72"/>
      <c r="WCH31" s="72"/>
      <c r="WCI31" s="72"/>
      <c r="WCJ31" s="72"/>
      <c r="WCK31" s="72"/>
      <c r="WCL31" s="72"/>
      <c r="WCM31" s="72"/>
      <c r="WCN31" s="72"/>
      <c r="WCO31" s="72"/>
      <c r="WCP31" s="72"/>
      <c r="WCQ31" s="72"/>
      <c r="WCR31" s="72"/>
      <c r="WCS31" s="72"/>
      <c r="WCT31" s="72"/>
      <c r="WCU31" s="72"/>
      <c r="WCV31" s="72"/>
      <c r="WCW31" s="72"/>
      <c r="WCX31" s="72"/>
      <c r="WCY31" s="72"/>
      <c r="WCZ31" s="72"/>
      <c r="WDA31" s="72"/>
      <c r="WDB31" s="72"/>
      <c r="WDC31" s="72"/>
      <c r="WDD31" s="72"/>
      <c r="WDE31" s="72"/>
      <c r="WDF31" s="72"/>
      <c r="WDG31" s="72"/>
      <c r="WDH31" s="72"/>
      <c r="WDI31" s="72"/>
      <c r="WDJ31" s="72"/>
      <c r="WDK31" s="72"/>
      <c r="WDL31" s="72"/>
      <c r="WDM31" s="72"/>
      <c r="WDN31" s="72"/>
      <c r="WDO31" s="72"/>
      <c r="WDP31" s="72"/>
      <c r="WDQ31" s="72"/>
      <c r="WDR31" s="72"/>
      <c r="WDS31" s="72"/>
      <c r="WDT31" s="72"/>
      <c r="WDU31" s="72"/>
      <c r="WDV31" s="72"/>
      <c r="WDW31" s="72"/>
      <c r="WDX31" s="72"/>
      <c r="WDY31" s="72"/>
      <c r="WDZ31" s="72"/>
      <c r="WEA31" s="72"/>
      <c r="WEB31" s="72"/>
      <c r="WEC31" s="72"/>
      <c r="WED31" s="72"/>
      <c r="WEE31" s="72"/>
      <c r="WEF31" s="72"/>
      <c r="WEG31" s="72"/>
      <c r="WEH31" s="72"/>
      <c r="WEI31" s="72"/>
      <c r="WEJ31" s="72"/>
      <c r="WEK31" s="72"/>
      <c r="WEL31" s="72"/>
      <c r="WEM31" s="72"/>
      <c r="WEN31" s="72"/>
      <c r="WEO31" s="72"/>
      <c r="WEP31" s="72"/>
      <c r="WEQ31" s="72"/>
      <c r="WER31" s="72"/>
      <c r="WES31" s="72"/>
      <c r="WET31" s="72"/>
      <c r="WEU31" s="72"/>
      <c r="WEV31" s="72"/>
      <c r="WEW31" s="72"/>
      <c r="WEX31" s="72"/>
      <c r="WEY31" s="72"/>
      <c r="WEZ31" s="72"/>
      <c r="WFA31" s="72"/>
      <c r="WFB31" s="72"/>
      <c r="WFC31" s="72"/>
      <c r="WFD31" s="72"/>
      <c r="WFE31" s="72"/>
      <c r="WFF31" s="72"/>
      <c r="WFG31" s="72"/>
      <c r="WFH31" s="72"/>
      <c r="WFI31" s="72"/>
      <c r="WFJ31" s="72"/>
      <c r="WFK31" s="72"/>
      <c r="WFL31" s="72"/>
      <c r="WFM31" s="72"/>
      <c r="WFN31" s="72"/>
      <c r="WFO31" s="72"/>
      <c r="WFP31" s="72"/>
      <c r="WFQ31" s="72"/>
      <c r="WFR31" s="72"/>
      <c r="WFS31" s="72"/>
      <c r="WFT31" s="72"/>
      <c r="WFU31" s="72"/>
      <c r="WFV31" s="72"/>
      <c r="WFW31" s="72"/>
      <c r="WFX31" s="72"/>
      <c r="WFY31" s="72"/>
      <c r="WFZ31" s="72"/>
      <c r="WGA31" s="72"/>
      <c r="WGB31" s="72"/>
      <c r="WGC31" s="72"/>
      <c r="WGD31" s="72"/>
      <c r="WGE31" s="72"/>
      <c r="WGF31" s="72"/>
      <c r="WGG31" s="72"/>
      <c r="WGH31" s="72"/>
      <c r="WGI31" s="72"/>
      <c r="WGJ31" s="72"/>
      <c r="WGK31" s="72"/>
      <c r="WGL31" s="72"/>
      <c r="WGM31" s="72"/>
      <c r="WGN31" s="72"/>
      <c r="WGO31" s="72"/>
      <c r="WGP31" s="72"/>
      <c r="WGQ31" s="72"/>
      <c r="WGR31" s="72"/>
      <c r="WGS31" s="72"/>
      <c r="WGT31" s="72"/>
      <c r="WGU31" s="72"/>
      <c r="WGV31" s="72"/>
      <c r="WGW31" s="72"/>
      <c r="WGX31" s="72"/>
      <c r="WGY31" s="72"/>
      <c r="WGZ31" s="72"/>
      <c r="WHA31" s="72"/>
      <c r="WHB31" s="72"/>
      <c r="WHC31" s="72"/>
      <c r="WHD31" s="72"/>
      <c r="WHE31" s="72"/>
      <c r="WHF31" s="72"/>
      <c r="WHG31" s="72"/>
      <c r="WHH31" s="72"/>
      <c r="WHI31" s="72"/>
      <c r="WHJ31" s="72"/>
      <c r="WHK31" s="72"/>
      <c r="WHL31" s="72"/>
      <c r="WHM31" s="72"/>
      <c r="WHN31" s="72"/>
      <c r="WHO31" s="72"/>
      <c r="WHP31" s="72"/>
      <c r="WHQ31" s="72"/>
      <c r="WHR31" s="72"/>
      <c r="WHS31" s="72"/>
      <c r="WHT31" s="72"/>
      <c r="WHU31" s="72"/>
      <c r="WHV31" s="72"/>
      <c r="WHW31" s="72"/>
      <c r="WHX31" s="72"/>
      <c r="WHY31" s="72"/>
      <c r="WHZ31" s="72"/>
      <c r="WIA31" s="72"/>
      <c r="WIB31" s="72"/>
      <c r="WIC31" s="72"/>
      <c r="WID31" s="72"/>
      <c r="WIE31" s="72"/>
      <c r="WIF31" s="72"/>
      <c r="WIG31" s="72"/>
      <c r="WIH31" s="72"/>
      <c r="WII31" s="72"/>
      <c r="WIJ31" s="72"/>
      <c r="WIK31" s="72"/>
      <c r="WIL31" s="72"/>
      <c r="WIM31" s="72"/>
      <c r="WIN31" s="72"/>
      <c r="WIO31" s="72"/>
      <c r="WIP31" s="72"/>
      <c r="WIQ31" s="72"/>
      <c r="WIR31" s="72"/>
      <c r="WIS31" s="72"/>
      <c r="WIT31" s="72"/>
      <c r="WIU31" s="72"/>
      <c r="WIV31" s="72"/>
      <c r="WIW31" s="72"/>
      <c r="WIX31" s="72"/>
      <c r="WIY31" s="72"/>
      <c r="WIZ31" s="72"/>
      <c r="WJA31" s="72"/>
      <c r="WJB31" s="72"/>
      <c r="WJC31" s="72"/>
      <c r="WJD31" s="72"/>
      <c r="WJE31" s="72"/>
      <c r="WJF31" s="72"/>
      <c r="WJG31" s="72"/>
      <c r="WJH31" s="72"/>
      <c r="WJI31" s="72"/>
      <c r="WJJ31" s="72"/>
      <c r="WJK31" s="72"/>
      <c r="WJL31" s="72"/>
      <c r="WJM31" s="72"/>
      <c r="WJN31" s="72"/>
      <c r="WJO31" s="72"/>
      <c r="WJP31" s="72"/>
      <c r="WJQ31" s="72"/>
      <c r="WJR31" s="72"/>
      <c r="WJS31" s="72"/>
      <c r="WJT31" s="72"/>
      <c r="WJU31" s="72"/>
      <c r="WJV31" s="72"/>
      <c r="WJW31" s="72"/>
      <c r="WJX31" s="72"/>
      <c r="WJY31" s="72"/>
      <c r="WJZ31" s="72"/>
      <c r="WKA31" s="72"/>
      <c r="WKB31" s="72"/>
      <c r="WKC31" s="72"/>
      <c r="WKD31" s="72"/>
      <c r="WKE31" s="72"/>
      <c r="WKF31" s="72"/>
      <c r="WKG31" s="72"/>
      <c r="WKH31" s="72"/>
      <c r="WKI31" s="72"/>
      <c r="WKJ31" s="72"/>
      <c r="WKK31" s="72"/>
      <c r="WKL31" s="72"/>
      <c r="WKM31" s="72"/>
      <c r="WKN31" s="72"/>
      <c r="WKO31" s="72"/>
      <c r="WKP31" s="72"/>
      <c r="WKQ31" s="72"/>
      <c r="WKR31" s="72"/>
      <c r="WKS31" s="72"/>
      <c r="WKT31" s="72"/>
      <c r="WKU31" s="72"/>
      <c r="WKV31" s="72"/>
      <c r="WKW31" s="72"/>
      <c r="WKX31" s="72"/>
      <c r="WKY31" s="72"/>
      <c r="WKZ31" s="72"/>
      <c r="WLA31" s="72"/>
      <c r="WLB31" s="72"/>
      <c r="WLC31" s="72"/>
      <c r="WLD31" s="72"/>
      <c r="WLE31" s="72"/>
      <c r="WLF31" s="72"/>
      <c r="WLG31" s="72"/>
      <c r="WLH31" s="72"/>
      <c r="WLI31" s="72"/>
      <c r="WLJ31" s="72"/>
      <c r="WLK31" s="72"/>
      <c r="WLL31" s="72"/>
      <c r="WLM31" s="72"/>
      <c r="WLN31" s="72"/>
      <c r="WLO31" s="72"/>
      <c r="WLP31" s="72"/>
      <c r="WLQ31" s="72"/>
      <c r="WLR31" s="72"/>
      <c r="WLS31" s="72"/>
      <c r="WLT31" s="72"/>
      <c r="WLU31" s="72"/>
      <c r="WLV31" s="72"/>
      <c r="WLW31" s="72"/>
      <c r="WLX31" s="72"/>
      <c r="WLY31" s="72"/>
      <c r="WLZ31" s="72"/>
      <c r="WMA31" s="72"/>
      <c r="WMB31" s="72"/>
      <c r="WMC31" s="72"/>
      <c r="WMD31" s="72"/>
      <c r="WME31" s="72"/>
      <c r="WMF31" s="72"/>
      <c r="WMG31" s="72"/>
      <c r="WMH31" s="72"/>
      <c r="WMI31" s="72"/>
      <c r="WMJ31" s="72"/>
      <c r="WMK31" s="72"/>
      <c r="WML31" s="72"/>
      <c r="WMM31" s="72"/>
      <c r="WMN31" s="72"/>
      <c r="WMO31" s="72"/>
      <c r="WMP31" s="72"/>
      <c r="WMQ31" s="72"/>
      <c r="WMR31" s="72"/>
      <c r="WMS31" s="72"/>
      <c r="WMT31" s="72"/>
      <c r="WMU31" s="72"/>
      <c r="WMV31" s="72"/>
      <c r="WMW31" s="72"/>
      <c r="WMX31" s="72"/>
      <c r="WMY31" s="72"/>
      <c r="WMZ31" s="72"/>
      <c r="WNA31" s="72"/>
      <c r="WNB31" s="72"/>
      <c r="WNC31" s="72"/>
      <c r="WND31" s="72"/>
      <c r="WNE31" s="72"/>
      <c r="WNF31" s="72"/>
      <c r="WNG31" s="72"/>
      <c r="WNH31" s="72"/>
      <c r="WNI31" s="72"/>
      <c r="WNJ31" s="72"/>
      <c r="WNK31" s="72"/>
      <c r="WNL31" s="72"/>
      <c r="WNM31" s="72"/>
      <c r="WNN31" s="72"/>
      <c r="WNO31" s="72"/>
      <c r="WNP31" s="72"/>
      <c r="WNQ31" s="72"/>
      <c r="WNR31" s="72"/>
      <c r="WNS31" s="72"/>
      <c r="WNT31" s="72"/>
      <c r="WNU31" s="72"/>
      <c r="WNV31" s="72"/>
      <c r="WNW31" s="72"/>
      <c r="WNX31" s="72"/>
      <c r="WNY31" s="72"/>
      <c r="WNZ31" s="72"/>
      <c r="WOA31" s="72"/>
      <c r="WOB31" s="72"/>
      <c r="WOC31" s="72"/>
      <c r="WOD31" s="72"/>
      <c r="WOE31" s="72"/>
      <c r="WOF31" s="72"/>
      <c r="WOG31" s="72"/>
      <c r="WOH31" s="72"/>
      <c r="WOI31" s="72"/>
      <c r="WOJ31" s="72"/>
      <c r="WOK31" s="72"/>
      <c r="WOL31" s="72"/>
      <c r="WOM31" s="72"/>
      <c r="WON31" s="72"/>
      <c r="WOO31" s="72"/>
      <c r="WOP31" s="72"/>
      <c r="WOQ31" s="72"/>
      <c r="WOR31" s="72"/>
      <c r="WOS31" s="72"/>
      <c r="WOT31" s="72"/>
      <c r="WOU31" s="72"/>
      <c r="WOV31" s="72"/>
      <c r="WOW31" s="72"/>
      <c r="WOX31" s="72"/>
      <c r="WOY31" s="72"/>
      <c r="WOZ31" s="72"/>
      <c r="WPA31" s="72"/>
      <c r="WPB31" s="72"/>
      <c r="WPC31" s="72"/>
      <c r="WPD31" s="72"/>
      <c r="WPE31" s="72"/>
      <c r="WPF31" s="72"/>
      <c r="WPG31" s="72"/>
      <c r="WPH31" s="72"/>
      <c r="WPI31" s="72"/>
      <c r="WPJ31" s="72"/>
      <c r="WPK31" s="72"/>
      <c r="WPL31" s="72"/>
      <c r="WPM31" s="72"/>
      <c r="WPN31" s="72"/>
      <c r="WPO31" s="72"/>
      <c r="WPP31" s="72"/>
      <c r="WPQ31" s="72"/>
      <c r="WPR31" s="72"/>
      <c r="WPS31" s="72"/>
      <c r="WPT31" s="72"/>
      <c r="WPU31" s="72"/>
      <c r="WPV31" s="72"/>
      <c r="WPW31" s="72"/>
      <c r="WPX31" s="72"/>
      <c r="WPY31" s="72"/>
      <c r="WPZ31" s="72"/>
      <c r="WQA31" s="72"/>
      <c r="WQB31" s="72"/>
      <c r="WQC31" s="72"/>
      <c r="WQD31" s="72"/>
      <c r="WQE31" s="72"/>
      <c r="WQF31" s="72"/>
      <c r="WQG31" s="72"/>
      <c r="WQH31" s="72"/>
      <c r="WQI31" s="72"/>
      <c r="WQJ31" s="72"/>
      <c r="WQK31" s="72"/>
      <c r="WQL31" s="72"/>
      <c r="WQM31" s="72"/>
      <c r="WQN31" s="72"/>
      <c r="WQO31" s="72"/>
      <c r="WQP31" s="72"/>
      <c r="WQQ31" s="72"/>
      <c r="WQR31" s="72"/>
      <c r="WQS31" s="72"/>
      <c r="WQT31" s="72"/>
      <c r="WQU31" s="72"/>
      <c r="WQV31" s="72"/>
      <c r="WQW31" s="72"/>
      <c r="WQX31" s="72"/>
      <c r="WQY31" s="72"/>
      <c r="WQZ31" s="72"/>
      <c r="WRA31" s="72"/>
      <c r="WRB31" s="72"/>
      <c r="WRC31" s="72"/>
      <c r="WRD31" s="72"/>
      <c r="WRE31" s="72"/>
      <c r="WRF31" s="72"/>
      <c r="WRG31" s="72"/>
      <c r="WRH31" s="72"/>
      <c r="WRI31" s="72"/>
      <c r="WRJ31" s="72"/>
      <c r="WRK31" s="72"/>
      <c r="WRL31" s="72"/>
      <c r="WRM31" s="72"/>
      <c r="WRN31" s="72"/>
      <c r="WRO31" s="72"/>
      <c r="WRP31" s="72"/>
      <c r="WRQ31" s="72"/>
      <c r="WRR31" s="72"/>
      <c r="WRS31" s="72"/>
      <c r="WRT31" s="72"/>
      <c r="WRU31" s="72"/>
      <c r="WRV31" s="72"/>
      <c r="WRW31" s="72"/>
      <c r="WRX31" s="72"/>
      <c r="WRY31" s="72"/>
      <c r="WRZ31" s="72"/>
      <c r="WSA31" s="72"/>
      <c r="WSB31" s="72"/>
      <c r="WSC31" s="72"/>
      <c r="WSD31" s="72"/>
      <c r="WSE31" s="72"/>
      <c r="WSF31" s="72"/>
      <c r="WSG31" s="72"/>
      <c r="WSH31" s="72"/>
      <c r="WSI31" s="72"/>
      <c r="WSJ31" s="72"/>
      <c r="WSK31" s="72"/>
      <c r="WSL31" s="72"/>
      <c r="WSM31" s="72"/>
      <c r="WSN31" s="72"/>
      <c r="WSO31" s="72"/>
      <c r="WSP31" s="72"/>
      <c r="WSQ31" s="72"/>
      <c r="WSR31" s="72"/>
      <c r="WSS31" s="72"/>
      <c r="WST31" s="72"/>
      <c r="WSU31" s="72"/>
      <c r="WSV31" s="72"/>
      <c r="WSW31" s="72"/>
      <c r="WSX31" s="72"/>
      <c r="WSY31" s="72"/>
      <c r="WSZ31" s="72"/>
      <c r="WTA31" s="72"/>
      <c r="WTB31" s="72"/>
      <c r="WTC31" s="72"/>
      <c r="WTD31" s="72"/>
      <c r="WTE31" s="72"/>
      <c r="WTF31" s="72"/>
      <c r="WTG31" s="72"/>
      <c r="WTH31" s="72"/>
      <c r="WTI31" s="72"/>
      <c r="WTJ31" s="72"/>
      <c r="WTK31" s="72"/>
      <c r="WTL31" s="72"/>
      <c r="WTM31" s="72"/>
      <c r="WTN31" s="72"/>
      <c r="WTO31" s="72"/>
      <c r="WTP31" s="72"/>
      <c r="WTQ31" s="72"/>
      <c r="WTR31" s="72"/>
      <c r="WTS31" s="72"/>
      <c r="WTT31" s="72"/>
      <c r="WTU31" s="72"/>
      <c r="WTV31" s="72"/>
      <c r="WTW31" s="72"/>
      <c r="WTX31" s="72"/>
      <c r="WTY31" s="72"/>
      <c r="WTZ31" s="72"/>
      <c r="WUA31" s="72"/>
      <c r="WUB31" s="72"/>
      <c r="WUC31" s="72"/>
      <c r="WUD31" s="72"/>
      <c r="WUE31" s="72"/>
      <c r="WUF31" s="72"/>
      <c r="WUG31" s="72"/>
      <c r="WUH31" s="72"/>
      <c r="WUI31" s="72"/>
      <c r="WUJ31" s="72"/>
      <c r="WUK31" s="72"/>
      <c r="WUL31" s="72"/>
      <c r="WUM31" s="72"/>
      <c r="WUN31" s="72"/>
      <c r="WUO31" s="72"/>
      <c r="WUP31" s="72"/>
      <c r="WUQ31" s="72"/>
      <c r="WUR31" s="72"/>
      <c r="WUS31" s="72"/>
      <c r="WUT31" s="72"/>
      <c r="WUU31" s="72"/>
      <c r="WUV31" s="72"/>
      <c r="WUW31" s="72"/>
      <c r="WUX31" s="72"/>
      <c r="WUY31" s="72"/>
      <c r="WUZ31" s="72"/>
      <c r="WVA31" s="72"/>
      <c r="WVB31" s="72"/>
      <c r="WVC31" s="72"/>
      <c r="WVD31" s="72"/>
      <c r="WVE31" s="72"/>
      <c r="WVF31" s="72"/>
      <c r="WVG31" s="72"/>
      <c r="WVH31" s="72"/>
      <c r="WVI31" s="72"/>
      <c r="WVJ31" s="72"/>
      <c r="WVK31" s="72"/>
      <c r="WVL31" s="72"/>
      <c r="WVM31" s="72"/>
      <c r="WVN31" s="72"/>
      <c r="WVO31" s="72"/>
      <c r="WVP31" s="72"/>
      <c r="WVQ31" s="72"/>
      <c r="WVR31" s="72"/>
      <c r="WVS31" s="72"/>
      <c r="WVT31" s="72"/>
      <c r="WVU31" s="72"/>
      <c r="WVV31" s="72"/>
      <c r="WVW31" s="72"/>
      <c r="WVX31" s="72"/>
      <c r="WVY31" s="72"/>
      <c r="WVZ31" s="72"/>
      <c r="WWA31" s="72"/>
      <c r="WWB31" s="72"/>
      <c r="WWC31" s="72"/>
      <c r="WWD31" s="72"/>
      <c r="WWE31" s="72"/>
      <c r="WWF31" s="72"/>
      <c r="WWG31" s="72"/>
      <c r="WWH31" s="72"/>
      <c r="WWI31" s="72"/>
      <c r="WWJ31" s="72"/>
      <c r="WWK31" s="72"/>
      <c r="WWL31" s="72"/>
      <c r="WWM31" s="72"/>
      <c r="WWN31" s="72"/>
      <c r="WWO31" s="72"/>
      <c r="WWP31" s="72"/>
      <c r="WWQ31" s="72"/>
      <c r="WWR31" s="72"/>
      <c r="WWS31" s="72"/>
      <c r="WWT31" s="72"/>
      <c r="WWU31" s="72"/>
      <c r="WWV31" s="72"/>
      <c r="WWW31" s="72"/>
      <c r="WWX31" s="72"/>
      <c r="WWY31" s="72"/>
      <c r="WWZ31" s="72"/>
      <c r="WXA31" s="72"/>
      <c r="WXB31" s="72"/>
      <c r="WXC31" s="72"/>
      <c r="WXD31" s="72"/>
      <c r="WXE31" s="72"/>
      <c r="WXF31" s="72"/>
      <c r="WXG31" s="72"/>
      <c r="WXH31" s="72"/>
      <c r="WXI31" s="72"/>
      <c r="WXJ31" s="72"/>
      <c r="WXK31" s="72"/>
      <c r="WXL31" s="72"/>
      <c r="WXM31" s="72"/>
      <c r="WXN31" s="72"/>
      <c r="WXO31" s="72"/>
      <c r="WXP31" s="72"/>
      <c r="WXQ31" s="72"/>
      <c r="WXR31" s="72"/>
      <c r="WXS31" s="72"/>
      <c r="WXT31" s="72"/>
      <c r="WXU31" s="72"/>
      <c r="WXV31" s="72"/>
      <c r="WXW31" s="72"/>
      <c r="WXX31" s="72"/>
      <c r="WXY31" s="72"/>
      <c r="WXZ31" s="72"/>
      <c r="WYA31" s="72"/>
      <c r="WYB31" s="72"/>
      <c r="WYC31" s="72"/>
      <c r="WYD31" s="72"/>
      <c r="WYE31" s="72"/>
      <c r="WYF31" s="72"/>
      <c r="WYG31" s="72"/>
      <c r="WYH31" s="72"/>
      <c r="WYI31" s="72"/>
      <c r="WYJ31" s="72"/>
      <c r="WYK31" s="72"/>
      <c r="WYL31" s="72"/>
      <c r="WYM31" s="72"/>
      <c r="WYN31" s="72"/>
      <c r="WYO31" s="72"/>
      <c r="WYP31" s="72"/>
      <c r="WYQ31" s="72"/>
      <c r="WYR31" s="72"/>
      <c r="WYS31" s="72"/>
      <c r="WYT31" s="72"/>
      <c r="WYU31" s="72"/>
      <c r="WYV31" s="72"/>
      <c r="WYW31" s="72"/>
      <c r="WYX31" s="72"/>
      <c r="WYY31" s="72"/>
      <c r="WYZ31" s="72"/>
      <c r="WZA31" s="72"/>
      <c r="WZB31" s="72"/>
      <c r="WZC31" s="72"/>
      <c r="WZD31" s="72"/>
      <c r="WZE31" s="72"/>
      <c r="WZF31" s="72"/>
      <c r="WZG31" s="72"/>
      <c r="WZH31" s="72"/>
      <c r="WZI31" s="72"/>
      <c r="WZJ31" s="72"/>
      <c r="WZK31" s="72"/>
      <c r="WZL31" s="72"/>
      <c r="WZM31" s="72"/>
      <c r="WZN31" s="72"/>
      <c r="WZO31" s="72"/>
      <c r="WZP31" s="72"/>
      <c r="WZQ31" s="72"/>
      <c r="WZR31" s="72"/>
      <c r="WZS31" s="72"/>
      <c r="WZT31" s="72"/>
      <c r="WZU31" s="72"/>
      <c r="WZV31" s="72"/>
      <c r="WZW31" s="72"/>
      <c r="WZX31" s="72"/>
      <c r="WZY31" s="72"/>
      <c r="WZZ31" s="72"/>
      <c r="XAA31" s="72"/>
      <c r="XAB31" s="72"/>
      <c r="XAC31" s="72"/>
      <c r="XAD31" s="72"/>
      <c r="XAE31" s="72"/>
      <c r="XAF31" s="72"/>
      <c r="XAG31" s="72"/>
      <c r="XAH31" s="72"/>
      <c r="XAI31" s="72"/>
      <c r="XAJ31" s="72"/>
      <c r="XAK31" s="72"/>
      <c r="XAL31" s="72"/>
      <c r="XAM31" s="72"/>
      <c r="XAN31" s="72"/>
      <c r="XAO31" s="72"/>
      <c r="XAP31" s="72"/>
      <c r="XAQ31" s="72"/>
      <c r="XAR31" s="72"/>
      <c r="XAS31" s="72"/>
      <c r="XAT31" s="72"/>
      <c r="XAU31" s="72"/>
      <c r="XAV31" s="72"/>
      <c r="XAW31" s="72"/>
      <c r="XAX31" s="72"/>
      <c r="XAY31" s="72"/>
      <c r="XAZ31" s="72"/>
      <c r="XBA31" s="72"/>
      <c r="XBB31" s="72"/>
      <c r="XBC31" s="72"/>
      <c r="XBD31" s="72"/>
      <c r="XBE31" s="72"/>
      <c r="XBF31" s="72"/>
      <c r="XBG31" s="72"/>
      <c r="XBH31" s="72"/>
      <c r="XBI31" s="72"/>
      <c r="XBJ31" s="72"/>
      <c r="XBK31" s="72"/>
      <c r="XBL31" s="72"/>
      <c r="XBM31" s="72"/>
      <c r="XBN31" s="72"/>
      <c r="XBO31" s="72"/>
      <c r="XBP31" s="72"/>
      <c r="XBQ31" s="72"/>
      <c r="XBR31" s="72"/>
      <c r="XBS31" s="72"/>
      <c r="XBT31" s="72"/>
      <c r="XBU31" s="72"/>
      <c r="XBV31" s="72"/>
      <c r="XBW31" s="72"/>
      <c r="XBX31" s="72"/>
      <c r="XBY31" s="72"/>
      <c r="XBZ31" s="72"/>
      <c r="XCA31" s="72"/>
      <c r="XCB31" s="72"/>
      <c r="XCC31" s="72"/>
      <c r="XCD31" s="72"/>
      <c r="XCE31" s="72"/>
      <c r="XCF31" s="72"/>
      <c r="XCG31" s="72"/>
      <c r="XCH31" s="72"/>
      <c r="XCI31" s="72"/>
      <c r="XCJ31" s="72"/>
      <c r="XCK31" s="72"/>
      <c r="XCL31" s="72"/>
      <c r="XCM31" s="72"/>
      <c r="XCN31" s="72"/>
      <c r="XCO31" s="72"/>
      <c r="XCP31" s="72"/>
      <c r="XCQ31" s="72"/>
      <c r="XCR31" s="72"/>
      <c r="XCS31" s="72"/>
      <c r="XCT31" s="72"/>
      <c r="XCU31" s="72"/>
      <c r="XCV31" s="72"/>
      <c r="XCW31" s="72"/>
      <c r="XCX31" s="72"/>
      <c r="XCY31" s="72"/>
      <c r="XCZ31" s="72"/>
      <c r="XDA31" s="72"/>
      <c r="XDB31" s="72"/>
      <c r="XDC31" s="72"/>
      <c r="XDD31" s="72"/>
      <c r="XDE31" s="72"/>
      <c r="XDF31" s="72"/>
      <c r="XDG31" s="72"/>
      <c r="XDH31" s="72"/>
      <c r="XDI31" s="72"/>
      <c r="XDJ31" s="72"/>
      <c r="XDK31" s="72"/>
      <c r="XDL31" s="72"/>
      <c r="XDM31" s="72"/>
      <c r="XDN31" s="72"/>
      <c r="XDO31" s="72"/>
      <c r="XDP31" s="72"/>
      <c r="XDQ31" s="72"/>
      <c r="XDR31" s="72"/>
      <c r="XDS31" s="72"/>
      <c r="XDT31" s="72"/>
      <c r="XDU31" s="72"/>
      <c r="XDV31" s="72"/>
      <c r="XDW31" s="72"/>
      <c r="XDX31" s="72"/>
      <c r="XDY31" s="72"/>
      <c r="XDZ31" s="72"/>
      <c r="XEA31" s="72"/>
      <c r="XEB31" s="72"/>
      <c r="XEC31" s="72"/>
      <c r="XED31" s="72"/>
      <c r="XEE31" s="72"/>
      <c r="XEF31" s="72"/>
      <c r="XEG31" s="72"/>
      <c r="XEH31" s="72"/>
      <c r="XEI31" s="72"/>
      <c r="XEJ31" s="72"/>
      <c r="XEK31" s="72"/>
      <c r="XEL31" s="72"/>
      <c r="XEM31" s="72"/>
      <c r="XEN31" s="72"/>
      <c r="XEO31" s="72"/>
      <c r="XEP31" s="72"/>
      <c r="XEQ31" s="72"/>
      <c r="XER31" s="72"/>
      <c r="XES31" s="72"/>
      <c r="XET31" s="72"/>
      <c r="XEU31" s="72"/>
      <c r="XEV31" s="72"/>
      <c r="XEW31" s="72"/>
      <c r="XEX31" s="72"/>
      <c r="XEY31" s="72"/>
      <c r="XEZ31" s="72"/>
      <c r="XFA31" s="72"/>
      <c r="XFB31" s="72"/>
      <c r="XFC31" s="72"/>
    </row>
    <row r="32" spans="1:16383" s="73" customFormat="1" ht="30">
      <c r="A32" s="72">
        <v>15080000</v>
      </c>
      <c r="B32" s="73" t="s">
        <v>159</v>
      </c>
      <c r="C32" s="73" t="s">
        <v>400</v>
      </c>
      <c r="D32" s="73">
        <v>1</v>
      </c>
      <c r="E32" s="36" t="s">
        <v>363</v>
      </c>
      <c r="F32" s="144"/>
      <c r="G32" s="144"/>
      <c r="H32" s="144"/>
      <c r="I32" s="144"/>
      <c r="J32" s="77">
        <v>44561</v>
      </c>
      <c r="K32" s="52" t="str">
        <f>IF(L32&gt;($M$27*50),"SI","NO")</f>
        <v>SI</v>
      </c>
      <c r="L32" s="113">
        <f>M32/D32</f>
        <v>96606601.319999993</v>
      </c>
      <c r="M32" s="73">
        <v>96606601.319999993</v>
      </c>
      <c r="N32" s="145">
        <v>96606601.319999993</v>
      </c>
      <c r="O32" s="113">
        <f>IF(K32="SI",N32,0)</f>
        <v>96606601.319999993</v>
      </c>
      <c r="P32" s="146"/>
      <c r="Q32" s="147"/>
      <c r="R32" s="147"/>
      <c r="S32" s="147"/>
      <c r="T32" s="113">
        <f>IF(O32&gt;0,S32,0)</f>
        <v>0</v>
      </c>
      <c r="U32" s="38">
        <f>IF(O32&gt;0,N32-S32,0)</f>
        <v>96606601.319999993</v>
      </c>
      <c r="V32" s="148" t="s">
        <v>399</v>
      </c>
      <c r="W32" s="116">
        <f>IF(ISERROR(IF(ROUND(($W$25-J32)/30,0)&gt;(V32*12),(V32*12),(ROUND(($W$25-J32)/30,0)))),0,"FALSO")</f>
        <v>0</v>
      </c>
      <c r="X32" s="116">
        <f>IF(ISERROR((V32*12)-W32),0,"FALSO")</f>
        <v>0</v>
      </c>
      <c r="Y32" s="38">
        <f>IF(ISERROR(N32/(V32*12)),0,"FALSO")</f>
        <v>0</v>
      </c>
      <c r="Z32" s="38">
        <f>IF(U32&gt;0,W32*Y32,0)</f>
        <v>0</v>
      </c>
      <c r="AA32" s="38">
        <f>ROUND(IF(U32&gt;0,N32,0),0)</f>
        <v>96606601</v>
      </c>
      <c r="AB32" s="38">
        <f>ROUND(IF(U32&gt;0,Z32,0),0)</f>
        <v>0</v>
      </c>
      <c r="AC32" s="38">
        <f>AA32-AB32</f>
        <v>96606601</v>
      </c>
      <c r="AD32" s="344" t="s">
        <v>772</v>
      </c>
      <c r="AH32" s="73">
        <f>O32</f>
        <v>96606601.319999993</v>
      </c>
    </row>
    <row r="33" spans="1:34" s="72" customFormat="1"/>
    <row r="34" spans="1:34" s="73" customFormat="1">
      <c r="A34" s="72">
        <v>15160000</v>
      </c>
      <c r="B34" s="73" t="s">
        <v>17</v>
      </c>
      <c r="C34" s="74" t="s">
        <v>994</v>
      </c>
      <c r="D34" s="73">
        <v>1</v>
      </c>
      <c r="E34" s="36" t="s">
        <v>362</v>
      </c>
      <c r="F34" s="144"/>
      <c r="G34" s="144"/>
      <c r="H34" s="144"/>
      <c r="I34" s="144"/>
      <c r="J34" s="77">
        <v>43069</v>
      </c>
      <c r="K34" s="52" t="str">
        <f t="shared" ref="K34:K41" si="3">IF(L34&gt;($M$23*50),"SI","NO")</f>
        <v>SI</v>
      </c>
      <c r="L34" s="113">
        <f>M34/D34</f>
        <v>767877668.79999995</v>
      </c>
      <c r="M34" s="73">
        <v>767877668.79999995</v>
      </c>
      <c r="N34" s="145">
        <v>767877668.79999995</v>
      </c>
      <c r="O34" s="113">
        <f>IF(K34="SI",N34,0)</f>
        <v>767877668.79999995</v>
      </c>
      <c r="P34" s="72">
        <v>15920500</v>
      </c>
      <c r="Q34" s="73" t="s">
        <v>24</v>
      </c>
      <c r="R34" s="73">
        <v>18485944</v>
      </c>
      <c r="S34" s="73">
        <v>18485944</v>
      </c>
      <c r="T34" s="113">
        <f>IF(O34&gt;0,S34,0)</f>
        <v>18485944</v>
      </c>
      <c r="U34" s="38">
        <f>IF(O34&gt;0,N34-S34,0)</f>
        <v>749391724.79999995</v>
      </c>
      <c r="V34" s="148">
        <v>45</v>
      </c>
      <c r="W34" s="116">
        <f>IF(ROUND(($W$27-J34)/30,0)&gt;(V34*12),(V34*12),(ROUND(($W$27-J34)/30,0)))-1</f>
        <v>49</v>
      </c>
      <c r="X34" s="116">
        <f>(V34*12)-W34</f>
        <v>491</v>
      </c>
      <c r="Y34" s="38">
        <f>N34/(V34*12)</f>
        <v>1421995.6829629629</v>
      </c>
      <c r="Z34" s="38">
        <f>IF(U34&gt;0,W34*Y34,0)</f>
        <v>69677788.46518518</v>
      </c>
      <c r="AA34" s="38">
        <f>ROUND(IF(U34&gt;0,N34,0),0)</f>
        <v>767877669</v>
      </c>
      <c r="AB34" s="38">
        <f>ROUND(IF(U34&gt;0,Z34,0),0)</f>
        <v>69677788</v>
      </c>
      <c r="AC34" s="38">
        <f>AA34-AB34</f>
        <v>698199881</v>
      </c>
      <c r="AG34" s="73">
        <f>AB34-'P, Pl y Eq 2020'!AB32</f>
        <v>17063948</v>
      </c>
    </row>
    <row r="35" spans="1:34" s="73" customFormat="1">
      <c r="A35" s="72">
        <v>15161000</v>
      </c>
      <c r="B35" s="73" t="s">
        <v>18</v>
      </c>
      <c r="C35" s="74" t="s">
        <v>994</v>
      </c>
      <c r="D35" s="73">
        <v>1</v>
      </c>
      <c r="E35" s="36" t="s">
        <v>362</v>
      </c>
      <c r="F35" s="144"/>
      <c r="G35" s="144"/>
      <c r="H35" s="144"/>
      <c r="I35" s="144"/>
      <c r="J35" s="77">
        <v>43069</v>
      </c>
      <c r="K35" s="52" t="str">
        <f t="shared" si="3"/>
        <v>SI</v>
      </c>
      <c r="L35" s="113">
        <f>M35/D35</f>
        <v>7712107742</v>
      </c>
      <c r="M35" s="73">
        <v>7712107742</v>
      </c>
      <c r="N35" s="145">
        <v>7712107742</v>
      </c>
      <c r="O35" s="113">
        <f>IF(K35="SI",N35,0)</f>
        <v>7712107742</v>
      </c>
      <c r="P35" s="72">
        <v>15920600</v>
      </c>
      <c r="Q35" s="73" t="s">
        <v>25</v>
      </c>
      <c r="R35" s="73">
        <v>185661853</v>
      </c>
      <c r="S35" s="73">
        <v>185661853</v>
      </c>
      <c r="T35" s="113">
        <f>IF(O35&gt;0,S35,0)</f>
        <v>185661853</v>
      </c>
      <c r="U35" s="38">
        <f>IF(O35&gt;0,N35-S35,0)</f>
        <v>7526445889</v>
      </c>
      <c r="V35" s="148">
        <v>45</v>
      </c>
      <c r="W35" s="116">
        <f t="shared" ref="W35:W41" si="4">IF(ROUND(($W$27-J35)/30,0)&gt;(V35*12),(V35*12),(ROUND(($W$27-J35)/30,0)))-1</f>
        <v>49</v>
      </c>
      <c r="X35" s="116">
        <f>(V35*12)-W35</f>
        <v>491</v>
      </c>
      <c r="Y35" s="38">
        <f>N35/(V35*12)</f>
        <v>14281681.003703704</v>
      </c>
      <c r="Z35" s="38">
        <f>IF(U35&gt;0,W35*Y35,0)</f>
        <v>699802369.18148148</v>
      </c>
      <c r="AA35" s="38">
        <f>ROUND(IF(U35&gt;0,N35,0),0)</f>
        <v>7712107742</v>
      </c>
      <c r="AB35" s="38">
        <f>ROUND(IF(U35&gt;0,Z35,0),0)</f>
        <v>699802369</v>
      </c>
      <c r="AC35" s="38">
        <f>AA35-AB35</f>
        <v>7012305373</v>
      </c>
      <c r="AG35" s="73">
        <f>AB35-'P, Pl y Eq 2020'!AB33</f>
        <v>171380172</v>
      </c>
    </row>
    <row r="36" spans="1:34" s="73" customFormat="1">
      <c r="A36" s="72">
        <v>15161000</v>
      </c>
      <c r="B36" s="73" t="s">
        <v>18</v>
      </c>
      <c r="C36" s="74" t="s">
        <v>994</v>
      </c>
      <c r="D36" s="73">
        <v>1</v>
      </c>
      <c r="E36" s="36" t="s">
        <v>362</v>
      </c>
      <c r="F36" s="144"/>
      <c r="G36" s="144"/>
      <c r="H36" s="144"/>
      <c r="I36" s="144"/>
      <c r="J36" s="77">
        <v>43069</v>
      </c>
      <c r="K36" s="52" t="str">
        <f t="shared" si="3"/>
        <v>SI</v>
      </c>
      <c r="L36" s="113">
        <f t="shared" ref="L36:L39" si="5">M36/D36</f>
        <v>45798478</v>
      </c>
      <c r="M36" s="73">
        <v>45798478</v>
      </c>
      <c r="N36" s="145">
        <v>45798478</v>
      </c>
      <c r="O36" s="113">
        <f t="shared" ref="O36:O39" si="6">IF(K36="SI",N36,0)</f>
        <v>45798478</v>
      </c>
      <c r="P36" s="72">
        <v>15920600</v>
      </c>
      <c r="Q36" s="73" t="s">
        <v>25</v>
      </c>
      <c r="R36" s="73">
        <v>1102556</v>
      </c>
      <c r="S36" s="73">
        <v>1102556</v>
      </c>
      <c r="T36" s="113">
        <f t="shared" ref="T36:T39" si="7">IF(O36&gt;0,S36,0)</f>
        <v>1102556</v>
      </c>
      <c r="U36" s="38">
        <f t="shared" ref="U36:U39" si="8">IF(O36&gt;0,N36-S36,0)</f>
        <v>44695922</v>
      </c>
      <c r="V36" s="148">
        <v>45</v>
      </c>
      <c r="W36" s="116">
        <f t="shared" si="4"/>
        <v>49</v>
      </c>
      <c r="X36" s="116">
        <f t="shared" ref="X36:X41" si="9">(V36*12)-W36</f>
        <v>491</v>
      </c>
      <c r="Y36" s="38">
        <f t="shared" ref="Y36:Y41" si="10">N36/(V36*12)</f>
        <v>84811.996296296289</v>
      </c>
      <c r="Z36" s="38">
        <f>IF(U36&gt;0,W36*Y36,0)</f>
        <v>4155787.818518518</v>
      </c>
      <c r="AA36" s="38">
        <f t="shared" ref="AA36:AA41" si="11">ROUND(IF(U36&gt;0,N36,0),0)</f>
        <v>45798478</v>
      </c>
      <c r="AB36" s="38">
        <f t="shared" ref="AB36:AB41" si="12">ROUND(IF(U36&gt;0,Z36,0),0)</f>
        <v>4155788</v>
      </c>
      <c r="AC36" s="38">
        <f t="shared" ref="AC36:AC41" si="13">AA36-AB36</f>
        <v>41642690</v>
      </c>
      <c r="AG36" s="73">
        <f>AB36-'P, Pl y Eq 2020'!AB34</f>
        <v>1017744</v>
      </c>
    </row>
    <row r="37" spans="1:34" s="73" customFormat="1">
      <c r="A37" s="72">
        <v>15162000</v>
      </c>
      <c r="B37" s="73" t="s">
        <v>19</v>
      </c>
      <c r="C37" s="74" t="s">
        <v>994</v>
      </c>
      <c r="D37" s="73">
        <v>1</v>
      </c>
      <c r="E37" s="36" t="s">
        <v>362</v>
      </c>
      <c r="F37" s="144"/>
      <c r="G37" s="144"/>
      <c r="H37" s="144"/>
      <c r="I37" s="144"/>
      <c r="J37" s="77">
        <v>43069</v>
      </c>
      <c r="K37" s="52" t="str">
        <f t="shared" si="3"/>
        <v>SI</v>
      </c>
      <c r="L37" s="113">
        <f t="shared" si="5"/>
        <v>211430939</v>
      </c>
      <c r="M37" s="73">
        <v>211430939</v>
      </c>
      <c r="N37" s="145">
        <v>211430939</v>
      </c>
      <c r="O37" s="113">
        <f t="shared" si="6"/>
        <v>211430939</v>
      </c>
      <c r="P37" s="72">
        <v>15920700</v>
      </c>
      <c r="Q37" s="73" t="s">
        <v>26</v>
      </c>
      <c r="R37" s="73">
        <v>5090004</v>
      </c>
      <c r="S37" s="73">
        <v>5090004</v>
      </c>
      <c r="T37" s="113">
        <f t="shared" si="7"/>
        <v>5090004</v>
      </c>
      <c r="U37" s="38">
        <f t="shared" si="8"/>
        <v>206340935</v>
      </c>
      <c r="V37" s="148">
        <v>45</v>
      </c>
      <c r="W37" s="116">
        <f t="shared" si="4"/>
        <v>49</v>
      </c>
      <c r="X37" s="116">
        <f t="shared" si="9"/>
        <v>491</v>
      </c>
      <c r="Y37" s="38">
        <f t="shared" si="10"/>
        <v>391538.77592592593</v>
      </c>
      <c r="Z37" s="38">
        <f t="shared" ref="Z37:Z41" si="14">IF(U37&gt;0,W37*Y37,0)</f>
        <v>19185400.020370372</v>
      </c>
      <c r="AA37" s="38">
        <f t="shared" si="11"/>
        <v>211430939</v>
      </c>
      <c r="AB37" s="38">
        <f t="shared" si="12"/>
        <v>19185400</v>
      </c>
      <c r="AC37" s="38">
        <f t="shared" si="13"/>
        <v>192245539</v>
      </c>
      <c r="AG37" s="73">
        <f>AB37-'P, Pl y Eq 2020'!AB35</f>
        <v>4698465</v>
      </c>
    </row>
    <row r="38" spans="1:34" s="73" customFormat="1">
      <c r="A38" s="72">
        <v>15162000</v>
      </c>
      <c r="B38" s="73" t="s">
        <v>19</v>
      </c>
      <c r="C38" s="74" t="s">
        <v>994</v>
      </c>
      <c r="D38" s="73">
        <v>1</v>
      </c>
      <c r="E38" s="36" t="s">
        <v>362</v>
      </c>
      <c r="F38" s="144"/>
      <c r="G38" s="144"/>
      <c r="H38" s="144"/>
      <c r="I38" s="144"/>
      <c r="J38" s="77">
        <v>43069</v>
      </c>
      <c r="K38" s="52" t="str">
        <f t="shared" si="3"/>
        <v>SI</v>
      </c>
      <c r="L38" s="113">
        <f t="shared" si="5"/>
        <v>7192000</v>
      </c>
      <c r="M38" s="73">
        <v>7192000</v>
      </c>
      <c r="N38" s="145">
        <v>7192000</v>
      </c>
      <c r="O38" s="113">
        <f t="shared" si="6"/>
        <v>7192000</v>
      </c>
      <c r="P38" s="72">
        <v>15920700</v>
      </c>
      <c r="Q38" s="73" t="s">
        <v>26</v>
      </c>
      <c r="R38" s="73">
        <v>173141</v>
      </c>
      <c r="S38" s="73">
        <v>173141</v>
      </c>
      <c r="T38" s="113">
        <f t="shared" si="7"/>
        <v>173141</v>
      </c>
      <c r="U38" s="38">
        <f t="shared" si="8"/>
        <v>7018859</v>
      </c>
      <c r="V38" s="148">
        <v>45</v>
      </c>
      <c r="W38" s="116">
        <f t="shared" si="4"/>
        <v>49</v>
      </c>
      <c r="X38" s="116">
        <f t="shared" si="9"/>
        <v>491</v>
      </c>
      <c r="Y38" s="38">
        <f t="shared" si="10"/>
        <v>13318.518518518518</v>
      </c>
      <c r="Z38" s="38">
        <f t="shared" si="14"/>
        <v>652607.40740740742</v>
      </c>
      <c r="AA38" s="38">
        <f t="shared" si="11"/>
        <v>7192000</v>
      </c>
      <c r="AB38" s="38">
        <f t="shared" si="12"/>
        <v>652607</v>
      </c>
      <c r="AC38" s="38">
        <f t="shared" si="13"/>
        <v>6539393</v>
      </c>
      <c r="AG38" s="73">
        <f>AB38-'P, Pl y Eq 2020'!AB36</f>
        <v>159822</v>
      </c>
    </row>
    <row r="39" spans="1:34" s="73" customFormat="1">
      <c r="A39" s="72">
        <v>15162000</v>
      </c>
      <c r="B39" s="73" t="s">
        <v>19</v>
      </c>
      <c r="C39" s="74" t="s">
        <v>994</v>
      </c>
      <c r="D39" s="73">
        <v>1</v>
      </c>
      <c r="E39" s="117" t="s">
        <v>362</v>
      </c>
      <c r="F39" s="144"/>
      <c r="G39" s="144"/>
      <c r="H39" s="144"/>
      <c r="I39" s="144"/>
      <c r="J39" s="77">
        <v>43069</v>
      </c>
      <c r="K39" s="118" t="str">
        <f t="shared" si="3"/>
        <v>SI</v>
      </c>
      <c r="L39" s="119">
        <f t="shared" si="5"/>
        <v>12400000</v>
      </c>
      <c r="M39" s="73">
        <v>12400000</v>
      </c>
      <c r="N39" s="145">
        <v>12400000</v>
      </c>
      <c r="O39" s="119">
        <f t="shared" si="6"/>
        <v>12400000</v>
      </c>
      <c r="P39" s="72">
        <v>15920700</v>
      </c>
      <c r="Q39" s="73" t="s">
        <v>26</v>
      </c>
      <c r="R39" s="73">
        <v>298519</v>
      </c>
      <c r="S39" s="73">
        <v>298519</v>
      </c>
      <c r="T39" s="119">
        <f t="shared" si="7"/>
        <v>298519</v>
      </c>
      <c r="U39" s="120">
        <f t="shared" si="8"/>
        <v>12101481</v>
      </c>
      <c r="V39" s="148">
        <v>45</v>
      </c>
      <c r="W39" s="121">
        <f t="shared" si="4"/>
        <v>49</v>
      </c>
      <c r="X39" s="121">
        <f t="shared" si="9"/>
        <v>491</v>
      </c>
      <c r="Y39" s="120">
        <f t="shared" si="10"/>
        <v>22962.962962962964</v>
      </c>
      <c r="Z39" s="120">
        <f t="shared" si="14"/>
        <v>1125185.1851851852</v>
      </c>
      <c r="AA39" s="120">
        <f t="shared" si="11"/>
        <v>12400000</v>
      </c>
      <c r="AB39" s="120">
        <f t="shared" si="12"/>
        <v>1125185</v>
      </c>
      <c r="AC39" s="120">
        <f t="shared" si="13"/>
        <v>11274815</v>
      </c>
      <c r="AG39" s="73">
        <f>AB39-'P, Pl y Eq 2020'!AB37</f>
        <v>275555</v>
      </c>
    </row>
    <row r="40" spans="1:34" s="73" customFormat="1">
      <c r="A40" s="150">
        <v>15162000</v>
      </c>
      <c r="B40" s="151" t="s">
        <v>19</v>
      </c>
      <c r="C40" s="151" t="s">
        <v>994</v>
      </c>
      <c r="D40" s="151">
        <v>1</v>
      </c>
      <c r="E40" s="141" t="s">
        <v>362</v>
      </c>
      <c r="F40" s="152"/>
      <c r="G40" s="152"/>
      <c r="H40" s="152"/>
      <c r="I40" s="152"/>
      <c r="J40" s="153">
        <v>43069</v>
      </c>
      <c r="K40" s="123" t="str">
        <f t="shared" si="3"/>
        <v>SI</v>
      </c>
      <c r="L40" s="142">
        <f>M40/D40</f>
        <v>82215000</v>
      </c>
      <c r="M40" s="151">
        <v>82215000</v>
      </c>
      <c r="N40" s="154">
        <v>82215000</v>
      </c>
      <c r="O40" s="142">
        <f>IF(K40="SI",N40,0)</f>
        <v>82215000</v>
      </c>
      <c r="P40" s="155">
        <v>15920700</v>
      </c>
      <c r="Q40" s="151" t="s">
        <v>26</v>
      </c>
      <c r="R40" s="151">
        <v>1979250</v>
      </c>
      <c r="S40" s="151">
        <v>1979250</v>
      </c>
      <c r="T40" s="142">
        <f>IF(O40&gt;0,S40,0)</f>
        <v>1979250</v>
      </c>
      <c r="U40" s="125">
        <f>IF(O40&gt;0,N40-S40,0)</f>
        <v>80235750</v>
      </c>
      <c r="V40" s="156">
        <v>45</v>
      </c>
      <c r="W40" s="137">
        <f t="shared" si="4"/>
        <v>49</v>
      </c>
      <c r="X40" s="124">
        <f t="shared" si="9"/>
        <v>491</v>
      </c>
      <c r="Y40" s="125">
        <f t="shared" si="10"/>
        <v>152250</v>
      </c>
      <c r="Z40" s="125">
        <f t="shared" si="14"/>
        <v>7460250</v>
      </c>
      <c r="AA40" s="125">
        <f t="shared" si="11"/>
        <v>82215000</v>
      </c>
      <c r="AB40" s="125">
        <f t="shared" si="12"/>
        <v>7460250</v>
      </c>
      <c r="AC40" s="126">
        <f t="shared" si="13"/>
        <v>74754750</v>
      </c>
      <c r="AG40" s="73">
        <f>AB40-'P, Pl y Eq 2020'!AB38</f>
        <v>1827000</v>
      </c>
    </row>
    <row r="41" spans="1:34" s="73" customFormat="1">
      <c r="A41" s="157">
        <v>15162000</v>
      </c>
      <c r="B41" s="158" t="s">
        <v>19</v>
      </c>
      <c r="C41" s="158" t="s">
        <v>994</v>
      </c>
      <c r="D41" s="158">
        <v>1</v>
      </c>
      <c r="E41" s="127" t="s">
        <v>362</v>
      </c>
      <c r="F41" s="159"/>
      <c r="G41" s="159"/>
      <c r="H41" s="159"/>
      <c r="I41" s="159"/>
      <c r="J41" s="160">
        <v>43069</v>
      </c>
      <c r="K41" s="128" t="str">
        <f t="shared" si="3"/>
        <v>SI</v>
      </c>
      <c r="L41" s="129">
        <f>M41/D41</f>
        <v>406174241</v>
      </c>
      <c r="M41" s="158">
        <v>406174241</v>
      </c>
      <c r="N41" s="161">
        <v>406174241</v>
      </c>
      <c r="O41" s="129">
        <f>IF(K41="SI",N41,0)</f>
        <v>406174241</v>
      </c>
      <c r="P41" s="162">
        <v>15920700</v>
      </c>
      <c r="Q41" s="158" t="s">
        <v>26</v>
      </c>
      <c r="R41" s="158">
        <v>9778269</v>
      </c>
      <c r="S41" s="158">
        <v>9778269</v>
      </c>
      <c r="T41" s="129">
        <f>IF(O41&gt;0,S41,0)</f>
        <v>9778269</v>
      </c>
      <c r="U41" s="130">
        <f>IF(O41&gt;0,N41-S41,0)</f>
        <v>396395972</v>
      </c>
      <c r="V41" s="163">
        <v>45</v>
      </c>
      <c r="W41" s="131">
        <f t="shared" si="4"/>
        <v>49</v>
      </c>
      <c r="X41" s="131">
        <f t="shared" si="9"/>
        <v>491</v>
      </c>
      <c r="Y41" s="130">
        <f t="shared" si="10"/>
        <v>752174.52037037036</v>
      </c>
      <c r="Z41" s="130">
        <f t="shared" si="14"/>
        <v>36856551.498148151</v>
      </c>
      <c r="AA41" s="130">
        <f t="shared" si="11"/>
        <v>406174241</v>
      </c>
      <c r="AB41" s="130">
        <f t="shared" si="12"/>
        <v>36856551</v>
      </c>
      <c r="AC41" s="132">
        <f t="shared" si="13"/>
        <v>369317690</v>
      </c>
      <c r="AG41" s="73">
        <f>AB41-'P, Pl y Eq 2020'!AB39</f>
        <v>9026094</v>
      </c>
    </row>
    <row r="42" spans="1:34" s="73" customFormat="1">
      <c r="A42" s="72">
        <v>15162000</v>
      </c>
      <c r="B42" s="73" t="s">
        <v>19</v>
      </c>
      <c r="C42" s="74" t="s">
        <v>994</v>
      </c>
      <c r="D42" s="73">
        <v>1</v>
      </c>
      <c r="E42" s="36" t="s">
        <v>362</v>
      </c>
      <c r="F42" s="144"/>
      <c r="G42" s="144"/>
      <c r="H42" s="144"/>
      <c r="I42" s="144"/>
      <c r="J42" s="77">
        <v>44470</v>
      </c>
      <c r="K42" s="52" t="str">
        <f>IF(L42&gt;($M$27*50),"SI","NO")</f>
        <v>SI</v>
      </c>
      <c r="L42" s="113">
        <f t="shared" ref="L42" si="15">M42/D42</f>
        <v>24445958.859999999</v>
      </c>
      <c r="M42" s="73">
        <v>24445958.859999999</v>
      </c>
      <c r="N42" s="145">
        <v>24445958.859999999</v>
      </c>
      <c r="O42" s="113">
        <f t="shared" ref="O42" si="16">IF(K42="SI",N42,0)</f>
        <v>24445958.859999999</v>
      </c>
      <c r="P42" s="72">
        <v>15920700</v>
      </c>
      <c r="Q42" s="73" t="s">
        <v>26</v>
      </c>
      <c r="R42" s="73">
        <v>0</v>
      </c>
      <c r="S42" s="73">
        <v>0</v>
      </c>
      <c r="T42" s="119">
        <f>IF(O42&gt;0,S42,0)</f>
        <v>0</v>
      </c>
      <c r="U42" s="120">
        <f>IF(O42&gt;0,N42-S42,0)</f>
        <v>24445958.859999999</v>
      </c>
      <c r="V42" s="148">
        <v>45</v>
      </c>
      <c r="W42" s="116">
        <f t="shared" ref="W42" si="17">IF(ROUND(($W$27-J42)/30,0)&gt;(V42*12),(V42*12),(ROUND(($W$27-J42)/30,0)))-1</f>
        <v>2</v>
      </c>
      <c r="X42" s="116">
        <f t="shared" ref="X42" si="18">(V42*12)-W42</f>
        <v>538</v>
      </c>
      <c r="Y42" s="38">
        <f t="shared" ref="Y42" si="19">N42/(V42*12)</f>
        <v>45270.294185185187</v>
      </c>
      <c r="Z42" s="38">
        <f t="shared" ref="Z42" si="20">IF(U42&gt;0,W42*Y42,0)</f>
        <v>90540.588370370373</v>
      </c>
      <c r="AA42" s="38">
        <f t="shared" ref="AA42" si="21">ROUND(IF(U42&gt;0,N42,0),0)</f>
        <v>24445959</v>
      </c>
      <c r="AB42" s="38">
        <f t="shared" ref="AB42" si="22">ROUND(IF(U42&gt;0,Z42,0),0)</f>
        <v>90541</v>
      </c>
      <c r="AC42" s="38">
        <f t="shared" ref="AC42" si="23">AA42-AB42</f>
        <v>24355418</v>
      </c>
      <c r="AG42" s="73">
        <f>AB42</f>
        <v>90541</v>
      </c>
      <c r="AH42" s="73">
        <f>O42</f>
        <v>24445958.859999999</v>
      </c>
    </row>
    <row r="43" spans="1:34" s="73" customFormat="1">
      <c r="A43" s="72"/>
      <c r="C43" s="74"/>
      <c r="E43" s="46"/>
      <c r="F43" s="144"/>
      <c r="G43" s="144"/>
      <c r="H43" s="144"/>
      <c r="I43" s="144"/>
      <c r="J43" s="77"/>
      <c r="K43" s="345"/>
      <c r="L43" s="346"/>
      <c r="N43" s="145"/>
      <c r="O43" s="346"/>
      <c r="P43" s="72"/>
      <c r="T43" s="346"/>
      <c r="U43" s="47"/>
      <c r="V43" s="148"/>
      <c r="W43" s="347"/>
      <c r="X43" s="347"/>
      <c r="Y43" s="47"/>
      <c r="Z43" s="47"/>
      <c r="AA43" s="47"/>
      <c r="AB43" s="47"/>
      <c r="AC43" s="47"/>
    </row>
    <row r="44" spans="1:34" s="73" customFormat="1">
      <c r="A44" s="72">
        <v>15200000</v>
      </c>
      <c r="B44" s="73" t="s">
        <v>20</v>
      </c>
      <c r="C44" s="74" t="s">
        <v>995</v>
      </c>
      <c r="D44" s="73">
        <v>1</v>
      </c>
      <c r="E44" s="36" t="s">
        <v>364</v>
      </c>
      <c r="F44" s="144"/>
      <c r="G44" s="144"/>
      <c r="H44" s="144"/>
      <c r="I44" s="144"/>
      <c r="J44" s="77">
        <v>43069</v>
      </c>
      <c r="K44" s="52" t="str">
        <f t="shared" ref="K44:K75" si="24">IF(L44&gt;($M$23*50),"SI","NO")</f>
        <v>SI</v>
      </c>
      <c r="L44" s="113">
        <f>M44/D44</f>
        <v>242509492.80000001</v>
      </c>
      <c r="M44" s="73">
        <v>242509492.80000001</v>
      </c>
      <c r="N44" s="145">
        <v>242509492.80000001</v>
      </c>
      <c r="O44" s="113">
        <f>IF(K44="SI",N44,0)</f>
        <v>242509492.80000001</v>
      </c>
      <c r="P44" s="72">
        <v>15921000</v>
      </c>
      <c r="Q44" s="73" t="s">
        <v>27</v>
      </c>
      <c r="R44" s="73">
        <v>13135931</v>
      </c>
      <c r="S44" s="73">
        <v>13135931</v>
      </c>
      <c r="T44" s="113">
        <f>IF(O44&gt;0,S44,0)</f>
        <v>13135931</v>
      </c>
      <c r="U44" s="38">
        <f>IF(O44&gt;0,N44-S44,0)</f>
        <v>229373561.80000001</v>
      </c>
      <c r="V44" s="148">
        <v>20</v>
      </c>
      <c r="W44" s="116">
        <f>IF(ROUND(($W$27-J44)/30,0)&gt;(V44*12),(V44*12),(ROUND(($W$27-J44)/30,0)))-1</f>
        <v>49</v>
      </c>
      <c r="X44" s="116">
        <f>(V44*12)-W44</f>
        <v>191</v>
      </c>
      <c r="Y44" s="38">
        <f>N44/(V44*12)</f>
        <v>1010456.2200000001</v>
      </c>
      <c r="Z44" s="38">
        <f>IF(U44&gt;0,W44*Y44,0)</f>
        <v>49512354.780000001</v>
      </c>
      <c r="AA44" s="38">
        <f>ROUND(IF(U44&gt;0,N44,0),0)</f>
        <v>242509493</v>
      </c>
      <c r="AB44" s="38">
        <f>ROUND(IF(U44&gt;0,Z44,0),0)</f>
        <v>49512355</v>
      </c>
      <c r="AC44" s="38">
        <f>AA44-AB44</f>
        <v>192997138</v>
      </c>
      <c r="AG44" s="73">
        <f>AB44-'P, Pl y Eq 2020'!AB41</f>
        <v>12125475</v>
      </c>
    </row>
    <row r="45" spans="1:34" s="73" customFormat="1">
      <c r="A45" s="72">
        <v>15200000</v>
      </c>
      <c r="B45" s="73" t="s">
        <v>20</v>
      </c>
      <c r="C45" s="74" t="s">
        <v>995</v>
      </c>
      <c r="D45" s="73">
        <v>1</v>
      </c>
      <c r="E45" s="36" t="s">
        <v>364</v>
      </c>
      <c r="F45" s="144"/>
      <c r="G45" s="144"/>
      <c r="H45" s="144"/>
      <c r="I45" s="144"/>
      <c r="J45" s="77">
        <v>43069</v>
      </c>
      <c r="K45" s="52" t="str">
        <f t="shared" si="24"/>
        <v>SI</v>
      </c>
      <c r="L45" s="113">
        <f t="shared" ref="L45" si="25">M45/D45</f>
        <v>395695677.60000002</v>
      </c>
      <c r="M45" s="73">
        <v>395695677.60000002</v>
      </c>
      <c r="N45" s="145">
        <v>395695677.60000002</v>
      </c>
      <c r="O45" s="113">
        <f t="shared" ref="O45" si="26">IF(K45="SI",N45,0)</f>
        <v>395695677.60000002</v>
      </c>
      <c r="P45" s="72">
        <v>15921000</v>
      </c>
      <c r="Q45" s="73" t="s">
        <v>27</v>
      </c>
      <c r="R45" s="73">
        <v>21433516</v>
      </c>
      <c r="S45" s="73">
        <v>21433516</v>
      </c>
      <c r="T45" s="113">
        <f t="shared" ref="T45" si="27">IF(O45&gt;0,S45,0)</f>
        <v>21433516</v>
      </c>
      <c r="U45" s="38">
        <f t="shared" ref="U45" si="28">IF(O45&gt;0,N45-S45,0)</f>
        <v>374262161.60000002</v>
      </c>
      <c r="V45" s="148">
        <v>20</v>
      </c>
      <c r="W45" s="116">
        <f t="shared" ref="W45:W98" si="29">IF(ROUND(($W$27-J45)/30,0)&gt;(V45*12),(V45*12),(ROUND(($W$27-J45)/30,0)))-1</f>
        <v>49</v>
      </c>
      <c r="X45" s="116">
        <f t="shared" ref="X45" si="30">(V45*12)-W45</f>
        <v>191</v>
      </c>
      <c r="Y45" s="38">
        <f t="shared" ref="Y45" si="31">N45/(V45*12)</f>
        <v>1648731.99</v>
      </c>
      <c r="Z45" s="38">
        <f t="shared" ref="Z45" si="32">IF(U45&gt;0,W45*Y45,0)</f>
        <v>80787867.510000005</v>
      </c>
      <c r="AA45" s="38">
        <f t="shared" ref="AA45" si="33">ROUND(IF(U45&gt;0,N45,0),0)</f>
        <v>395695678</v>
      </c>
      <c r="AB45" s="38">
        <f t="shared" ref="AB45" si="34">ROUND(IF(U45&gt;0,Z45,0),0)</f>
        <v>80787868</v>
      </c>
      <c r="AC45" s="38">
        <f t="shared" ref="AC45" si="35">AA45-AB45</f>
        <v>314907810</v>
      </c>
      <c r="AG45" s="73">
        <f>AB45-'P, Pl y Eq 2020'!AB42</f>
        <v>19784784</v>
      </c>
    </row>
    <row r="46" spans="1:34" s="73" customFormat="1">
      <c r="A46" s="72">
        <v>15200000</v>
      </c>
      <c r="B46" s="73" t="s">
        <v>20</v>
      </c>
      <c r="C46" s="164" t="s">
        <v>995</v>
      </c>
      <c r="D46" s="73">
        <v>1</v>
      </c>
      <c r="E46" s="36" t="s">
        <v>364</v>
      </c>
      <c r="F46" s="144"/>
      <c r="G46" s="144"/>
      <c r="H46" s="144"/>
      <c r="I46" s="144"/>
      <c r="J46" s="77">
        <v>43069</v>
      </c>
      <c r="K46" s="52" t="str">
        <f t="shared" si="24"/>
        <v>SI</v>
      </c>
      <c r="L46" s="113">
        <f>M46/D46</f>
        <v>2232008171</v>
      </c>
      <c r="M46" s="73">
        <v>2232008171</v>
      </c>
      <c r="N46" s="145">
        <v>2232008171</v>
      </c>
      <c r="O46" s="113">
        <f>IF(K46="SI",N46,0)</f>
        <v>2232008171</v>
      </c>
      <c r="P46" s="72">
        <v>15921000</v>
      </c>
      <c r="Q46" s="73" t="s">
        <v>27</v>
      </c>
      <c r="R46" s="73">
        <v>120900443</v>
      </c>
      <c r="S46" s="73">
        <v>120900443</v>
      </c>
      <c r="T46" s="113">
        <f>IF(O46&gt;0,S46,0)</f>
        <v>120900443</v>
      </c>
      <c r="U46" s="38">
        <f>IF(O46&gt;0,N46-S46,0)</f>
        <v>2111107728</v>
      </c>
      <c r="V46" s="148">
        <v>20</v>
      </c>
      <c r="W46" s="116">
        <f t="shared" si="29"/>
        <v>49</v>
      </c>
      <c r="X46" s="116">
        <f>(V46*12)-W46</f>
        <v>191</v>
      </c>
      <c r="Y46" s="38">
        <f>N46/(V46*12)</f>
        <v>9300034.0458333325</v>
      </c>
      <c r="Z46" s="38">
        <f>IF(U46&gt;0,W46*Y46,0)</f>
        <v>455701668.24583328</v>
      </c>
      <c r="AA46" s="38">
        <f>ROUND(IF(U46&gt;0,N46,0),0)</f>
        <v>2232008171</v>
      </c>
      <c r="AB46" s="38">
        <f>ROUND(IF(U46&gt;0,Z46,0),0)</f>
        <v>455701668</v>
      </c>
      <c r="AC46" s="38">
        <f>AA46-AB46</f>
        <v>1776306503</v>
      </c>
      <c r="AG46" s="73">
        <f>AB46-'P, Pl y Eq 2020'!AB43</f>
        <v>111600408</v>
      </c>
    </row>
    <row r="47" spans="1:34" s="73" customFormat="1">
      <c r="A47" s="72">
        <v>15200000</v>
      </c>
      <c r="B47" s="73" t="s">
        <v>20</v>
      </c>
      <c r="C47" s="165" t="s">
        <v>995</v>
      </c>
      <c r="D47" s="73">
        <v>1</v>
      </c>
      <c r="E47" s="36" t="s">
        <v>364</v>
      </c>
      <c r="F47" s="144"/>
      <c r="G47" s="144"/>
      <c r="H47" s="144"/>
      <c r="I47" s="144"/>
      <c r="J47" s="77">
        <v>43069</v>
      </c>
      <c r="K47" s="52" t="str">
        <f t="shared" si="24"/>
        <v>SI</v>
      </c>
      <c r="L47" s="113">
        <f>M47/D47</f>
        <v>36533858.979999997</v>
      </c>
      <c r="M47" s="73">
        <v>36533858.979999997</v>
      </c>
      <c r="N47" s="145">
        <v>36533858.979999997</v>
      </c>
      <c r="O47" s="113">
        <f>IF(K47="SI",N47,0)</f>
        <v>36533858.979999997</v>
      </c>
      <c r="P47" s="72">
        <v>15921000</v>
      </c>
      <c r="Q47" s="73" t="s">
        <v>27</v>
      </c>
      <c r="R47" s="73">
        <v>1978917</v>
      </c>
      <c r="S47" s="73">
        <v>1978917</v>
      </c>
      <c r="T47" s="113">
        <f>IF(O47&gt;0,S47,0)</f>
        <v>1978917</v>
      </c>
      <c r="U47" s="38">
        <f>IF(O47&gt;0,N47-S47,0)</f>
        <v>34554941.979999997</v>
      </c>
      <c r="V47" s="148">
        <v>20</v>
      </c>
      <c r="W47" s="116">
        <f t="shared" si="29"/>
        <v>49</v>
      </c>
      <c r="X47" s="116">
        <f>(V47*12)-W47</f>
        <v>191</v>
      </c>
      <c r="Y47" s="38">
        <f>N47/(V47*12)</f>
        <v>152224.41241666666</v>
      </c>
      <c r="Z47" s="38">
        <f>IF(U47&gt;0,W47*Y47,0)</f>
        <v>7458996.2084166659</v>
      </c>
      <c r="AA47" s="38">
        <f>ROUND(IF(U47&gt;0,N47,0),0)</f>
        <v>36533859</v>
      </c>
      <c r="AB47" s="38">
        <f>ROUND(IF(U47&gt;0,Z47,0),0)</f>
        <v>7458996</v>
      </c>
      <c r="AC47" s="38">
        <f>AA47-AB47</f>
        <v>29074863</v>
      </c>
      <c r="AG47" s="73">
        <f>AB47-'P, Pl y Eq 2020'!AB44</f>
        <v>1826693</v>
      </c>
    </row>
    <row r="48" spans="1:34" s="73" customFormat="1">
      <c r="A48" s="72">
        <v>15200000</v>
      </c>
      <c r="B48" s="73" t="s">
        <v>20</v>
      </c>
      <c r="C48" s="74" t="s">
        <v>995</v>
      </c>
      <c r="D48" s="73">
        <v>1</v>
      </c>
      <c r="E48" s="36" t="s">
        <v>364</v>
      </c>
      <c r="F48" s="144"/>
      <c r="G48" s="144"/>
      <c r="H48" s="144"/>
      <c r="I48" s="144"/>
      <c r="J48" s="77">
        <v>43069</v>
      </c>
      <c r="K48" s="52" t="str">
        <f t="shared" si="24"/>
        <v>SI</v>
      </c>
      <c r="L48" s="113">
        <f t="shared" ref="L48:L223" si="36">M48/D48</f>
        <v>696539751.29999995</v>
      </c>
      <c r="M48" s="73">
        <v>696539751.29999995</v>
      </c>
      <c r="N48" s="145">
        <v>696539751.29999995</v>
      </c>
      <c r="O48" s="113">
        <f t="shared" ref="O48:O223" si="37">IF(K48="SI",N48,0)</f>
        <v>696539751.29999995</v>
      </c>
      <c r="P48" s="72">
        <v>15921000</v>
      </c>
      <c r="Q48" s="73" t="s">
        <v>27</v>
      </c>
      <c r="R48" s="73">
        <v>37729237</v>
      </c>
      <c r="S48" s="73">
        <v>37729237</v>
      </c>
      <c r="T48" s="113">
        <f t="shared" ref="T48:T223" si="38">IF(O48&gt;0,S48,0)</f>
        <v>37729237</v>
      </c>
      <c r="U48" s="38">
        <f t="shared" ref="U48:U223" si="39">IF(O48&gt;0,N48-S48,0)</f>
        <v>658810514.29999995</v>
      </c>
      <c r="V48" s="148">
        <v>20</v>
      </c>
      <c r="W48" s="116">
        <f t="shared" si="29"/>
        <v>49</v>
      </c>
      <c r="X48" s="116">
        <f t="shared" ref="X48:X111" si="40">(V48*12)-W48</f>
        <v>191</v>
      </c>
      <c r="Y48" s="38">
        <f t="shared" ref="Y48:Y111" si="41">N48/(V48*12)</f>
        <v>2902248.9637499996</v>
      </c>
      <c r="Z48" s="38">
        <f t="shared" ref="Z48:Z111" si="42">IF(U48&gt;0,W48*Y48,0)</f>
        <v>142210199.22375</v>
      </c>
      <c r="AA48" s="38">
        <f t="shared" ref="AA48:AA111" si="43">ROUND(IF(U48&gt;0,N48,0),0)</f>
        <v>696539751</v>
      </c>
      <c r="AB48" s="38">
        <f t="shared" ref="AB48:AB111" si="44">ROUND(IF(U48&gt;0,Z48,0),0)</f>
        <v>142210199</v>
      </c>
      <c r="AC48" s="38">
        <f t="shared" ref="AC48:AC111" si="45">AA48-AB48</f>
        <v>554329552</v>
      </c>
      <c r="AG48" s="73">
        <f>AB48-'P, Pl y Eq 2020'!AB45</f>
        <v>34826987</v>
      </c>
    </row>
    <row r="49" spans="1:33" s="73" customFormat="1">
      <c r="A49" s="72">
        <v>15200000</v>
      </c>
      <c r="B49" s="73" t="s">
        <v>20</v>
      </c>
      <c r="C49" s="74" t="s">
        <v>995</v>
      </c>
      <c r="D49" s="73">
        <v>1</v>
      </c>
      <c r="E49" s="36" t="s">
        <v>364</v>
      </c>
      <c r="F49" s="144"/>
      <c r="G49" s="144"/>
      <c r="H49" s="144"/>
      <c r="I49" s="144"/>
      <c r="J49" s="77">
        <v>43069</v>
      </c>
      <c r="K49" s="52" t="str">
        <f t="shared" si="24"/>
        <v>SI</v>
      </c>
      <c r="L49" s="113">
        <f t="shared" si="36"/>
        <v>46760471.579999998</v>
      </c>
      <c r="M49" s="73">
        <v>46760471.579999998</v>
      </c>
      <c r="N49" s="145">
        <v>46760471.579999998</v>
      </c>
      <c r="O49" s="113">
        <f t="shared" si="37"/>
        <v>46760471.579999998</v>
      </c>
      <c r="P49" s="72">
        <v>15921000</v>
      </c>
      <c r="Q49" s="73" t="s">
        <v>27</v>
      </c>
      <c r="R49" s="73">
        <v>5065718</v>
      </c>
      <c r="S49" s="73">
        <v>5065718</v>
      </c>
      <c r="T49" s="113">
        <f t="shared" si="38"/>
        <v>5065718</v>
      </c>
      <c r="U49" s="38">
        <f t="shared" si="39"/>
        <v>41694753.579999998</v>
      </c>
      <c r="V49" s="148">
        <v>10</v>
      </c>
      <c r="W49" s="116">
        <f t="shared" si="29"/>
        <v>49</v>
      </c>
      <c r="X49" s="116">
        <f t="shared" si="40"/>
        <v>71</v>
      </c>
      <c r="Y49" s="38">
        <f t="shared" si="41"/>
        <v>389670.59649999999</v>
      </c>
      <c r="Z49" s="38">
        <f t="shared" si="42"/>
        <v>19093859.228500001</v>
      </c>
      <c r="AA49" s="38">
        <f t="shared" si="43"/>
        <v>46760472</v>
      </c>
      <c r="AB49" s="38">
        <f t="shared" si="44"/>
        <v>19093859</v>
      </c>
      <c r="AC49" s="38">
        <f t="shared" si="45"/>
        <v>27666613</v>
      </c>
      <c r="AG49" s="73">
        <f>AB49-'P, Pl y Eq 2020'!AB46</f>
        <v>4676047</v>
      </c>
    </row>
    <row r="50" spans="1:33" s="73" customFormat="1">
      <c r="A50" s="72">
        <v>15200000</v>
      </c>
      <c r="B50" s="73" t="s">
        <v>20</v>
      </c>
      <c r="C50" s="74" t="s">
        <v>995</v>
      </c>
      <c r="D50" s="73">
        <v>1</v>
      </c>
      <c r="E50" s="36" t="s">
        <v>364</v>
      </c>
      <c r="F50" s="144"/>
      <c r="G50" s="144"/>
      <c r="H50" s="144"/>
      <c r="I50" s="144"/>
      <c r="J50" s="77">
        <v>43069</v>
      </c>
      <c r="K50" s="52" t="str">
        <f t="shared" si="24"/>
        <v>SI</v>
      </c>
      <c r="L50" s="113">
        <f t="shared" si="36"/>
        <v>14257374.710000001</v>
      </c>
      <c r="M50" s="73">
        <v>14257374.710000001</v>
      </c>
      <c r="N50" s="145">
        <v>14257374.710000001</v>
      </c>
      <c r="O50" s="113">
        <f t="shared" si="37"/>
        <v>14257374.710000001</v>
      </c>
      <c r="P50" s="72">
        <v>15921000</v>
      </c>
      <c r="Q50" s="73" t="s">
        <v>27</v>
      </c>
      <c r="R50" s="73">
        <v>1544549</v>
      </c>
      <c r="S50" s="73">
        <v>1544549</v>
      </c>
      <c r="T50" s="113">
        <f t="shared" si="38"/>
        <v>1544549</v>
      </c>
      <c r="U50" s="38">
        <f t="shared" si="39"/>
        <v>12712825.710000001</v>
      </c>
      <c r="V50" s="148">
        <v>10</v>
      </c>
      <c r="W50" s="116">
        <f t="shared" si="29"/>
        <v>49</v>
      </c>
      <c r="X50" s="116">
        <f t="shared" si="40"/>
        <v>71</v>
      </c>
      <c r="Y50" s="38">
        <f t="shared" si="41"/>
        <v>118811.45591666667</v>
      </c>
      <c r="Z50" s="38">
        <f t="shared" si="42"/>
        <v>5821761.339916667</v>
      </c>
      <c r="AA50" s="38">
        <f t="shared" si="43"/>
        <v>14257375</v>
      </c>
      <c r="AB50" s="38">
        <f t="shared" si="44"/>
        <v>5821761</v>
      </c>
      <c r="AC50" s="38">
        <f t="shared" si="45"/>
        <v>8435614</v>
      </c>
      <c r="AG50" s="73">
        <f>AB50-'P, Pl y Eq 2020'!AB47</f>
        <v>1425737</v>
      </c>
    </row>
    <row r="51" spans="1:33" s="73" customFormat="1">
      <c r="A51" s="72">
        <v>15200000</v>
      </c>
      <c r="B51" s="73" t="s">
        <v>20</v>
      </c>
      <c r="C51" s="74" t="s">
        <v>995</v>
      </c>
      <c r="D51" s="73">
        <v>1</v>
      </c>
      <c r="E51" s="36" t="s">
        <v>364</v>
      </c>
      <c r="F51" s="144"/>
      <c r="G51" s="144"/>
      <c r="H51" s="144"/>
      <c r="I51" s="144"/>
      <c r="J51" s="77">
        <v>43069</v>
      </c>
      <c r="K51" s="52" t="str">
        <f t="shared" si="24"/>
        <v>SI</v>
      </c>
      <c r="L51" s="113">
        <f t="shared" si="36"/>
        <v>14257374.710000001</v>
      </c>
      <c r="M51" s="73">
        <v>14257374.710000001</v>
      </c>
      <c r="N51" s="145">
        <v>14257374.710000001</v>
      </c>
      <c r="O51" s="113">
        <f t="shared" si="37"/>
        <v>14257374.710000001</v>
      </c>
      <c r="P51" s="72">
        <v>15921000</v>
      </c>
      <c r="Q51" s="73" t="s">
        <v>27</v>
      </c>
      <c r="R51" s="73">
        <v>1544549</v>
      </c>
      <c r="S51" s="73">
        <v>1544549</v>
      </c>
      <c r="T51" s="113">
        <f t="shared" si="38"/>
        <v>1544549</v>
      </c>
      <c r="U51" s="38">
        <f t="shared" si="39"/>
        <v>12712825.710000001</v>
      </c>
      <c r="V51" s="148">
        <v>10</v>
      </c>
      <c r="W51" s="116">
        <f t="shared" si="29"/>
        <v>49</v>
      </c>
      <c r="X51" s="116">
        <f t="shared" si="40"/>
        <v>71</v>
      </c>
      <c r="Y51" s="38">
        <f t="shared" si="41"/>
        <v>118811.45591666667</v>
      </c>
      <c r="Z51" s="38">
        <f t="shared" si="42"/>
        <v>5821761.339916667</v>
      </c>
      <c r="AA51" s="38">
        <f t="shared" si="43"/>
        <v>14257375</v>
      </c>
      <c r="AB51" s="38">
        <f t="shared" si="44"/>
        <v>5821761</v>
      </c>
      <c r="AC51" s="38">
        <f t="shared" si="45"/>
        <v>8435614</v>
      </c>
      <c r="AG51" s="73">
        <f>AB51-'P, Pl y Eq 2020'!AB48</f>
        <v>1425737</v>
      </c>
    </row>
    <row r="52" spans="1:33" s="73" customFormat="1">
      <c r="A52" s="72">
        <v>15200000</v>
      </c>
      <c r="B52" s="73" t="s">
        <v>20</v>
      </c>
      <c r="C52" s="74" t="s">
        <v>995</v>
      </c>
      <c r="D52" s="73">
        <v>1</v>
      </c>
      <c r="E52" s="36" t="s">
        <v>364</v>
      </c>
      <c r="F52" s="144"/>
      <c r="G52" s="144"/>
      <c r="H52" s="144"/>
      <c r="I52" s="144"/>
      <c r="J52" s="77">
        <v>43069</v>
      </c>
      <c r="K52" s="52" t="str">
        <f t="shared" si="24"/>
        <v>SI</v>
      </c>
      <c r="L52" s="113">
        <f t="shared" si="36"/>
        <v>14257374.710000001</v>
      </c>
      <c r="M52" s="73">
        <v>14257374.710000001</v>
      </c>
      <c r="N52" s="145">
        <v>14257374.710000001</v>
      </c>
      <c r="O52" s="113">
        <f t="shared" si="37"/>
        <v>14257374.710000001</v>
      </c>
      <c r="P52" s="72">
        <v>15921000</v>
      </c>
      <c r="Q52" s="73" t="s">
        <v>27</v>
      </c>
      <c r="R52" s="73">
        <v>1544549</v>
      </c>
      <c r="S52" s="73">
        <v>1544549</v>
      </c>
      <c r="T52" s="113">
        <f t="shared" si="38"/>
        <v>1544549</v>
      </c>
      <c r="U52" s="38">
        <f t="shared" si="39"/>
        <v>12712825.710000001</v>
      </c>
      <c r="V52" s="148">
        <v>10</v>
      </c>
      <c r="W52" s="116">
        <f t="shared" si="29"/>
        <v>49</v>
      </c>
      <c r="X52" s="116">
        <f t="shared" si="40"/>
        <v>71</v>
      </c>
      <c r="Y52" s="38">
        <f t="shared" si="41"/>
        <v>118811.45591666667</v>
      </c>
      <c r="Z52" s="38">
        <f t="shared" si="42"/>
        <v>5821761.339916667</v>
      </c>
      <c r="AA52" s="38">
        <f t="shared" si="43"/>
        <v>14257375</v>
      </c>
      <c r="AB52" s="38">
        <f t="shared" si="44"/>
        <v>5821761</v>
      </c>
      <c r="AC52" s="38">
        <f t="shared" si="45"/>
        <v>8435614</v>
      </c>
      <c r="AG52" s="73">
        <f>AB52-'P, Pl y Eq 2020'!AB49</f>
        <v>1425737</v>
      </c>
    </row>
    <row r="53" spans="1:33" s="73" customFormat="1">
      <c r="A53" s="72">
        <v>15200000</v>
      </c>
      <c r="B53" s="73" t="s">
        <v>20</v>
      </c>
      <c r="C53" s="74" t="s">
        <v>995</v>
      </c>
      <c r="D53" s="73">
        <v>1</v>
      </c>
      <c r="E53" s="36" t="s">
        <v>364</v>
      </c>
      <c r="F53" s="144"/>
      <c r="G53" s="144"/>
      <c r="H53" s="144"/>
      <c r="I53" s="144"/>
      <c r="J53" s="77">
        <v>43069</v>
      </c>
      <c r="K53" s="52" t="str">
        <f t="shared" si="24"/>
        <v>SI</v>
      </c>
      <c r="L53" s="113">
        <f t="shared" si="36"/>
        <v>14257374.710000001</v>
      </c>
      <c r="M53" s="73">
        <v>14257374.710000001</v>
      </c>
      <c r="N53" s="145">
        <v>14257374.710000001</v>
      </c>
      <c r="O53" s="113">
        <f t="shared" si="37"/>
        <v>14257374.710000001</v>
      </c>
      <c r="P53" s="72">
        <v>15921000</v>
      </c>
      <c r="Q53" s="73" t="s">
        <v>27</v>
      </c>
      <c r="R53" s="73">
        <v>1544549</v>
      </c>
      <c r="S53" s="73">
        <v>1544549</v>
      </c>
      <c r="T53" s="113">
        <f t="shared" si="38"/>
        <v>1544549</v>
      </c>
      <c r="U53" s="38">
        <f t="shared" si="39"/>
        <v>12712825.710000001</v>
      </c>
      <c r="V53" s="148">
        <v>10</v>
      </c>
      <c r="W53" s="116">
        <f t="shared" si="29"/>
        <v>49</v>
      </c>
      <c r="X53" s="116">
        <f t="shared" si="40"/>
        <v>71</v>
      </c>
      <c r="Y53" s="38">
        <f t="shared" si="41"/>
        <v>118811.45591666667</v>
      </c>
      <c r="Z53" s="38">
        <f t="shared" si="42"/>
        <v>5821761.339916667</v>
      </c>
      <c r="AA53" s="38">
        <f t="shared" si="43"/>
        <v>14257375</v>
      </c>
      <c r="AB53" s="38">
        <f t="shared" si="44"/>
        <v>5821761</v>
      </c>
      <c r="AC53" s="38">
        <f t="shared" si="45"/>
        <v>8435614</v>
      </c>
      <c r="AG53" s="73">
        <f>AB53-'P, Pl y Eq 2020'!AB50</f>
        <v>1425737</v>
      </c>
    </row>
    <row r="54" spans="1:33" s="73" customFormat="1">
      <c r="A54" s="72">
        <v>15200000</v>
      </c>
      <c r="B54" s="73" t="s">
        <v>20</v>
      </c>
      <c r="C54" s="74" t="s">
        <v>995</v>
      </c>
      <c r="D54" s="73">
        <v>1</v>
      </c>
      <c r="E54" s="36" t="s">
        <v>364</v>
      </c>
      <c r="F54" s="144"/>
      <c r="G54" s="144"/>
      <c r="H54" s="144"/>
      <c r="I54" s="144"/>
      <c r="J54" s="77">
        <v>43069</v>
      </c>
      <c r="K54" s="52" t="str">
        <f t="shared" si="24"/>
        <v>SI</v>
      </c>
      <c r="L54" s="113">
        <f t="shared" si="36"/>
        <v>720959095.79999995</v>
      </c>
      <c r="M54" s="73">
        <v>720959095.79999995</v>
      </c>
      <c r="N54" s="145">
        <v>720959095.79999995</v>
      </c>
      <c r="O54" s="113">
        <f t="shared" si="37"/>
        <v>720959095.79999995</v>
      </c>
      <c r="P54" s="72">
        <v>15921000</v>
      </c>
      <c r="Q54" s="73" t="s">
        <v>27</v>
      </c>
      <c r="R54" s="73">
        <v>39051951</v>
      </c>
      <c r="S54" s="73">
        <v>39051951</v>
      </c>
      <c r="T54" s="113">
        <f t="shared" si="38"/>
        <v>39051951</v>
      </c>
      <c r="U54" s="38">
        <f t="shared" si="39"/>
        <v>681907144.79999995</v>
      </c>
      <c r="V54" s="148">
        <v>20</v>
      </c>
      <c r="W54" s="116">
        <f t="shared" si="29"/>
        <v>49</v>
      </c>
      <c r="X54" s="116">
        <f t="shared" si="40"/>
        <v>191</v>
      </c>
      <c r="Y54" s="38">
        <f t="shared" si="41"/>
        <v>3003996.2324999999</v>
      </c>
      <c r="Z54" s="38">
        <f t="shared" si="42"/>
        <v>147195815.39249998</v>
      </c>
      <c r="AA54" s="38">
        <f t="shared" si="43"/>
        <v>720959096</v>
      </c>
      <c r="AB54" s="38">
        <f t="shared" si="44"/>
        <v>147195815</v>
      </c>
      <c r="AC54" s="38">
        <f t="shared" si="45"/>
        <v>573763281</v>
      </c>
      <c r="AG54" s="73">
        <f>AB54-'P, Pl y Eq 2020'!AB51</f>
        <v>36047954</v>
      </c>
    </row>
    <row r="55" spans="1:33" s="73" customFormat="1">
      <c r="A55" s="72">
        <v>15200000</v>
      </c>
      <c r="B55" s="73" t="s">
        <v>20</v>
      </c>
      <c r="C55" s="74" t="s">
        <v>995</v>
      </c>
      <c r="D55" s="73">
        <v>1</v>
      </c>
      <c r="E55" s="36" t="s">
        <v>364</v>
      </c>
      <c r="F55" s="144"/>
      <c r="G55" s="144"/>
      <c r="H55" s="144"/>
      <c r="I55" s="144"/>
      <c r="J55" s="77">
        <v>43069</v>
      </c>
      <c r="K55" s="52" t="str">
        <f t="shared" si="24"/>
        <v>SI</v>
      </c>
      <c r="L55" s="113">
        <f t="shared" si="36"/>
        <v>241753435.90000001</v>
      </c>
      <c r="M55" s="73">
        <v>241753435.90000001</v>
      </c>
      <c r="N55" s="145">
        <v>241753435.90000001</v>
      </c>
      <c r="O55" s="113">
        <f t="shared" si="37"/>
        <v>241753435.90000001</v>
      </c>
      <c r="P55" s="72">
        <v>15921000</v>
      </c>
      <c r="Q55" s="73" t="s">
        <v>27</v>
      </c>
      <c r="R55" s="73">
        <v>26189956</v>
      </c>
      <c r="S55" s="73">
        <v>26189956</v>
      </c>
      <c r="T55" s="113">
        <f t="shared" si="38"/>
        <v>26189956</v>
      </c>
      <c r="U55" s="38">
        <f t="shared" si="39"/>
        <v>215563479.90000001</v>
      </c>
      <c r="V55" s="148">
        <v>10</v>
      </c>
      <c r="W55" s="116">
        <f t="shared" si="29"/>
        <v>49</v>
      </c>
      <c r="X55" s="116">
        <f t="shared" si="40"/>
        <v>71</v>
      </c>
      <c r="Y55" s="38">
        <f t="shared" si="41"/>
        <v>2014611.9658333333</v>
      </c>
      <c r="Z55" s="38">
        <f t="shared" si="42"/>
        <v>98715986.325833336</v>
      </c>
      <c r="AA55" s="38">
        <f t="shared" si="43"/>
        <v>241753436</v>
      </c>
      <c r="AB55" s="38">
        <f t="shared" si="44"/>
        <v>98715986</v>
      </c>
      <c r="AC55" s="38">
        <f t="shared" si="45"/>
        <v>143037450</v>
      </c>
      <c r="AG55" s="73">
        <f>AB55-'P, Pl y Eq 2020'!AB52</f>
        <v>24175343</v>
      </c>
    </row>
    <row r="56" spans="1:33" s="73" customFormat="1">
      <c r="A56" s="72">
        <v>15200000</v>
      </c>
      <c r="B56" s="73" t="s">
        <v>20</v>
      </c>
      <c r="C56" s="74" t="s">
        <v>995</v>
      </c>
      <c r="D56" s="73">
        <v>1</v>
      </c>
      <c r="E56" s="36" t="s">
        <v>364</v>
      </c>
      <c r="F56" s="144"/>
      <c r="G56" s="144"/>
      <c r="H56" s="144"/>
      <c r="I56" s="144"/>
      <c r="J56" s="77">
        <v>43069</v>
      </c>
      <c r="K56" s="52" t="str">
        <f t="shared" si="24"/>
        <v>SI</v>
      </c>
      <c r="L56" s="113">
        <f t="shared" si="36"/>
        <v>45094524.399999999</v>
      </c>
      <c r="M56" s="73">
        <v>45094524.399999999</v>
      </c>
      <c r="N56" s="145">
        <v>45094524.399999999</v>
      </c>
      <c r="O56" s="113">
        <f t="shared" si="37"/>
        <v>45094524.399999999</v>
      </c>
      <c r="P56" s="72">
        <v>15921000</v>
      </c>
      <c r="Q56" s="73" t="s">
        <v>27</v>
      </c>
      <c r="R56" s="73">
        <v>2442620</v>
      </c>
      <c r="S56" s="73">
        <v>2442620</v>
      </c>
      <c r="T56" s="113">
        <f t="shared" si="38"/>
        <v>2442620</v>
      </c>
      <c r="U56" s="38">
        <f t="shared" si="39"/>
        <v>42651904.399999999</v>
      </c>
      <c r="V56" s="148">
        <v>20</v>
      </c>
      <c r="W56" s="116">
        <f t="shared" si="29"/>
        <v>49</v>
      </c>
      <c r="X56" s="116">
        <f t="shared" si="40"/>
        <v>191</v>
      </c>
      <c r="Y56" s="38">
        <f t="shared" si="41"/>
        <v>187893.85166666665</v>
      </c>
      <c r="Z56" s="38">
        <f t="shared" si="42"/>
        <v>9206798.7316666655</v>
      </c>
      <c r="AA56" s="38">
        <f t="shared" si="43"/>
        <v>45094524</v>
      </c>
      <c r="AB56" s="38">
        <f t="shared" si="44"/>
        <v>9206799</v>
      </c>
      <c r="AC56" s="38">
        <f t="shared" si="45"/>
        <v>35887725</v>
      </c>
      <c r="AG56" s="73">
        <f>AB56-'P, Pl y Eq 2020'!AB53</f>
        <v>2254726</v>
      </c>
    </row>
    <row r="57" spans="1:33" s="73" customFormat="1">
      <c r="A57" s="72">
        <v>15200000</v>
      </c>
      <c r="B57" s="73" t="s">
        <v>20</v>
      </c>
      <c r="C57" s="74" t="s">
        <v>995</v>
      </c>
      <c r="D57" s="73">
        <v>1</v>
      </c>
      <c r="E57" s="36" t="s">
        <v>364</v>
      </c>
      <c r="F57" s="144"/>
      <c r="G57" s="144"/>
      <c r="H57" s="144"/>
      <c r="I57" s="144"/>
      <c r="J57" s="77">
        <v>43069</v>
      </c>
      <c r="K57" s="52" t="str">
        <f t="shared" si="24"/>
        <v>SI</v>
      </c>
      <c r="L57" s="113">
        <f t="shared" si="36"/>
        <v>49652379.189999998</v>
      </c>
      <c r="M57" s="73">
        <v>49652379.189999998</v>
      </c>
      <c r="N57" s="145">
        <v>49652379.189999998</v>
      </c>
      <c r="O57" s="113">
        <f t="shared" si="37"/>
        <v>49652379.189999998</v>
      </c>
      <c r="P57" s="72">
        <v>15921000</v>
      </c>
      <c r="Q57" s="73" t="s">
        <v>27</v>
      </c>
      <c r="R57" s="73">
        <v>2689504</v>
      </c>
      <c r="S57" s="73">
        <v>2689504</v>
      </c>
      <c r="T57" s="113">
        <f t="shared" si="38"/>
        <v>2689504</v>
      </c>
      <c r="U57" s="38">
        <f t="shared" si="39"/>
        <v>46962875.189999998</v>
      </c>
      <c r="V57" s="148">
        <v>20</v>
      </c>
      <c r="W57" s="116">
        <f t="shared" si="29"/>
        <v>49</v>
      </c>
      <c r="X57" s="116">
        <f t="shared" si="40"/>
        <v>191</v>
      </c>
      <c r="Y57" s="38">
        <f t="shared" si="41"/>
        <v>206884.91329166666</v>
      </c>
      <c r="Z57" s="38">
        <f t="shared" si="42"/>
        <v>10137360.751291666</v>
      </c>
      <c r="AA57" s="38">
        <f t="shared" si="43"/>
        <v>49652379</v>
      </c>
      <c r="AB57" s="38">
        <f t="shared" si="44"/>
        <v>10137361</v>
      </c>
      <c r="AC57" s="38">
        <f t="shared" si="45"/>
        <v>39515018</v>
      </c>
      <c r="AG57" s="73">
        <f>AB57-'P, Pl y Eq 2020'!AB54</f>
        <v>2482619</v>
      </c>
    </row>
    <row r="58" spans="1:33" s="73" customFormat="1">
      <c r="A58" s="72">
        <v>15200000</v>
      </c>
      <c r="B58" s="73" t="s">
        <v>20</v>
      </c>
      <c r="C58" s="74" t="s">
        <v>995</v>
      </c>
      <c r="D58" s="73">
        <v>1</v>
      </c>
      <c r="E58" s="36" t="s">
        <v>364</v>
      </c>
      <c r="F58" s="144"/>
      <c r="G58" s="144"/>
      <c r="H58" s="144"/>
      <c r="I58" s="144"/>
      <c r="J58" s="77">
        <v>43069</v>
      </c>
      <c r="K58" s="52" t="str">
        <f t="shared" si="24"/>
        <v>SI</v>
      </c>
      <c r="L58" s="113">
        <f t="shared" si="36"/>
        <v>75118988.510000005</v>
      </c>
      <c r="M58" s="73">
        <v>75118988.510000005</v>
      </c>
      <c r="N58" s="145">
        <v>75118988.510000005</v>
      </c>
      <c r="O58" s="113">
        <f t="shared" si="37"/>
        <v>75118988.510000005</v>
      </c>
      <c r="P58" s="72">
        <v>15921000</v>
      </c>
      <c r="Q58" s="73" t="s">
        <v>27</v>
      </c>
      <c r="R58" s="73">
        <v>4068945</v>
      </c>
      <c r="S58" s="73">
        <v>4068945</v>
      </c>
      <c r="T58" s="113">
        <f t="shared" si="38"/>
        <v>4068945</v>
      </c>
      <c r="U58" s="38">
        <f t="shared" si="39"/>
        <v>71050043.510000005</v>
      </c>
      <c r="V58" s="148">
        <v>20</v>
      </c>
      <c r="W58" s="116">
        <f t="shared" si="29"/>
        <v>49</v>
      </c>
      <c r="X58" s="116">
        <f t="shared" si="40"/>
        <v>191</v>
      </c>
      <c r="Y58" s="38">
        <f t="shared" si="41"/>
        <v>312995.78545833338</v>
      </c>
      <c r="Z58" s="38">
        <f t="shared" si="42"/>
        <v>15336793.487458335</v>
      </c>
      <c r="AA58" s="38">
        <f t="shared" si="43"/>
        <v>75118989</v>
      </c>
      <c r="AB58" s="38">
        <f t="shared" si="44"/>
        <v>15336793</v>
      </c>
      <c r="AC58" s="38">
        <f t="shared" si="45"/>
        <v>59782196</v>
      </c>
      <c r="AG58" s="73">
        <f>AB58-'P, Pl y Eq 2020'!AB55</f>
        <v>3755949</v>
      </c>
    </row>
    <row r="59" spans="1:33" s="73" customFormat="1">
      <c r="A59" s="72">
        <v>15200000</v>
      </c>
      <c r="B59" s="73" t="s">
        <v>20</v>
      </c>
      <c r="C59" s="74" t="s">
        <v>995</v>
      </c>
      <c r="D59" s="73">
        <v>1</v>
      </c>
      <c r="E59" s="36" t="s">
        <v>364</v>
      </c>
      <c r="F59" s="144"/>
      <c r="G59" s="144"/>
      <c r="H59" s="144"/>
      <c r="I59" s="144"/>
      <c r="J59" s="77">
        <v>43069</v>
      </c>
      <c r="K59" s="52" t="str">
        <f t="shared" si="24"/>
        <v>SI</v>
      </c>
      <c r="L59" s="113">
        <f t="shared" si="36"/>
        <v>100910272.90000001</v>
      </c>
      <c r="M59" s="73">
        <v>100910272.90000001</v>
      </c>
      <c r="N59" s="145">
        <v>100910272.90000001</v>
      </c>
      <c r="O59" s="113">
        <f t="shared" si="37"/>
        <v>100910272.90000001</v>
      </c>
      <c r="P59" s="72">
        <v>15921000</v>
      </c>
      <c r="Q59" s="73" t="s">
        <v>27</v>
      </c>
      <c r="R59" s="73">
        <v>5465973</v>
      </c>
      <c r="S59" s="73">
        <v>5465973</v>
      </c>
      <c r="T59" s="113">
        <f t="shared" si="38"/>
        <v>5465973</v>
      </c>
      <c r="U59" s="38">
        <f t="shared" si="39"/>
        <v>95444299.900000006</v>
      </c>
      <c r="V59" s="148">
        <v>20</v>
      </c>
      <c r="W59" s="116">
        <f t="shared" si="29"/>
        <v>49</v>
      </c>
      <c r="X59" s="116">
        <f t="shared" si="40"/>
        <v>191</v>
      </c>
      <c r="Y59" s="38">
        <f t="shared" si="41"/>
        <v>420459.47041666671</v>
      </c>
      <c r="Z59" s="38">
        <f t="shared" si="42"/>
        <v>20602514.050416667</v>
      </c>
      <c r="AA59" s="38">
        <f t="shared" si="43"/>
        <v>100910273</v>
      </c>
      <c r="AB59" s="38">
        <f t="shared" si="44"/>
        <v>20602514</v>
      </c>
      <c r="AC59" s="38">
        <f t="shared" si="45"/>
        <v>80307759</v>
      </c>
      <c r="AG59" s="73">
        <f>AB59-'P, Pl y Eq 2020'!AB56</f>
        <v>5045514</v>
      </c>
    </row>
    <row r="60" spans="1:33" s="73" customFormat="1">
      <c r="A60" s="72">
        <v>15200000</v>
      </c>
      <c r="B60" s="73" t="s">
        <v>20</v>
      </c>
      <c r="C60" s="74" t="s">
        <v>995</v>
      </c>
      <c r="D60" s="73">
        <v>1</v>
      </c>
      <c r="E60" s="36" t="s">
        <v>364</v>
      </c>
      <c r="F60" s="144"/>
      <c r="G60" s="144"/>
      <c r="H60" s="144"/>
      <c r="I60" s="144"/>
      <c r="J60" s="77">
        <v>43069</v>
      </c>
      <c r="K60" s="52" t="str">
        <f t="shared" si="24"/>
        <v>SI</v>
      </c>
      <c r="L60" s="113">
        <f t="shared" si="36"/>
        <v>60543270.899999999</v>
      </c>
      <c r="M60" s="73">
        <v>60543270.899999999</v>
      </c>
      <c r="N60" s="145">
        <v>60543270.899999999</v>
      </c>
      <c r="O60" s="113">
        <f t="shared" si="37"/>
        <v>60543270.899999999</v>
      </c>
      <c r="P60" s="72">
        <v>15921000</v>
      </c>
      <c r="Q60" s="73" t="s">
        <v>27</v>
      </c>
      <c r="R60" s="73">
        <v>3279427</v>
      </c>
      <c r="S60" s="73">
        <v>3279427</v>
      </c>
      <c r="T60" s="113">
        <f t="shared" si="38"/>
        <v>3279427</v>
      </c>
      <c r="U60" s="38">
        <f t="shared" si="39"/>
        <v>57263843.899999999</v>
      </c>
      <c r="V60" s="148">
        <v>20</v>
      </c>
      <c r="W60" s="116">
        <f t="shared" si="29"/>
        <v>49</v>
      </c>
      <c r="X60" s="116">
        <f t="shared" si="40"/>
        <v>191</v>
      </c>
      <c r="Y60" s="38">
        <f t="shared" si="41"/>
        <v>252263.62875</v>
      </c>
      <c r="Z60" s="38">
        <f t="shared" si="42"/>
        <v>12360917.80875</v>
      </c>
      <c r="AA60" s="38">
        <f t="shared" si="43"/>
        <v>60543271</v>
      </c>
      <c r="AB60" s="38">
        <f t="shared" si="44"/>
        <v>12360918</v>
      </c>
      <c r="AC60" s="38">
        <f t="shared" si="45"/>
        <v>48182353</v>
      </c>
      <c r="AG60" s="73">
        <f>AB60-'P, Pl y Eq 2020'!AB57</f>
        <v>3027164</v>
      </c>
    </row>
    <row r="61" spans="1:33" s="73" customFormat="1">
      <c r="A61" s="72">
        <v>15200000</v>
      </c>
      <c r="B61" s="73" t="s">
        <v>20</v>
      </c>
      <c r="C61" s="74" t="s">
        <v>995</v>
      </c>
      <c r="D61" s="73">
        <v>1</v>
      </c>
      <c r="E61" s="36" t="s">
        <v>364</v>
      </c>
      <c r="F61" s="144"/>
      <c r="G61" s="144"/>
      <c r="H61" s="144"/>
      <c r="I61" s="144"/>
      <c r="J61" s="77">
        <v>43069</v>
      </c>
      <c r="K61" s="52" t="str">
        <f t="shared" si="24"/>
        <v>SI</v>
      </c>
      <c r="L61" s="113">
        <f t="shared" si="36"/>
        <v>58861450.490000002</v>
      </c>
      <c r="M61" s="73">
        <v>58861450.490000002</v>
      </c>
      <c r="N61" s="145">
        <v>58861450.490000002</v>
      </c>
      <c r="O61" s="113">
        <f t="shared" si="37"/>
        <v>58861450.490000002</v>
      </c>
      <c r="P61" s="72">
        <v>15921000</v>
      </c>
      <c r="Q61" s="73" t="s">
        <v>27</v>
      </c>
      <c r="R61" s="73">
        <v>3188329</v>
      </c>
      <c r="S61" s="73">
        <v>3188329</v>
      </c>
      <c r="T61" s="113">
        <f t="shared" si="38"/>
        <v>3188329</v>
      </c>
      <c r="U61" s="38">
        <f t="shared" si="39"/>
        <v>55673121.490000002</v>
      </c>
      <c r="V61" s="148">
        <v>20</v>
      </c>
      <c r="W61" s="116">
        <f t="shared" si="29"/>
        <v>49</v>
      </c>
      <c r="X61" s="116">
        <f t="shared" si="40"/>
        <v>191</v>
      </c>
      <c r="Y61" s="38">
        <f t="shared" si="41"/>
        <v>245256.04370833334</v>
      </c>
      <c r="Z61" s="38">
        <f t="shared" si="42"/>
        <v>12017546.141708333</v>
      </c>
      <c r="AA61" s="38">
        <f t="shared" si="43"/>
        <v>58861450</v>
      </c>
      <c r="AB61" s="38">
        <f t="shared" si="44"/>
        <v>12017546</v>
      </c>
      <c r="AC61" s="38">
        <f t="shared" si="45"/>
        <v>46843904</v>
      </c>
      <c r="AG61" s="73">
        <f>AB61-'P, Pl y Eq 2020'!AB58</f>
        <v>2943072</v>
      </c>
    </row>
    <row r="62" spans="1:33" s="73" customFormat="1">
      <c r="A62" s="72">
        <v>15200000</v>
      </c>
      <c r="B62" s="73" t="s">
        <v>20</v>
      </c>
      <c r="C62" s="74" t="s">
        <v>995</v>
      </c>
      <c r="D62" s="73">
        <v>1</v>
      </c>
      <c r="E62" s="36" t="s">
        <v>364</v>
      </c>
      <c r="F62" s="144"/>
      <c r="G62" s="144"/>
      <c r="H62" s="144"/>
      <c r="I62" s="144"/>
      <c r="J62" s="77">
        <v>43069</v>
      </c>
      <c r="K62" s="52" t="str">
        <f t="shared" si="24"/>
        <v>SI</v>
      </c>
      <c r="L62" s="113">
        <f t="shared" si="36"/>
        <v>2969600</v>
      </c>
      <c r="M62" s="73">
        <v>2969600</v>
      </c>
      <c r="N62" s="145">
        <v>2969600</v>
      </c>
      <c r="O62" s="113">
        <f t="shared" si="37"/>
        <v>2969600</v>
      </c>
      <c r="P62" s="72">
        <v>15921000</v>
      </c>
      <c r="Q62" s="73" t="s">
        <v>27</v>
      </c>
      <c r="R62" s="73">
        <v>321707</v>
      </c>
      <c r="S62" s="73">
        <v>321707</v>
      </c>
      <c r="T62" s="113">
        <f t="shared" si="38"/>
        <v>321707</v>
      </c>
      <c r="U62" s="38">
        <f t="shared" si="39"/>
        <v>2647893</v>
      </c>
      <c r="V62" s="148">
        <v>10</v>
      </c>
      <c r="W62" s="116">
        <f t="shared" si="29"/>
        <v>49</v>
      </c>
      <c r="X62" s="116">
        <f t="shared" si="40"/>
        <v>71</v>
      </c>
      <c r="Y62" s="38">
        <f t="shared" si="41"/>
        <v>24746.666666666668</v>
      </c>
      <c r="Z62" s="38">
        <f t="shared" si="42"/>
        <v>1212586.6666666667</v>
      </c>
      <c r="AA62" s="38">
        <f t="shared" si="43"/>
        <v>2969600</v>
      </c>
      <c r="AB62" s="38">
        <f t="shared" si="44"/>
        <v>1212587</v>
      </c>
      <c r="AC62" s="38">
        <f t="shared" si="45"/>
        <v>1757013</v>
      </c>
      <c r="AG62" s="73">
        <f>AB62-'P, Pl y Eq 2020'!AB59</f>
        <v>296960</v>
      </c>
    </row>
    <row r="63" spans="1:33" s="73" customFormat="1">
      <c r="A63" s="72">
        <v>15200000</v>
      </c>
      <c r="B63" s="73" t="s">
        <v>20</v>
      </c>
      <c r="C63" s="74" t="s">
        <v>995</v>
      </c>
      <c r="D63" s="73">
        <v>1</v>
      </c>
      <c r="E63" s="36" t="s">
        <v>364</v>
      </c>
      <c r="F63" s="144"/>
      <c r="G63" s="144"/>
      <c r="H63" s="144"/>
      <c r="I63" s="144"/>
      <c r="J63" s="77">
        <v>43069</v>
      </c>
      <c r="K63" s="52" t="str">
        <f t="shared" si="24"/>
        <v>SI</v>
      </c>
      <c r="L63" s="113">
        <f t="shared" si="36"/>
        <v>7658900</v>
      </c>
      <c r="M63" s="73">
        <v>7658900</v>
      </c>
      <c r="N63" s="145">
        <v>7658900</v>
      </c>
      <c r="O63" s="113">
        <f t="shared" si="37"/>
        <v>7658900</v>
      </c>
      <c r="P63" s="72">
        <v>15921000</v>
      </c>
      <c r="Q63" s="73" t="s">
        <v>27</v>
      </c>
      <c r="R63" s="73">
        <v>829714</v>
      </c>
      <c r="S63" s="73">
        <v>829714</v>
      </c>
      <c r="T63" s="113">
        <f t="shared" si="38"/>
        <v>829714</v>
      </c>
      <c r="U63" s="38">
        <f t="shared" si="39"/>
        <v>6829186</v>
      </c>
      <c r="V63" s="148">
        <v>10</v>
      </c>
      <c r="W63" s="116">
        <f t="shared" si="29"/>
        <v>49</v>
      </c>
      <c r="X63" s="116">
        <f t="shared" si="40"/>
        <v>71</v>
      </c>
      <c r="Y63" s="38">
        <f t="shared" si="41"/>
        <v>63824.166666666664</v>
      </c>
      <c r="Z63" s="38">
        <f t="shared" si="42"/>
        <v>3127384.1666666665</v>
      </c>
      <c r="AA63" s="38">
        <f t="shared" si="43"/>
        <v>7658900</v>
      </c>
      <c r="AB63" s="38">
        <f t="shared" si="44"/>
        <v>3127384</v>
      </c>
      <c r="AC63" s="38">
        <f t="shared" si="45"/>
        <v>4531516</v>
      </c>
      <c r="AG63" s="73">
        <f>AB63-'P, Pl y Eq 2020'!AB60</f>
        <v>765890</v>
      </c>
    </row>
    <row r="64" spans="1:33" s="73" customFormat="1">
      <c r="A64" s="72">
        <v>15200000</v>
      </c>
      <c r="B64" s="73" t="s">
        <v>20</v>
      </c>
      <c r="C64" s="74" t="s">
        <v>995</v>
      </c>
      <c r="D64" s="73">
        <v>1</v>
      </c>
      <c r="E64" s="36" t="s">
        <v>364</v>
      </c>
      <c r="F64" s="144"/>
      <c r="G64" s="144"/>
      <c r="H64" s="144"/>
      <c r="I64" s="144"/>
      <c r="J64" s="77">
        <v>43069</v>
      </c>
      <c r="K64" s="52" t="str">
        <f t="shared" si="24"/>
        <v>SI</v>
      </c>
      <c r="L64" s="113">
        <f t="shared" si="36"/>
        <v>6650888</v>
      </c>
      <c r="M64" s="73">
        <v>6650888</v>
      </c>
      <c r="N64" s="145">
        <v>6650888</v>
      </c>
      <c r="O64" s="113">
        <f t="shared" si="37"/>
        <v>6650888</v>
      </c>
      <c r="P64" s="72">
        <v>15921000</v>
      </c>
      <c r="Q64" s="73" t="s">
        <v>27</v>
      </c>
      <c r="R64" s="73">
        <v>720513</v>
      </c>
      <c r="S64" s="73">
        <v>720513</v>
      </c>
      <c r="T64" s="113">
        <f t="shared" si="38"/>
        <v>720513</v>
      </c>
      <c r="U64" s="38">
        <f t="shared" si="39"/>
        <v>5930375</v>
      </c>
      <c r="V64" s="148">
        <v>10</v>
      </c>
      <c r="W64" s="116">
        <f t="shared" si="29"/>
        <v>49</v>
      </c>
      <c r="X64" s="116">
        <f t="shared" si="40"/>
        <v>71</v>
      </c>
      <c r="Y64" s="38">
        <f t="shared" si="41"/>
        <v>55424.066666666666</v>
      </c>
      <c r="Z64" s="38">
        <f t="shared" si="42"/>
        <v>2715779.2666666666</v>
      </c>
      <c r="AA64" s="38">
        <f t="shared" si="43"/>
        <v>6650888</v>
      </c>
      <c r="AB64" s="38">
        <f t="shared" si="44"/>
        <v>2715779</v>
      </c>
      <c r="AC64" s="38">
        <f t="shared" si="45"/>
        <v>3935109</v>
      </c>
      <c r="AG64" s="73">
        <f>AB64-'P, Pl y Eq 2020'!AB61</f>
        <v>665089</v>
      </c>
    </row>
    <row r="65" spans="1:33" s="73" customFormat="1">
      <c r="A65" s="72">
        <v>15200000</v>
      </c>
      <c r="B65" s="73" t="s">
        <v>20</v>
      </c>
      <c r="C65" s="74" t="s">
        <v>995</v>
      </c>
      <c r="D65" s="73">
        <v>1</v>
      </c>
      <c r="E65" s="36" t="s">
        <v>364</v>
      </c>
      <c r="F65" s="144"/>
      <c r="G65" s="144"/>
      <c r="H65" s="144"/>
      <c r="I65" s="144"/>
      <c r="J65" s="77">
        <v>43069</v>
      </c>
      <c r="K65" s="52" t="str">
        <f t="shared" si="24"/>
        <v>SI</v>
      </c>
      <c r="L65" s="113">
        <f t="shared" si="36"/>
        <v>4429600</v>
      </c>
      <c r="M65" s="73">
        <v>4429600</v>
      </c>
      <c r="N65" s="145">
        <v>4429600</v>
      </c>
      <c r="O65" s="113">
        <f t="shared" si="37"/>
        <v>4429600</v>
      </c>
      <c r="P65" s="72">
        <v>15921000</v>
      </c>
      <c r="Q65" s="73" t="s">
        <v>27</v>
      </c>
      <c r="R65" s="73">
        <v>479873</v>
      </c>
      <c r="S65" s="73">
        <v>479873</v>
      </c>
      <c r="T65" s="113">
        <f t="shared" si="38"/>
        <v>479873</v>
      </c>
      <c r="U65" s="38">
        <f t="shared" si="39"/>
        <v>3949727</v>
      </c>
      <c r="V65" s="148">
        <v>10</v>
      </c>
      <c r="W65" s="116">
        <f t="shared" si="29"/>
        <v>49</v>
      </c>
      <c r="X65" s="116">
        <f t="shared" si="40"/>
        <v>71</v>
      </c>
      <c r="Y65" s="38">
        <f t="shared" si="41"/>
        <v>36913.333333333336</v>
      </c>
      <c r="Z65" s="38">
        <f t="shared" si="42"/>
        <v>1808753.3333333335</v>
      </c>
      <c r="AA65" s="38">
        <f t="shared" si="43"/>
        <v>4429600</v>
      </c>
      <c r="AB65" s="38">
        <f t="shared" si="44"/>
        <v>1808753</v>
      </c>
      <c r="AC65" s="38">
        <f t="shared" si="45"/>
        <v>2620847</v>
      </c>
      <c r="AG65" s="73">
        <f>AB65-'P, Pl y Eq 2020'!AB62</f>
        <v>442960</v>
      </c>
    </row>
    <row r="66" spans="1:33" s="73" customFormat="1">
      <c r="A66" s="72">
        <v>15200000</v>
      </c>
      <c r="B66" s="73" t="s">
        <v>20</v>
      </c>
      <c r="C66" s="74" t="s">
        <v>995</v>
      </c>
      <c r="D66" s="73">
        <v>1</v>
      </c>
      <c r="E66" s="36" t="s">
        <v>364</v>
      </c>
      <c r="F66" s="144"/>
      <c r="G66" s="144"/>
      <c r="H66" s="144"/>
      <c r="I66" s="144"/>
      <c r="J66" s="77">
        <v>43069</v>
      </c>
      <c r="K66" s="52" t="str">
        <f t="shared" si="24"/>
        <v>SI</v>
      </c>
      <c r="L66" s="113">
        <f t="shared" si="36"/>
        <v>42693654.210000001</v>
      </c>
      <c r="M66" s="73">
        <v>42693654.210000001</v>
      </c>
      <c r="N66" s="145">
        <v>42693654.210000001</v>
      </c>
      <c r="O66" s="113">
        <f t="shared" si="37"/>
        <v>42693654.210000001</v>
      </c>
      <c r="P66" s="72">
        <v>15921000</v>
      </c>
      <c r="Q66" s="73" t="s">
        <v>27</v>
      </c>
      <c r="R66" s="73">
        <v>4625146</v>
      </c>
      <c r="S66" s="73">
        <v>4625146</v>
      </c>
      <c r="T66" s="113">
        <f t="shared" si="38"/>
        <v>4625146</v>
      </c>
      <c r="U66" s="38">
        <f t="shared" si="39"/>
        <v>38068508.210000001</v>
      </c>
      <c r="V66" s="148">
        <v>10</v>
      </c>
      <c r="W66" s="116">
        <f t="shared" si="29"/>
        <v>49</v>
      </c>
      <c r="X66" s="116">
        <f t="shared" si="40"/>
        <v>71</v>
      </c>
      <c r="Y66" s="38">
        <f t="shared" si="41"/>
        <v>355780.45175000001</v>
      </c>
      <c r="Z66" s="38">
        <f t="shared" si="42"/>
        <v>17433242.135749999</v>
      </c>
      <c r="AA66" s="38">
        <f t="shared" si="43"/>
        <v>42693654</v>
      </c>
      <c r="AB66" s="38">
        <f t="shared" si="44"/>
        <v>17433242</v>
      </c>
      <c r="AC66" s="38">
        <f t="shared" si="45"/>
        <v>25260412</v>
      </c>
      <c r="AG66" s="73">
        <f>AB66-'P, Pl y Eq 2020'!AB63</f>
        <v>4269365</v>
      </c>
    </row>
    <row r="67" spans="1:33" s="73" customFormat="1">
      <c r="A67" s="72">
        <v>15200000</v>
      </c>
      <c r="B67" s="73" t="s">
        <v>20</v>
      </c>
      <c r="C67" s="74" t="s">
        <v>995</v>
      </c>
      <c r="D67" s="73">
        <v>1</v>
      </c>
      <c r="E67" s="36" t="s">
        <v>364</v>
      </c>
      <c r="F67" s="144"/>
      <c r="G67" s="144"/>
      <c r="H67" s="144"/>
      <c r="I67" s="144"/>
      <c r="J67" s="77">
        <v>43069</v>
      </c>
      <c r="K67" s="52" t="str">
        <f t="shared" si="24"/>
        <v>SI</v>
      </c>
      <c r="L67" s="113">
        <f t="shared" si="36"/>
        <v>4297800</v>
      </c>
      <c r="M67" s="73">
        <v>4297800</v>
      </c>
      <c r="N67" s="145">
        <v>4297800</v>
      </c>
      <c r="O67" s="113">
        <f t="shared" si="37"/>
        <v>4297800</v>
      </c>
      <c r="P67" s="72">
        <v>15921000</v>
      </c>
      <c r="Q67" s="73" t="s">
        <v>27</v>
      </c>
      <c r="R67" s="73">
        <v>465595</v>
      </c>
      <c r="S67" s="73">
        <v>465595</v>
      </c>
      <c r="T67" s="113">
        <f t="shared" si="38"/>
        <v>465595</v>
      </c>
      <c r="U67" s="38">
        <f t="shared" si="39"/>
        <v>3832205</v>
      </c>
      <c r="V67" s="148">
        <v>10</v>
      </c>
      <c r="W67" s="116">
        <f t="shared" si="29"/>
        <v>49</v>
      </c>
      <c r="X67" s="116">
        <f t="shared" si="40"/>
        <v>71</v>
      </c>
      <c r="Y67" s="38">
        <f t="shared" si="41"/>
        <v>35815</v>
      </c>
      <c r="Z67" s="38">
        <f t="shared" si="42"/>
        <v>1754935</v>
      </c>
      <c r="AA67" s="38">
        <f t="shared" si="43"/>
        <v>4297800</v>
      </c>
      <c r="AB67" s="38">
        <f t="shared" si="44"/>
        <v>1754935</v>
      </c>
      <c r="AC67" s="38">
        <f t="shared" si="45"/>
        <v>2542865</v>
      </c>
      <c r="AG67" s="73">
        <f>AB67-'P, Pl y Eq 2020'!AB64</f>
        <v>429780</v>
      </c>
    </row>
    <row r="68" spans="1:33" s="73" customFormat="1">
      <c r="A68" s="72">
        <v>15200000</v>
      </c>
      <c r="B68" s="73" t="s">
        <v>20</v>
      </c>
      <c r="C68" s="74" t="s">
        <v>995</v>
      </c>
      <c r="D68" s="73">
        <v>1</v>
      </c>
      <c r="E68" s="36" t="s">
        <v>364</v>
      </c>
      <c r="F68" s="144"/>
      <c r="G68" s="144"/>
      <c r="H68" s="144"/>
      <c r="I68" s="144"/>
      <c r="J68" s="77">
        <v>43069</v>
      </c>
      <c r="K68" s="52" t="str">
        <f t="shared" si="24"/>
        <v>SI</v>
      </c>
      <c r="L68" s="113">
        <f t="shared" si="36"/>
        <v>3500000</v>
      </c>
      <c r="M68" s="73">
        <v>3500000</v>
      </c>
      <c r="N68" s="145">
        <v>3500000</v>
      </c>
      <c r="O68" s="113">
        <f t="shared" si="37"/>
        <v>3500000</v>
      </c>
      <c r="P68" s="72">
        <v>15921000</v>
      </c>
      <c r="Q68" s="73" t="s">
        <v>27</v>
      </c>
      <c r="R68" s="73">
        <v>379167</v>
      </c>
      <c r="S68" s="73">
        <v>379167</v>
      </c>
      <c r="T68" s="113">
        <f t="shared" si="38"/>
        <v>379167</v>
      </c>
      <c r="U68" s="38">
        <f t="shared" si="39"/>
        <v>3120833</v>
      </c>
      <c r="V68" s="148">
        <v>10</v>
      </c>
      <c r="W68" s="116">
        <f t="shared" si="29"/>
        <v>49</v>
      </c>
      <c r="X68" s="116">
        <f t="shared" si="40"/>
        <v>71</v>
      </c>
      <c r="Y68" s="38">
        <f t="shared" si="41"/>
        <v>29166.666666666668</v>
      </c>
      <c r="Z68" s="38">
        <f t="shared" si="42"/>
        <v>1429166.6666666667</v>
      </c>
      <c r="AA68" s="38">
        <f t="shared" si="43"/>
        <v>3500000</v>
      </c>
      <c r="AB68" s="38">
        <f t="shared" si="44"/>
        <v>1429167</v>
      </c>
      <c r="AC68" s="38">
        <f t="shared" si="45"/>
        <v>2070833</v>
      </c>
      <c r="AG68" s="73">
        <f>AB68-'P, Pl y Eq 2020'!AB65</f>
        <v>350000</v>
      </c>
    </row>
    <row r="69" spans="1:33" s="73" customFormat="1">
      <c r="A69" s="72">
        <v>15200000</v>
      </c>
      <c r="B69" s="73" t="s">
        <v>20</v>
      </c>
      <c r="C69" s="74" t="s">
        <v>995</v>
      </c>
      <c r="D69" s="73">
        <v>1</v>
      </c>
      <c r="E69" s="36" t="s">
        <v>364</v>
      </c>
      <c r="F69" s="144"/>
      <c r="G69" s="144"/>
      <c r="H69" s="144"/>
      <c r="I69" s="144"/>
      <c r="J69" s="77">
        <v>43069</v>
      </c>
      <c r="K69" s="52" t="str">
        <f t="shared" si="24"/>
        <v>SI</v>
      </c>
      <c r="L69" s="113">
        <f t="shared" si="36"/>
        <v>343834875.5</v>
      </c>
      <c r="M69" s="73">
        <v>343834875.5</v>
      </c>
      <c r="N69" s="145">
        <v>343834875.5</v>
      </c>
      <c r="O69" s="113">
        <f t="shared" si="37"/>
        <v>343834875.5</v>
      </c>
      <c r="P69" s="72">
        <v>15921000</v>
      </c>
      <c r="Q69" s="73" t="s">
        <v>27</v>
      </c>
      <c r="R69" s="73">
        <v>18624389</v>
      </c>
      <c r="S69" s="73">
        <v>18624389</v>
      </c>
      <c r="T69" s="113">
        <f t="shared" si="38"/>
        <v>18624389</v>
      </c>
      <c r="U69" s="38">
        <f t="shared" si="39"/>
        <v>325210486.5</v>
      </c>
      <c r="V69" s="148">
        <v>20</v>
      </c>
      <c r="W69" s="116">
        <f t="shared" si="29"/>
        <v>49</v>
      </c>
      <c r="X69" s="116">
        <f t="shared" si="40"/>
        <v>191</v>
      </c>
      <c r="Y69" s="38">
        <f t="shared" si="41"/>
        <v>1432645.3145833334</v>
      </c>
      <c r="Z69" s="38">
        <f t="shared" si="42"/>
        <v>70199620.41458334</v>
      </c>
      <c r="AA69" s="38">
        <f t="shared" si="43"/>
        <v>343834876</v>
      </c>
      <c r="AB69" s="38">
        <f t="shared" si="44"/>
        <v>70199620</v>
      </c>
      <c r="AC69" s="38">
        <f t="shared" si="45"/>
        <v>273635256</v>
      </c>
      <c r="AG69" s="73">
        <f>AB69-'P, Pl y Eq 2020'!AB66</f>
        <v>17191743</v>
      </c>
    </row>
    <row r="70" spans="1:33" s="73" customFormat="1">
      <c r="A70" s="72">
        <v>15200000</v>
      </c>
      <c r="B70" s="73" t="s">
        <v>20</v>
      </c>
      <c r="C70" s="74" t="s">
        <v>995</v>
      </c>
      <c r="D70" s="73">
        <v>1</v>
      </c>
      <c r="E70" s="36" t="s">
        <v>364</v>
      </c>
      <c r="F70" s="144"/>
      <c r="G70" s="144"/>
      <c r="H70" s="144"/>
      <c r="I70" s="144"/>
      <c r="J70" s="77">
        <v>43069</v>
      </c>
      <c r="K70" s="52" t="str">
        <f t="shared" si="24"/>
        <v>SI</v>
      </c>
      <c r="L70" s="113">
        <f t="shared" si="36"/>
        <v>396941736.30000001</v>
      </c>
      <c r="M70" s="73">
        <v>396941736.30000001</v>
      </c>
      <c r="N70" s="145">
        <v>396941736.30000001</v>
      </c>
      <c r="O70" s="113">
        <f t="shared" si="37"/>
        <v>396941736.30000001</v>
      </c>
      <c r="P70" s="72">
        <v>15921000</v>
      </c>
      <c r="Q70" s="73" t="s">
        <v>27</v>
      </c>
      <c r="R70" s="73">
        <v>21501011</v>
      </c>
      <c r="S70" s="73">
        <v>21501011</v>
      </c>
      <c r="T70" s="113">
        <f t="shared" si="38"/>
        <v>21501011</v>
      </c>
      <c r="U70" s="38">
        <f t="shared" si="39"/>
        <v>375440725.30000001</v>
      </c>
      <c r="V70" s="148">
        <v>20</v>
      </c>
      <c r="W70" s="116">
        <f t="shared" si="29"/>
        <v>49</v>
      </c>
      <c r="X70" s="116">
        <f t="shared" si="40"/>
        <v>191</v>
      </c>
      <c r="Y70" s="38">
        <f t="shared" si="41"/>
        <v>1653923.9012500001</v>
      </c>
      <c r="Z70" s="38">
        <f t="shared" si="42"/>
        <v>81042271.16125001</v>
      </c>
      <c r="AA70" s="38">
        <f t="shared" si="43"/>
        <v>396941736</v>
      </c>
      <c r="AB70" s="38">
        <f t="shared" si="44"/>
        <v>81042271</v>
      </c>
      <c r="AC70" s="38">
        <f t="shared" si="45"/>
        <v>315899465</v>
      </c>
      <c r="AG70" s="73">
        <f>AB70-'P, Pl y Eq 2020'!AB67</f>
        <v>19847087</v>
      </c>
    </row>
    <row r="71" spans="1:33" s="73" customFormat="1">
      <c r="A71" s="72">
        <v>15200000</v>
      </c>
      <c r="B71" s="73" t="s">
        <v>20</v>
      </c>
      <c r="C71" s="74" t="s">
        <v>995</v>
      </c>
      <c r="D71" s="73">
        <v>1</v>
      </c>
      <c r="E71" s="36" t="s">
        <v>364</v>
      </c>
      <c r="F71" s="144"/>
      <c r="G71" s="144"/>
      <c r="H71" s="144"/>
      <c r="I71" s="144"/>
      <c r="J71" s="77">
        <v>43069</v>
      </c>
      <c r="K71" s="52" t="str">
        <f t="shared" si="24"/>
        <v>SI</v>
      </c>
      <c r="L71" s="113">
        <f t="shared" si="36"/>
        <v>210145461.90000001</v>
      </c>
      <c r="M71" s="73">
        <v>210145461.90000001</v>
      </c>
      <c r="N71" s="145">
        <v>210145461.90000001</v>
      </c>
      <c r="O71" s="113">
        <f t="shared" si="37"/>
        <v>210145461.90000001</v>
      </c>
      <c r="P71" s="72">
        <v>15921000</v>
      </c>
      <c r="Q71" s="73" t="s">
        <v>27</v>
      </c>
      <c r="R71" s="73">
        <v>11382879</v>
      </c>
      <c r="S71" s="73">
        <v>11382879</v>
      </c>
      <c r="T71" s="113">
        <f t="shared" si="38"/>
        <v>11382879</v>
      </c>
      <c r="U71" s="38">
        <f t="shared" si="39"/>
        <v>198762582.90000001</v>
      </c>
      <c r="V71" s="148">
        <v>20</v>
      </c>
      <c r="W71" s="116">
        <f t="shared" si="29"/>
        <v>49</v>
      </c>
      <c r="X71" s="116">
        <f t="shared" si="40"/>
        <v>191</v>
      </c>
      <c r="Y71" s="38">
        <f t="shared" si="41"/>
        <v>875606.09125000006</v>
      </c>
      <c r="Z71" s="38">
        <f t="shared" si="42"/>
        <v>42904698.471250005</v>
      </c>
      <c r="AA71" s="38">
        <f t="shared" si="43"/>
        <v>210145462</v>
      </c>
      <c r="AB71" s="38">
        <f t="shared" si="44"/>
        <v>42904698</v>
      </c>
      <c r="AC71" s="38">
        <f t="shared" si="45"/>
        <v>167240764</v>
      </c>
      <c r="AG71" s="73">
        <f>AB71-'P, Pl y Eq 2020'!AB68</f>
        <v>10507273</v>
      </c>
    </row>
    <row r="72" spans="1:33" s="73" customFormat="1">
      <c r="A72" s="72">
        <v>15200000</v>
      </c>
      <c r="B72" s="73" t="s">
        <v>20</v>
      </c>
      <c r="C72" s="74" t="s">
        <v>995</v>
      </c>
      <c r="D72" s="73">
        <v>1</v>
      </c>
      <c r="E72" s="36" t="s">
        <v>364</v>
      </c>
      <c r="F72" s="144"/>
      <c r="G72" s="144"/>
      <c r="H72" s="144"/>
      <c r="I72" s="144"/>
      <c r="J72" s="77">
        <v>43069</v>
      </c>
      <c r="K72" s="52" t="str">
        <f t="shared" si="24"/>
        <v>SI</v>
      </c>
      <c r="L72" s="113">
        <f t="shared" si="36"/>
        <v>264264341.90000001</v>
      </c>
      <c r="M72" s="73">
        <v>264264341.90000001</v>
      </c>
      <c r="N72" s="145">
        <v>264264341.90000001</v>
      </c>
      <c r="O72" s="113">
        <f t="shared" si="37"/>
        <v>264264341.90000001</v>
      </c>
      <c r="P72" s="72">
        <v>15921000</v>
      </c>
      <c r="Q72" s="73" t="s">
        <v>27</v>
      </c>
      <c r="R72" s="73">
        <v>14314319</v>
      </c>
      <c r="S72" s="73">
        <v>14314319</v>
      </c>
      <c r="T72" s="113">
        <f t="shared" si="38"/>
        <v>14314319</v>
      </c>
      <c r="U72" s="38">
        <f t="shared" si="39"/>
        <v>249950022.90000001</v>
      </c>
      <c r="V72" s="148">
        <v>20</v>
      </c>
      <c r="W72" s="116">
        <f t="shared" si="29"/>
        <v>49</v>
      </c>
      <c r="X72" s="116">
        <f t="shared" si="40"/>
        <v>191</v>
      </c>
      <c r="Y72" s="38">
        <f t="shared" si="41"/>
        <v>1101101.4245833333</v>
      </c>
      <c r="Z72" s="38">
        <f t="shared" si="42"/>
        <v>53953969.804583333</v>
      </c>
      <c r="AA72" s="38">
        <f t="shared" si="43"/>
        <v>264264342</v>
      </c>
      <c r="AB72" s="38">
        <f t="shared" si="44"/>
        <v>53953970</v>
      </c>
      <c r="AC72" s="38">
        <f t="shared" si="45"/>
        <v>210310372</v>
      </c>
      <c r="AG72" s="73">
        <f>AB72-'P, Pl y Eq 2020'!AB69</f>
        <v>13213217</v>
      </c>
    </row>
    <row r="73" spans="1:33" s="73" customFormat="1">
      <c r="A73" s="72">
        <v>15200000</v>
      </c>
      <c r="B73" s="73" t="s">
        <v>20</v>
      </c>
      <c r="C73" s="74" t="s">
        <v>995</v>
      </c>
      <c r="D73" s="73">
        <v>1</v>
      </c>
      <c r="E73" s="36" t="s">
        <v>364</v>
      </c>
      <c r="F73" s="144"/>
      <c r="G73" s="144"/>
      <c r="H73" s="144"/>
      <c r="I73" s="144"/>
      <c r="J73" s="77">
        <v>43069</v>
      </c>
      <c r="K73" s="52" t="str">
        <f t="shared" si="24"/>
        <v>SI</v>
      </c>
      <c r="L73" s="113">
        <f t="shared" si="36"/>
        <v>161964603.09999999</v>
      </c>
      <c r="M73" s="73">
        <v>161964603.09999999</v>
      </c>
      <c r="N73" s="145">
        <v>161964603.09999999</v>
      </c>
      <c r="O73" s="113">
        <f t="shared" si="37"/>
        <v>161964603.09999999</v>
      </c>
      <c r="P73" s="72">
        <v>15921000</v>
      </c>
      <c r="Q73" s="73" t="s">
        <v>27</v>
      </c>
      <c r="R73" s="73">
        <v>8773083</v>
      </c>
      <c r="S73" s="73">
        <v>8773083</v>
      </c>
      <c r="T73" s="113">
        <f t="shared" si="38"/>
        <v>8773083</v>
      </c>
      <c r="U73" s="38">
        <f t="shared" si="39"/>
        <v>153191520.09999999</v>
      </c>
      <c r="V73" s="148">
        <v>20</v>
      </c>
      <c r="W73" s="116">
        <f t="shared" si="29"/>
        <v>49</v>
      </c>
      <c r="X73" s="116">
        <f t="shared" si="40"/>
        <v>191</v>
      </c>
      <c r="Y73" s="38">
        <f t="shared" si="41"/>
        <v>674852.51291666669</v>
      </c>
      <c r="Z73" s="38">
        <f t="shared" si="42"/>
        <v>33067773.132916667</v>
      </c>
      <c r="AA73" s="38">
        <f t="shared" si="43"/>
        <v>161964603</v>
      </c>
      <c r="AB73" s="38">
        <f t="shared" si="44"/>
        <v>33067773</v>
      </c>
      <c r="AC73" s="38">
        <f t="shared" si="45"/>
        <v>128896830</v>
      </c>
      <c r="AG73" s="73">
        <f>AB73-'P, Pl y Eq 2020'!AB70</f>
        <v>8098230</v>
      </c>
    </row>
    <row r="74" spans="1:33" s="73" customFormat="1">
      <c r="A74" s="72">
        <v>15200000</v>
      </c>
      <c r="B74" s="73" t="s">
        <v>20</v>
      </c>
      <c r="C74" s="74" t="s">
        <v>995</v>
      </c>
      <c r="D74" s="73">
        <v>1</v>
      </c>
      <c r="E74" s="36" t="s">
        <v>364</v>
      </c>
      <c r="F74" s="144"/>
      <c r="G74" s="144"/>
      <c r="H74" s="144"/>
      <c r="I74" s="144"/>
      <c r="J74" s="77">
        <v>43069</v>
      </c>
      <c r="K74" s="52" t="str">
        <f t="shared" si="24"/>
        <v>SI</v>
      </c>
      <c r="L74" s="113">
        <f t="shared" si="36"/>
        <v>119116047.8</v>
      </c>
      <c r="M74" s="73">
        <v>119116047.8</v>
      </c>
      <c r="N74" s="145">
        <v>119116047.8</v>
      </c>
      <c r="O74" s="113">
        <f t="shared" si="37"/>
        <v>119116047.8</v>
      </c>
      <c r="P74" s="72">
        <v>15921000</v>
      </c>
      <c r="Q74" s="73" t="s">
        <v>27</v>
      </c>
      <c r="R74" s="73">
        <v>6452119</v>
      </c>
      <c r="S74" s="73">
        <v>6452119</v>
      </c>
      <c r="T74" s="113">
        <f t="shared" si="38"/>
        <v>6452119</v>
      </c>
      <c r="U74" s="38">
        <f t="shared" si="39"/>
        <v>112663928.8</v>
      </c>
      <c r="V74" s="148">
        <v>20</v>
      </c>
      <c r="W74" s="116">
        <f t="shared" si="29"/>
        <v>49</v>
      </c>
      <c r="X74" s="116">
        <f t="shared" si="40"/>
        <v>191</v>
      </c>
      <c r="Y74" s="38">
        <f t="shared" si="41"/>
        <v>496316.86583333334</v>
      </c>
      <c r="Z74" s="38">
        <f t="shared" si="42"/>
        <v>24319526.425833333</v>
      </c>
      <c r="AA74" s="38">
        <f t="shared" si="43"/>
        <v>119116048</v>
      </c>
      <c r="AB74" s="38">
        <f t="shared" si="44"/>
        <v>24319526</v>
      </c>
      <c r="AC74" s="38">
        <f t="shared" si="45"/>
        <v>94796522</v>
      </c>
      <c r="AG74" s="73">
        <f>AB74-'P, Pl y Eq 2020'!AB71</f>
        <v>5955802</v>
      </c>
    </row>
    <row r="75" spans="1:33" s="73" customFormat="1">
      <c r="A75" s="72">
        <v>15200000</v>
      </c>
      <c r="B75" s="73" t="s">
        <v>20</v>
      </c>
      <c r="C75" s="74" t="s">
        <v>995</v>
      </c>
      <c r="D75" s="73">
        <v>1</v>
      </c>
      <c r="E75" s="36" t="s">
        <v>364</v>
      </c>
      <c r="F75" s="144"/>
      <c r="G75" s="144"/>
      <c r="H75" s="144"/>
      <c r="I75" s="144"/>
      <c r="J75" s="77">
        <v>43069</v>
      </c>
      <c r="K75" s="52" t="str">
        <f t="shared" si="24"/>
        <v>SI</v>
      </c>
      <c r="L75" s="113">
        <f t="shared" si="36"/>
        <v>102746478.8</v>
      </c>
      <c r="M75" s="73">
        <v>102746478.8</v>
      </c>
      <c r="N75" s="145">
        <v>102746478.8</v>
      </c>
      <c r="O75" s="113">
        <f t="shared" si="37"/>
        <v>102746478.8</v>
      </c>
      <c r="P75" s="72">
        <v>15921000</v>
      </c>
      <c r="Q75" s="73" t="s">
        <v>27</v>
      </c>
      <c r="R75" s="73">
        <v>5565434</v>
      </c>
      <c r="S75" s="73">
        <v>5565434</v>
      </c>
      <c r="T75" s="113">
        <f t="shared" si="38"/>
        <v>5565434</v>
      </c>
      <c r="U75" s="38">
        <f t="shared" si="39"/>
        <v>97181044.799999997</v>
      </c>
      <c r="V75" s="148">
        <v>20</v>
      </c>
      <c r="W75" s="116">
        <f t="shared" si="29"/>
        <v>49</v>
      </c>
      <c r="X75" s="116">
        <f t="shared" si="40"/>
        <v>191</v>
      </c>
      <c r="Y75" s="38">
        <f t="shared" si="41"/>
        <v>428110.32833333331</v>
      </c>
      <c r="Z75" s="38">
        <f t="shared" si="42"/>
        <v>20977406.088333331</v>
      </c>
      <c r="AA75" s="38">
        <f t="shared" si="43"/>
        <v>102746479</v>
      </c>
      <c r="AB75" s="38">
        <f t="shared" si="44"/>
        <v>20977406</v>
      </c>
      <c r="AC75" s="38">
        <f t="shared" si="45"/>
        <v>81769073</v>
      </c>
      <c r="AG75" s="73">
        <f>AB75-'P, Pl y Eq 2020'!AB72</f>
        <v>5137324</v>
      </c>
    </row>
    <row r="76" spans="1:33" s="73" customFormat="1">
      <c r="A76" s="72">
        <v>15200000</v>
      </c>
      <c r="B76" s="73" t="s">
        <v>20</v>
      </c>
      <c r="C76" s="74" t="s">
        <v>995</v>
      </c>
      <c r="D76" s="73">
        <v>1</v>
      </c>
      <c r="E76" s="36" t="s">
        <v>364</v>
      </c>
      <c r="F76" s="144"/>
      <c r="G76" s="144"/>
      <c r="H76" s="144"/>
      <c r="I76" s="144"/>
      <c r="J76" s="77">
        <v>43069</v>
      </c>
      <c r="K76" s="52" t="str">
        <f t="shared" ref="K76:K93" si="46">IF(L76&gt;($M$23*50),"SI","NO")</f>
        <v>SI</v>
      </c>
      <c r="L76" s="113">
        <f t="shared" si="36"/>
        <v>101022899.59999999</v>
      </c>
      <c r="M76" s="73">
        <v>101022899.59999999</v>
      </c>
      <c r="N76" s="145">
        <v>101022899.59999999</v>
      </c>
      <c r="O76" s="113">
        <f t="shared" si="37"/>
        <v>101022899.59999999</v>
      </c>
      <c r="P76" s="72">
        <v>15921000</v>
      </c>
      <c r="Q76" s="73" t="s">
        <v>27</v>
      </c>
      <c r="R76" s="73">
        <v>5472074</v>
      </c>
      <c r="S76" s="73">
        <v>5472074</v>
      </c>
      <c r="T76" s="113">
        <f t="shared" si="38"/>
        <v>5472074</v>
      </c>
      <c r="U76" s="38">
        <f t="shared" si="39"/>
        <v>95550825.599999994</v>
      </c>
      <c r="V76" s="148">
        <v>20</v>
      </c>
      <c r="W76" s="116">
        <f t="shared" si="29"/>
        <v>49</v>
      </c>
      <c r="X76" s="116">
        <f t="shared" si="40"/>
        <v>191</v>
      </c>
      <c r="Y76" s="38">
        <f t="shared" si="41"/>
        <v>420928.74833333329</v>
      </c>
      <c r="Z76" s="38">
        <f t="shared" si="42"/>
        <v>20625508.668333333</v>
      </c>
      <c r="AA76" s="38">
        <f t="shared" si="43"/>
        <v>101022900</v>
      </c>
      <c r="AB76" s="38">
        <f t="shared" si="44"/>
        <v>20625509</v>
      </c>
      <c r="AC76" s="38">
        <f t="shared" si="45"/>
        <v>80397391</v>
      </c>
      <c r="AG76" s="73">
        <f>AB76-'P, Pl y Eq 2020'!AB73</f>
        <v>5051145</v>
      </c>
    </row>
    <row r="77" spans="1:33" s="73" customFormat="1">
      <c r="A77" s="72">
        <v>15200000</v>
      </c>
      <c r="B77" s="73" t="s">
        <v>20</v>
      </c>
      <c r="C77" s="74" t="s">
        <v>995</v>
      </c>
      <c r="D77" s="73">
        <v>1</v>
      </c>
      <c r="E77" s="36" t="s">
        <v>364</v>
      </c>
      <c r="F77" s="144"/>
      <c r="G77" s="144"/>
      <c r="H77" s="144"/>
      <c r="I77" s="144"/>
      <c r="J77" s="77">
        <v>43069</v>
      </c>
      <c r="K77" s="52" t="str">
        <f t="shared" si="46"/>
        <v>SI</v>
      </c>
      <c r="L77" s="113">
        <f t="shared" si="36"/>
        <v>91352288.209999993</v>
      </c>
      <c r="M77" s="73">
        <v>91352288.209999993</v>
      </c>
      <c r="N77" s="145">
        <v>91352288.209999993</v>
      </c>
      <c r="O77" s="113">
        <f t="shared" si="37"/>
        <v>91352288.209999993</v>
      </c>
      <c r="P77" s="72">
        <v>15921000</v>
      </c>
      <c r="Q77" s="73" t="s">
        <v>27</v>
      </c>
      <c r="R77" s="73">
        <v>4948249</v>
      </c>
      <c r="S77" s="73">
        <v>4948249</v>
      </c>
      <c r="T77" s="113">
        <f t="shared" si="38"/>
        <v>4948249</v>
      </c>
      <c r="U77" s="38">
        <f t="shared" si="39"/>
        <v>86404039.209999993</v>
      </c>
      <c r="V77" s="148">
        <v>20</v>
      </c>
      <c r="W77" s="116">
        <f t="shared" si="29"/>
        <v>49</v>
      </c>
      <c r="X77" s="116">
        <f t="shared" si="40"/>
        <v>191</v>
      </c>
      <c r="Y77" s="38">
        <f t="shared" si="41"/>
        <v>380634.53420833329</v>
      </c>
      <c r="Z77" s="38">
        <f t="shared" si="42"/>
        <v>18651092.176208332</v>
      </c>
      <c r="AA77" s="38">
        <f t="shared" si="43"/>
        <v>91352288</v>
      </c>
      <c r="AB77" s="38">
        <f t="shared" si="44"/>
        <v>18651092</v>
      </c>
      <c r="AC77" s="38">
        <f t="shared" si="45"/>
        <v>72701196</v>
      </c>
      <c r="AG77" s="73">
        <f>AB77-'P, Pl y Eq 2020'!AB74</f>
        <v>4567614</v>
      </c>
    </row>
    <row r="78" spans="1:33" s="73" customFormat="1">
      <c r="A78" s="72">
        <v>15200000</v>
      </c>
      <c r="B78" s="73" t="s">
        <v>20</v>
      </c>
      <c r="C78" s="74" t="s">
        <v>995</v>
      </c>
      <c r="D78" s="73">
        <v>1</v>
      </c>
      <c r="E78" s="36" t="s">
        <v>364</v>
      </c>
      <c r="F78" s="144"/>
      <c r="G78" s="144"/>
      <c r="H78" s="144"/>
      <c r="I78" s="144"/>
      <c r="J78" s="77">
        <v>43069</v>
      </c>
      <c r="K78" s="52" t="str">
        <f t="shared" si="46"/>
        <v>SI</v>
      </c>
      <c r="L78" s="113">
        <f t="shared" si="36"/>
        <v>106620665.40000001</v>
      </c>
      <c r="M78" s="73">
        <v>106620665.40000001</v>
      </c>
      <c r="N78" s="145">
        <v>106620665.40000001</v>
      </c>
      <c r="O78" s="113">
        <f t="shared" si="37"/>
        <v>106620665.40000001</v>
      </c>
      <c r="P78" s="72">
        <v>15921000</v>
      </c>
      <c r="Q78" s="73" t="s">
        <v>27</v>
      </c>
      <c r="R78" s="73">
        <v>5775286</v>
      </c>
      <c r="S78" s="73">
        <v>5775286</v>
      </c>
      <c r="T78" s="113">
        <f t="shared" si="38"/>
        <v>5775286</v>
      </c>
      <c r="U78" s="38">
        <f t="shared" si="39"/>
        <v>100845379.40000001</v>
      </c>
      <c r="V78" s="148">
        <v>20</v>
      </c>
      <c r="W78" s="116">
        <f t="shared" si="29"/>
        <v>49</v>
      </c>
      <c r="X78" s="116">
        <f t="shared" si="40"/>
        <v>191</v>
      </c>
      <c r="Y78" s="38">
        <f t="shared" si="41"/>
        <v>444252.77250000002</v>
      </c>
      <c r="Z78" s="38">
        <f t="shared" si="42"/>
        <v>21768385.852500003</v>
      </c>
      <c r="AA78" s="38">
        <f t="shared" si="43"/>
        <v>106620665</v>
      </c>
      <c r="AB78" s="38">
        <f t="shared" si="44"/>
        <v>21768386</v>
      </c>
      <c r="AC78" s="38">
        <f t="shared" si="45"/>
        <v>84852279</v>
      </c>
      <c r="AG78" s="73">
        <f>AB78-'P, Pl y Eq 2020'!AB75</f>
        <v>5331033</v>
      </c>
    </row>
    <row r="79" spans="1:33" s="73" customFormat="1">
      <c r="A79" s="72">
        <v>15200000</v>
      </c>
      <c r="B79" s="73" t="s">
        <v>20</v>
      </c>
      <c r="C79" s="74" t="s">
        <v>995</v>
      </c>
      <c r="D79" s="73">
        <v>1</v>
      </c>
      <c r="E79" s="36" t="s">
        <v>364</v>
      </c>
      <c r="F79" s="144"/>
      <c r="G79" s="144"/>
      <c r="H79" s="144"/>
      <c r="I79" s="144"/>
      <c r="J79" s="77">
        <v>43069</v>
      </c>
      <c r="K79" s="52" t="str">
        <f t="shared" si="46"/>
        <v>SI</v>
      </c>
      <c r="L79" s="113">
        <f t="shared" si="36"/>
        <v>167707795.09999999</v>
      </c>
      <c r="M79" s="73">
        <v>167707795.09999999</v>
      </c>
      <c r="N79" s="145">
        <v>167707795.09999999</v>
      </c>
      <c r="O79" s="113">
        <f t="shared" si="37"/>
        <v>167707795.09999999</v>
      </c>
      <c r="P79" s="72">
        <v>15921000</v>
      </c>
      <c r="Q79" s="73" t="s">
        <v>27</v>
      </c>
      <c r="R79" s="73">
        <v>9084172</v>
      </c>
      <c r="S79" s="73">
        <v>9084172</v>
      </c>
      <c r="T79" s="113">
        <f t="shared" si="38"/>
        <v>9084172</v>
      </c>
      <c r="U79" s="38">
        <f t="shared" si="39"/>
        <v>158623623.09999999</v>
      </c>
      <c r="V79" s="148">
        <v>20</v>
      </c>
      <c r="W79" s="116">
        <f t="shared" si="29"/>
        <v>49</v>
      </c>
      <c r="X79" s="116">
        <f t="shared" si="40"/>
        <v>191</v>
      </c>
      <c r="Y79" s="38">
        <f t="shared" si="41"/>
        <v>698782.47958333336</v>
      </c>
      <c r="Z79" s="38">
        <f t="shared" si="42"/>
        <v>34240341.499583334</v>
      </c>
      <c r="AA79" s="38">
        <f t="shared" si="43"/>
        <v>167707795</v>
      </c>
      <c r="AB79" s="38">
        <f t="shared" si="44"/>
        <v>34240341</v>
      </c>
      <c r="AC79" s="38">
        <f t="shared" si="45"/>
        <v>133467454</v>
      </c>
      <c r="AG79" s="73">
        <f>AB79-'P, Pl y Eq 2020'!AB76</f>
        <v>8385389</v>
      </c>
    </row>
    <row r="80" spans="1:33" s="73" customFormat="1">
      <c r="A80" s="72">
        <v>15200000</v>
      </c>
      <c r="B80" s="73" t="s">
        <v>20</v>
      </c>
      <c r="C80" s="74" t="s">
        <v>995</v>
      </c>
      <c r="D80" s="73">
        <v>1</v>
      </c>
      <c r="E80" s="36" t="s">
        <v>364</v>
      </c>
      <c r="F80" s="144"/>
      <c r="G80" s="144"/>
      <c r="H80" s="144"/>
      <c r="I80" s="144"/>
      <c r="J80" s="77">
        <v>43069</v>
      </c>
      <c r="K80" s="52" t="str">
        <f t="shared" si="46"/>
        <v>SI</v>
      </c>
      <c r="L80" s="113">
        <f t="shared" si="36"/>
        <v>299986828.5</v>
      </c>
      <c r="M80" s="73">
        <v>299986828.5</v>
      </c>
      <c r="N80" s="145">
        <v>299986828.5</v>
      </c>
      <c r="O80" s="113">
        <f t="shared" si="37"/>
        <v>299986828.5</v>
      </c>
      <c r="P80" s="72">
        <v>15921000</v>
      </c>
      <c r="Q80" s="73" t="s">
        <v>27</v>
      </c>
      <c r="R80" s="73">
        <v>16249287</v>
      </c>
      <c r="S80" s="73">
        <v>16249287</v>
      </c>
      <c r="T80" s="113">
        <f t="shared" si="38"/>
        <v>16249287</v>
      </c>
      <c r="U80" s="38">
        <f t="shared" si="39"/>
        <v>283737541.5</v>
      </c>
      <c r="V80" s="148">
        <v>20</v>
      </c>
      <c r="W80" s="116">
        <f t="shared" si="29"/>
        <v>49</v>
      </c>
      <c r="X80" s="116">
        <f t="shared" si="40"/>
        <v>191</v>
      </c>
      <c r="Y80" s="38">
        <f t="shared" si="41"/>
        <v>1249945.1187499999</v>
      </c>
      <c r="Z80" s="38">
        <f t="shared" si="42"/>
        <v>61247310.818749994</v>
      </c>
      <c r="AA80" s="38">
        <f t="shared" si="43"/>
        <v>299986829</v>
      </c>
      <c r="AB80" s="38">
        <f t="shared" si="44"/>
        <v>61247311</v>
      </c>
      <c r="AC80" s="38">
        <f t="shared" si="45"/>
        <v>238739518</v>
      </c>
      <c r="AG80" s="73">
        <f>AB80-'P, Pl y Eq 2020'!AB77</f>
        <v>14999342</v>
      </c>
    </row>
    <row r="81" spans="1:33" s="73" customFormat="1">
      <c r="A81" s="72">
        <v>15200000</v>
      </c>
      <c r="B81" s="73" t="s">
        <v>20</v>
      </c>
      <c r="C81" s="74" t="s">
        <v>995</v>
      </c>
      <c r="D81" s="73">
        <v>1</v>
      </c>
      <c r="E81" s="36" t="s">
        <v>364</v>
      </c>
      <c r="F81" s="144"/>
      <c r="G81" s="144"/>
      <c r="H81" s="144"/>
      <c r="I81" s="144"/>
      <c r="J81" s="77">
        <v>43069</v>
      </c>
      <c r="K81" s="52" t="str">
        <f t="shared" si="46"/>
        <v>SI</v>
      </c>
      <c r="L81" s="113">
        <f t="shared" si="36"/>
        <v>138536989.80000001</v>
      </c>
      <c r="M81" s="73">
        <v>138536989.80000001</v>
      </c>
      <c r="N81" s="145">
        <v>138536989.80000001</v>
      </c>
      <c r="O81" s="113">
        <f t="shared" si="37"/>
        <v>138536989.80000001</v>
      </c>
      <c r="P81" s="72">
        <v>15921000</v>
      </c>
      <c r="Q81" s="73" t="s">
        <v>27</v>
      </c>
      <c r="R81" s="73">
        <v>7504087</v>
      </c>
      <c r="S81" s="73">
        <v>7504087</v>
      </c>
      <c r="T81" s="113">
        <f t="shared" si="38"/>
        <v>7504087</v>
      </c>
      <c r="U81" s="38">
        <f t="shared" si="39"/>
        <v>131032902.80000001</v>
      </c>
      <c r="V81" s="148">
        <v>20</v>
      </c>
      <c r="W81" s="116">
        <f t="shared" si="29"/>
        <v>49</v>
      </c>
      <c r="X81" s="116">
        <f t="shared" si="40"/>
        <v>191</v>
      </c>
      <c r="Y81" s="38">
        <f t="shared" si="41"/>
        <v>577237.45750000002</v>
      </c>
      <c r="Z81" s="38">
        <f t="shared" si="42"/>
        <v>28284635.4175</v>
      </c>
      <c r="AA81" s="38">
        <f t="shared" si="43"/>
        <v>138536990</v>
      </c>
      <c r="AB81" s="38">
        <f t="shared" si="44"/>
        <v>28284635</v>
      </c>
      <c r="AC81" s="38">
        <f t="shared" si="45"/>
        <v>110252355</v>
      </c>
      <c r="AG81" s="73">
        <f>AB81-'P, Pl y Eq 2020'!AB78</f>
        <v>6926849</v>
      </c>
    </row>
    <row r="82" spans="1:33" s="73" customFormat="1">
      <c r="A82" s="72">
        <v>15200000</v>
      </c>
      <c r="B82" s="73" t="s">
        <v>20</v>
      </c>
      <c r="C82" s="74" t="s">
        <v>995</v>
      </c>
      <c r="D82" s="73">
        <v>1</v>
      </c>
      <c r="E82" s="36" t="s">
        <v>364</v>
      </c>
      <c r="F82" s="144"/>
      <c r="G82" s="144"/>
      <c r="H82" s="144"/>
      <c r="I82" s="144"/>
      <c r="J82" s="77">
        <v>43069</v>
      </c>
      <c r="K82" s="52" t="str">
        <f t="shared" si="46"/>
        <v>SI</v>
      </c>
      <c r="L82" s="113">
        <f t="shared" si="36"/>
        <v>2247406</v>
      </c>
      <c r="M82" s="73">
        <v>2247406</v>
      </c>
      <c r="N82" s="145">
        <v>2247406</v>
      </c>
      <c r="O82" s="113">
        <f t="shared" si="37"/>
        <v>2247406</v>
      </c>
      <c r="P82" s="72">
        <v>15921000</v>
      </c>
      <c r="Q82" s="73" t="s">
        <v>27</v>
      </c>
      <c r="R82" s="73">
        <v>121734</v>
      </c>
      <c r="S82" s="73">
        <v>121734</v>
      </c>
      <c r="T82" s="113">
        <f t="shared" si="38"/>
        <v>121734</v>
      </c>
      <c r="U82" s="38">
        <f t="shared" si="39"/>
        <v>2125672</v>
      </c>
      <c r="V82" s="148">
        <v>20</v>
      </c>
      <c r="W82" s="116">
        <f t="shared" si="29"/>
        <v>49</v>
      </c>
      <c r="X82" s="116">
        <f t="shared" si="40"/>
        <v>191</v>
      </c>
      <c r="Y82" s="38">
        <f t="shared" si="41"/>
        <v>9364.1916666666675</v>
      </c>
      <c r="Z82" s="38">
        <f t="shared" si="42"/>
        <v>458845.39166666672</v>
      </c>
      <c r="AA82" s="38">
        <f t="shared" si="43"/>
        <v>2247406</v>
      </c>
      <c r="AB82" s="38">
        <f t="shared" si="44"/>
        <v>458845</v>
      </c>
      <c r="AC82" s="38">
        <f t="shared" si="45"/>
        <v>1788561</v>
      </c>
      <c r="AG82" s="73">
        <f>AB82-'P, Pl y Eq 2020'!AB79</f>
        <v>112370</v>
      </c>
    </row>
    <row r="83" spans="1:33" s="73" customFormat="1">
      <c r="A83" s="72">
        <v>15200000</v>
      </c>
      <c r="B83" s="73" t="s">
        <v>20</v>
      </c>
      <c r="C83" s="74" t="s">
        <v>995</v>
      </c>
      <c r="D83" s="73">
        <v>1</v>
      </c>
      <c r="E83" s="36" t="s">
        <v>364</v>
      </c>
      <c r="F83" s="144"/>
      <c r="G83" s="144"/>
      <c r="H83" s="144"/>
      <c r="I83" s="144"/>
      <c r="J83" s="77">
        <v>43069</v>
      </c>
      <c r="K83" s="52" t="str">
        <f t="shared" si="46"/>
        <v>SI</v>
      </c>
      <c r="L83" s="113">
        <f t="shared" si="36"/>
        <v>138536989.80000001</v>
      </c>
      <c r="M83" s="73">
        <v>138536989.80000001</v>
      </c>
      <c r="N83" s="145">
        <v>138536989.80000001</v>
      </c>
      <c r="O83" s="113">
        <f t="shared" si="37"/>
        <v>138536989.80000001</v>
      </c>
      <c r="P83" s="72">
        <v>15921000</v>
      </c>
      <c r="Q83" s="73" t="s">
        <v>27</v>
      </c>
      <c r="R83" s="73">
        <v>7504087</v>
      </c>
      <c r="S83" s="73">
        <v>7504087</v>
      </c>
      <c r="T83" s="113">
        <f t="shared" si="38"/>
        <v>7504087</v>
      </c>
      <c r="U83" s="38">
        <f t="shared" si="39"/>
        <v>131032902.80000001</v>
      </c>
      <c r="V83" s="148">
        <v>20</v>
      </c>
      <c r="W83" s="116">
        <f t="shared" si="29"/>
        <v>49</v>
      </c>
      <c r="X83" s="116">
        <f t="shared" si="40"/>
        <v>191</v>
      </c>
      <c r="Y83" s="38">
        <f t="shared" si="41"/>
        <v>577237.45750000002</v>
      </c>
      <c r="Z83" s="38">
        <f t="shared" si="42"/>
        <v>28284635.4175</v>
      </c>
      <c r="AA83" s="38">
        <f t="shared" si="43"/>
        <v>138536990</v>
      </c>
      <c r="AB83" s="38">
        <f t="shared" si="44"/>
        <v>28284635</v>
      </c>
      <c r="AC83" s="38">
        <f t="shared" si="45"/>
        <v>110252355</v>
      </c>
      <c r="AG83" s="73">
        <f>AB83-'P, Pl y Eq 2020'!AB80</f>
        <v>6926849</v>
      </c>
    </row>
    <row r="84" spans="1:33" s="73" customFormat="1">
      <c r="A84" s="72">
        <v>15200000</v>
      </c>
      <c r="B84" s="73" t="s">
        <v>20</v>
      </c>
      <c r="C84" s="74" t="s">
        <v>995</v>
      </c>
      <c r="D84" s="73">
        <v>1</v>
      </c>
      <c r="E84" s="36" t="s">
        <v>364</v>
      </c>
      <c r="F84" s="144"/>
      <c r="G84" s="144"/>
      <c r="H84" s="144"/>
      <c r="I84" s="144"/>
      <c r="J84" s="77">
        <v>43069</v>
      </c>
      <c r="K84" s="52" t="str">
        <f t="shared" si="46"/>
        <v>SI</v>
      </c>
      <c r="L84" s="113">
        <f t="shared" si="36"/>
        <v>138536989.80000001</v>
      </c>
      <c r="M84" s="73">
        <v>138536989.80000001</v>
      </c>
      <c r="N84" s="145">
        <v>138536989.80000001</v>
      </c>
      <c r="O84" s="113">
        <f t="shared" si="37"/>
        <v>138536989.80000001</v>
      </c>
      <c r="P84" s="72">
        <v>15921000</v>
      </c>
      <c r="Q84" s="73" t="s">
        <v>27</v>
      </c>
      <c r="R84" s="73">
        <v>7504087</v>
      </c>
      <c r="S84" s="73">
        <v>7504087</v>
      </c>
      <c r="T84" s="113">
        <f t="shared" si="38"/>
        <v>7504087</v>
      </c>
      <c r="U84" s="38">
        <f t="shared" si="39"/>
        <v>131032902.80000001</v>
      </c>
      <c r="V84" s="148">
        <v>20</v>
      </c>
      <c r="W84" s="116">
        <f t="shared" si="29"/>
        <v>49</v>
      </c>
      <c r="X84" s="116">
        <f t="shared" si="40"/>
        <v>191</v>
      </c>
      <c r="Y84" s="38">
        <f t="shared" si="41"/>
        <v>577237.45750000002</v>
      </c>
      <c r="Z84" s="38">
        <f t="shared" si="42"/>
        <v>28284635.4175</v>
      </c>
      <c r="AA84" s="38">
        <f t="shared" si="43"/>
        <v>138536990</v>
      </c>
      <c r="AB84" s="38">
        <f t="shared" si="44"/>
        <v>28284635</v>
      </c>
      <c r="AC84" s="38">
        <f t="shared" si="45"/>
        <v>110252355</v>
      </c>
      <c r="AG84" s="73">
        <f>AB84-'P, Pl y Eq 2020'!AB81</f>
        <v>6926849</v>
      </c>
    </row>
    <row r="85" spans="1:33" s="73" customFormat="1">
      <c r="A85" s="72">
        <v>15200000</v>
      </c>
      <c r="B85" s="73" t="s">
        <v>20</v>
      </c>
      <c r="C85" s="74" t="s">
        <v>995</v>
      </c>
      <c r="D85" s="73">
        <v>1</v>
      </c>
      <c r="E85" s="36" t="s">
        <v>364</v>
      </c>
      <c r="F85" s="144"/>
      <c r="G85" s="144"/>
      <c r="H85" s="144"/>
      <c r="I85" s="144"/>
      <c r="J85" s="77">
        <v>43069</v>
      </c>
      <c r="K85" s="52" t="str">
        <f t="shared" si="46"/>
        <v>SI</v>
      </c>
      <c r="L85" s="113">
        <f t="shared" si="36"/>
        <v>138536989.80000001</v>
      </c>
      <c r="M85" s="73">
        <v>138536989.80000001</v>
      </c>
      <c r="N85" s="145">
        <v>138536989.80000001</v>
      </c>
      <c r="O85" s="113">
        <f t="shared" si="37"/>
        <v>138536989.80000001</v>
      </c>
      <c r="P85" s="72">
        <v>15921000</v>
      </c>
      <c r="Q85" s="73" t="s">
        <v>27</v>
      </c>
      <c r="R85" s="73">
        <v>7504087</v>
      </c>
      <c r="S85" s="73">
        <v>7504087</v>
      </c>
      <c r="T85" s="113">
        <f t="shared" si="38"/>
        <v>7504087</v>
      </c>
      <c r="U85" s="38">
        <f t="shared" si="39"/>
        <v>131032902.80000001</v>
      </c>
      <c r="V85" s="148">
        <v>20</v>
      </c>
      <c r="W85" s="116">
        <f t="shared" si="29"/>
        <v>49</v>
      </c>
      <c r="X85" s="116">
        <f t="shared" si="40"/>
        <v>191</v>
      </c>
      <c r="Y85" s="38">
        <f t="shared" si="41"/>
        <v>577237.45750000002</v>
      </c>
      <c r="Z85" s="38">
        <f t="shared" si="42"/>
        <v>28284635.4175</v>
      </c>
      <c r="AA85" s="38">
        <f t="shared" si="43"/>
        <v>138536990</v>
      </c>
      <c r="AB85" s="38">
        <f t="shared" si="44"/>
        <v>28284635</v>
      </c>
      <c r="AC85" s="38">
        <f t="shared" si="45"/>
        <v>110252355</v>
      </c>
      <c r="AG85" s="73">
        <f>AB85-'P, Pl y Eq 2020'!AB82</f>
        <v>6926849</v>
      </c>
    </row>
    <row r="86" spans="1:33" s="73" customFormat="1">
      <c r="A86" s="72">
        <v>15200000</v>
      </c>
      <c r="B86" s="73" t="s">
        <v>20</v>
      </c>
      <c r="C86" s="74" t="s">
        <v>995</v>
      </c>
      <c r="D86" s="73">
        <v>1</v>
      </c>
      <c r="E86" s="36" t="s">
        <v>364</v>
      </c>
      <c r="F86" s="144"/>
      <c r="G86" s="144"/>
      <c r="H86" s="144"/>
      <c r="I86" s="144"/>
      <c r="J86" s="77">
        <v>43069</v>
      </c>
      <c r="K86" s="52" t="str">
        <f t="shared" si="46"/>
        <v>SI</v>
      </c>
      <c r="L86" s="113">
        <f t="shared" si="36"/>
        <v>138536989.80000001</v>
      </c>
      <c r="M86" s="73">
        <v>138536989.80000001</v>
      </c>
      <c r="N86" s="145">
        <v>138536989.80000001</v>
      </c>
      <c r="O86" s="113">
        <f t="shared" si="37"/>
        <v>138536989.80000001</v>
      </c>
      <c r="P86" s="72">
        <v>15921000</v>
      </c>
      <c r="Q86" s="73" t="s">
        <v>27</v>
      </c>
      <c r="R86" s="73">
        <v>7504087</v>
      </c>
      <c r="S86" s="73">
        <v>7504087</v>
      </c>
      <c r="T86" s="113">
        <f t="shared" si="38"/>
        <v>7504087</v>
      </c>
      <c r="U86" s="38">
        <f t="shared" si="39"/>
        <v>131032902.80000001</v>
      </c>
      <c r="V86" s="148">
        <v>20</v>
      </c>
      <c r="W86" s="116">
        <f t="shared" si="29"/>
        <v>49</v>
      </c>
      <c r="X86" s="116">
        <f t="shared" si="40"/>
        <v>191</v>
      </c>
      <c r="Y86" s="38">
        <f t="shared" si="41"/>
        <v>577237.45750000002</v>
      </c>
      <c r="Z86" s="38">
        <f t="shared" si="42"/>
        <v>28284635.4175</v>
      </c>
      <c r="AA86" s="38">
        <f t="shared" si="43"/>
        <v>138536990</v>
      </c>
      <c r="AB86" s="38">
        <f t="shared" si="44"/>
        <v>28284635</v>
      </c>
      <c r="AC86" s="38">
        <f t="shared" si="45"/>
        <v>110252355</v>
      </c>
      <c r="AG86" s="73">
        <f>AB86-'P, Pl y Eq 2020'!AB83</f>
        <v>6926849</v>
      </c>
    </row>
    <row r="87" spans="1:33" s="73" customFormat="1">
      <c r="A87" s="72">
        <v>15200000</v>
      </c>
      <c r="B87" s="73" t="s">
        <v>20</v>
      </c>
      <c r="C87" s="74" t="s">
        <v>995</v>
      </c>
      <c r="D87" s="73">
        <v>1</v>
      </c>
      <c r="E87" s="36" t="s">
        <v>364</v>
      </c>
      <c r="F87" s="144"/>
      <c r="G87" s="144"/>
      <c r="H87" s="144"/>
      <c r="I87" s="144"/>
      <c r="J87" s="77">
        <v>43069</v>
      </c>
      <c r="K87" s="52" t="str">
        <f t="shared" si="46"/>
        <v>SI</v>
      </c>
      <c r="L87" s="113">
        <f t="shared" si="36"/>
        <v>138536989.80000001</v>
      </c>
      <c r="M87" s="73">
        <v>138536989.80000001</v>
      </c>
      <c r="N87" s="145">
        <v>138536989.80000001</v>
      </c>
      <c r="O87" s="113">
        <f t="shared" si="37"/>
        <v>138536989.80000001</v>
      </c>
      <c r="P87" s="72">
        <v>15921000</v>
      </c>
      <c r="Q87" s="73" t="s">
        <v>27</v>
      </c>
      <c r="R87" s="73">
        <v>7504087</v>
      </c>
      <c r="S87" s="73">
        <v>7504087</v>
      </c>
      <c r="T87" s="113">
        <f t="shared" si="38"/>
        <v>7504087</v>
      </c>
      <c r="U87" s="38">
        <f t="shared" si="39"/>
        <v>131032902.80000001</v>
      </c>
      <c r="V87" s="148">
        <v>20</v>
      </c>
      <c r="W87" s="116">
        <f t="shared" si="29"/>
        <v>49</v>
      </c>
      <c r="X87" s="116">
        <f t="shared" si="40"/>
        <v>191</v>
      </c>
      <c r="Y87" s="38">
        <f t="shared" si="41"/>
        <v>577237.45750000002</v>
      </c>
      <c r="Z87" s="38">
        <f t="shared" si="42"/>
        <v>28284635.4175</v>
      </c>
      <c r="AA87" s="38">
        <f t="shared" si="43"/>
        <v>138536990</v>
      </c>
      <c r="AB87" s="38">
        <f t="shared" si="44"/>
        <v>28284635</v>
      </c>
      <c r="AC87" s="38">
        <f t="shared" si="45"/>
        <v>110252355</v>
      </c>
      <c r="AG87" s="73">
        <f>AB87-'P, Pl y Eq 2020'!AB84</f>
        <v>6926849</v>
      </c>
    </row>
    <row r="88" spans="1:33" s="73" customFormat="1">
      <c r="A88" s="72">
        <v>15200000</v>
      </c>
      <c r="B88" s="73" t="s">
        <v>20</v>
      </c>
      <c r="C88" s="74" t="s">
        <v>995</v>
      </c>
      <c r="D88" s="73">
        <v>1</v>
      </c>
      <c r="E88" s="36" t="s">
        <v>364</v>
      </c>
      <c r="F88" s="144"/>
      <c r="G88" s="144"/>
      <c r="H88" s="144"/>
      <c r="I88" s="144"/>
      <c r="J88" s="77">
        <v>43069</v>
      </c>
      <c r="K88" s="52" t="str">
        <f t="shared" si="46"/>
        <v>SI</v>
      </c>
      <c r="L88" s="113">
        <f t="shared" si="36"/>
        <v>138536989.80000001</v>
      </c>
      <c r="M88" s="73">
        <v>138536989.80000001</v>
      </c>
      <c r="N88" s="145">
        <v>138536989.80000001</v>
      </c>
      <c r="O88" s="113">
        <f t="shared" si="37"/>
        <v>138536989.80000001</v>
      </c>
      <c r="P88" s="72">
        <v>15921000</v>
      </c>
      <c r="Q88" s="73" t="s">
        <v>27</v>
      </c>
      <c r="R88" s="73">
        <v>7504087</v>
      </c>
      <c r="S88" s="73">
        <v>7504087</v>
      </c>
      <c r="T88" s="113">
        <f t="shared" si="38"/>
        <v>7504087</v>
      </c>
      <c r="U88" s="38">
        <f t="shared" si="39"/>
        <v>131032902.80000001</v>
      </c>
      <c r="V88" s="148">
        <v>20</v>
      </c>
      <c r="W88" s="116">
        <f t="shared" si="29"/>
        <v>49</v>
      </c>
      <c r="X88" s="116">
        <f t="shared" si="40"/>
        <v>191</v>
      </c>
      <c r="Y88" s="38">
        <f t="shared" si="41"/>
        <v>577237.45750000002</v>
      </c>
      <c r="Z88" s="38">
        <f t="shared" si="42"/>
        <v>28284635.4175</v>
      </c>
      <c r="AA88" s="38">
        <f t="shared" si="43"/>
        <v>138536990</v>
      </c>
      <c r="AB88" s="38">
        <f t="shared" si="44"/>
        <v>28284635</v>
      </c>
      <c r="AC88" s="38">
        <f t="shared" si="45"/>
        <v>110252355</v>
      </c>
      <c r="AG88" s="73">
        <f>AB88-'P, Pl y Eq 2020'!AB85</f>
        <v>6926849</v>
      </c>
    </row>
    <row r="89" spans="1:33" s="73" customFormat="1">
      <c r="A89" s="72">
        <v>15200000</v>
      </c>
      <c r="B89" s="73" t="s">
        <v>20</v>
      </c>
      <c r="C89" s="74" t="s">
        <v>995</v>
      </c>
      <c r="D89" s="73">
        <v>1</v>
      </c>
      <c r="E89" s="36" t="s">
        <v>364</v>
      </c>
      <c r="F89" s="144"/>
      <c r="G89" s="144"/>
      <c r="H89" s="144"/>
      <c r="I89" s="144"/>
      <c r="J89" s="77">
        <v>43069</v>
      </c>
      <c r="K89" s="52" t="str">
        <f t="shared" si="46"/>
        <v>SI</v>
      </c>
      <c r="L89" s="113">
        <f t="shared" si="36"/>
        <v>138536989.69999999</v>
      </c>
      <c r="M89" s="73">
        <v>138536989.69999999</v>
      </c>
      <c r="N89" s="145">
        <v>138536989.69999999</v>
      </c>
      <c r="O89" s="113">
        <f t="shared" si="37"/>
        <v>138536989.69999999</v>
      </c>
      <c r="P89" s="72">
        <v>15921000</v>
      </c>
      <c r="Q89" s="73" t="s">
        <v>27</v>
      </c>
      <c r="R89" s="73">
        <v>7504087</v>
      </c>
      <c r="S89" s="73">
        <v>7504087</v>
      </c>
      <c r="T89" s="113">
        <f t="shared" si="38"/>
        <v>7504087</v>
      </c>
      <c r="U89" s="38">
        <f t="shared" si="39"/>
        <v>131032902.69999999</v>
      </c>
      <c r="V89" s="148">
        <v>20</v>
      </c>
      <c r="W89" s="116">
        <f t="shared" si="29"/>
        <v>49</v>
      </c>
      <c r="X89" s="116">
        <f t="shared" si="40"/>
        <v>191</v>
      </c>
      <c r="Y89" s="38">
        <f t="shared" si="41"/>
        <v>577237.45708333328</v>
      </c>
      <c r="Z89" s="38">
        <f t="shared" si="42"/>
        <v>28284635.397083331</v>
      </c>
      <c r="AA89" s="38">
        <f t="shared" si="43"/>
        <v>138536990</v>
      </c>
      <c r="AB89" s="38">
        <f t="shared" si="44"/>
        <v>28284635</v>
      </c>
      <c r="AC89" s="38">
        <f t="shared" si="45"/>
        <v>110252355</v>
      </c>
      <c r="AG89" s="73">
        <f>AB89-'P, Pl y Eq 2020'!AB86</f>
        <v>6926849</v>
      </c>
    </row>
    <row r="90" spans="1:33" s="73" customFormat="1">
      <c r="A90" s="72">
        <v>15200000</v>
      </c>
      <c r="B90" s="73" t="s">
        <v>20</v>
      </c>
      <c r="C90" s="74" t="s">
        <v>995</v>
      </c>
      <c r="D90" s="73">
        <v>1</v>
      </c>
      <c r="E90" s="36" t="s">
        <v>364</v>
      </c>
      <c r="F90" s="144"/>
      <c r="G90" s="144"/>
      <c r="H90" s="144"/>
      <c r="I90" s="144"/>
      <c r="J90" s="77">
        <v>43069</v>
      </c>
      <c r="K90" s="52" t="str">
        <f t="shared" si="46"/>
        <v>SI</v>
      </c>
      <c r="L90" s="113">
        <f t="shared" si="36"/>
        <v>231387317</v>
      </c>
      <c r="M90" s="73">
        <v>231387317</v>
      </c>
      <c r="N90" s="145">
        <v>231387317</v>
      </c>
      <c r="O90" s="113">
        <f t="shared" si="37"/>
        <v>231387317</v>
      </c>
      <c r="P90" s="72">
        <v>15921000</v>
      </c>
      <c r="Q90" s="73" t="s">
        <v>27</v>
      </c>
      <c r="R90" s="73">
        <v>12533480</v>
      </c>
      <c r="S90" s="73">
        <v>12533480</v>
      </c>
      <c r="T90" s="113">
        <f t="shared" si="38"/>
        <v>12533480</v>
      </c>
      <c r="U90" s="38">
        <f t="shared" si="39"/>
        <v>218853837</v>
      </c>
      <c r="V90" s="148">
        <v>20</v>
      </c>
      <c r="W90" s="116">
        <f t="shared" si="29"/>
        <v>49</v>
      </c>
      <c r="X90" s="116">
        <f t="shared" si="40"/>
        <v>191</v>
      </c>
      <c r="Y90" s="38">
        <f t="shared" si="41"/>
        <v>964113.8208333333</v>
      </c>
      <c r="Z90" s="38">
        <f t="shared" si="42"/>
        <v>47241577.220833331</v>
      </c>
      <c r="AA90" s="38">
        <f t="shared" si="43"/>
        <v>231387317</v>
      </c>
      <c r="AB90" s="38">
        <f t="shared" si="44"/>
        <v>47241577</v>
      </c>
      <c r="AC90" s="38">
        <f t="shared" si="45"/>
        <v>184145740</v>
      </c>
      <c r="AG90" s="73">
        <f>AB90-'P, Pl y Eq 2020'!AB87</f>
        <v>11569366</v>
      </c>
    </row>
    <row r="91" spans="1:33" s="73" customFormat="1">
      <c r="A91" s="72">
        <v>15200000</v>
      </c>
      <c r="B91" s="73" t="s">
        <v>20</v>
      </c>
      <c r="C91" s="74" t="s">
        <v>995</v>
      </c>
      <c r="D91" s="73">
        <v>1</v>
      </c>
      <c r="E91" s="36" t="s">
        <v>364</v>
      </c>
      <c r="F91" s="144"/>
      <c r="G91" s="144"/>
      <c r="H91" s="144"/>
      <c r="I91" s="144"/>
      <c r="J91" s="77">
        <v>43069</v>
      </c>
      <c r="K91" s="52" t="str">
        <f t="shared" si="46"/>
        <v>SI</v>
      </c>
      <c r="L91" s="113">
        <f t="shared" si="36"/>
        <v>336237596.60000002</v>
      </c>
      <c r="M91" s="73">
        <v>336237596.60000002</v>
      </c>
      <c r="N91" s="145">
        <v>336237596.60000002</v>
      </c>
      <c r="O91" s="113">
        <f t="shared" si="37"/>
        <v>336237596.60000002</v>
      </c>
      <c r="P91" s="72">
        <v>15921000</v>
      </c>
      <c r="Q91" s="73" t="s">
        <v>27</v>
      </c>
      <c r="R91" s="73">
        <v>18212870</v>
      </c>
      <c r="S91" s="73">
        <v>18212870</v>
      </c>
      <c r="T91" s="113">
        <f t="shared" si="38"/>
        <v>18212870</v>
      </c>
      <c r="U91" s="38">
        <f t="shared" si="39"/>
        <v>318024726.60000002</v>
      </c>
      <c r="V91" s="148">
        <v>20</v>
      </c>
      <c r="W91" s="116">
        <f t="shared" si="29"/>
        <v>49</v>
      </c>
      <c r="X91" s="116">
        <f t="shared" si="40"/>
        <v>191</v>
      </c>
      <c r="Y91" s="38">
        <f t="shared" si="41"/>
        <v>1400989.9858333333</v>
      </c>
      <c r="Z91" s="38">
        <f t="shared" si="42"/>
        <v>68648509.30583334</v>
      </c>
      <c r="AA91" s="38">
        <f t="shared" si="43"/>
        <v>336237597</v>
      </c>
      <c r="AB91" s="38">
        <f t="shared" si="44"/>
        <v>68648509</v>
      </c>
      <c r="AC91" s="38">
        <f t="shared" si="45"/>
        <v>267589088</v>
      </c>
      <c r="AG91" s="73">
        <f>AB91-'P, Pl y Eq 2020'!AB88</f>
        <v>16811880</v>
      </c>
    </row>
    <row r="92" spans="1:33" s="73" customFormat="1">
      <c r="A92" s="72">
        <v>15200000</v>
      </c>
      <c r="B92" s="73" t="s">
        <v>20</v>
      </c>
      <c r="C92" s="74" t="s">
        <v>995</v>
      </c>
      <c r="D92" s="73">
        <v>1</v>
      </c>
      <c r="E92" s="36" t="s">
        <v>364</v>
      </c>
      <c r="F92" s="144"/>
      <c r="G92" s="144"/>
      <c r="H92" s="144"/>
      <c r="I92" s="144"/>
      <c r="J92" s="77">
        <v>43069</v>
      </c>
      <c r="K92" s="52" t="str">
        <f t="shared" si="46"/>
        <v>SI</v>
      </c>
      <c r="L92" s="113">
        <f t="shared" si="36"/>
        <v>127389797.59999999</v>
      </c>
      <c r="M92" s="73">
        <v>127389797.59999999</v>
      </c>
      <c r="N92" s="145">
        <v>127389797.59999999</v>
      </c>
      <c r="O92" s="113">
        <f t="shared" si="37"/>
        <v>127389797.59999999</v>
      </c>
      <c r="P92" s="72">
        <v>15921000</v>
      </c>
      <c r="Q92" s="73" t="s">
        <v>27</v>
      </c>
      <c r="R92" s="73">
        <v>6900281</v>
      </c>
      <c r="S92" s="73">
        <v>6900281</v>
      </c>
      <c r="T92" s="113">
        <f t="shared" si="38"/>
        <v>6900281</v>
      </c>
      <c r="U92" s="38">
        <f t="shared" si="39"/>
        <v>120489516.59999999</v>
      </c>
      <c r="V92" s="148">
        <v>20</v>
      </c>
      <c r="W92" s="116">
        <f t="shared" si="29"/>
        <v>49</v>
      </c>
      <c r="X92" s="116">
        <f t="shared" si="40"/>
        <v>191</v>
      </c>
      <c r="Y92" s="38">
        <f t="shared" si="41"/>
        <v>530790.82333333336</v>
      </c>
      <c r="Z92" s="38">
        <f t="shared" si="42"/>
        <v>26008750.343333334</v>
      </c>
      <c r="AA92" s="38">
        <f t="shared" si="43"/>
        <v>127389798</v>
      </c>
      <c r="AB92" s="38">
        <f t="shared" si="44"/>
        <v>26008750</v>
      </c>
      <c r="AC92" s="38">
        <f t="shared" si="45"/>
        <v>101381048</v>
      </c>
      <c r="AG92" s="73">
        <f>AB92-'P, Pl y Eq 2020'!AB89</f>
        <v>6369490</v>
      </c>
    </row>
    <row r="93" spans="1:33" s="73" customFormat="1">
      <c r="A93" s="72">
        <v>15200000</v>
      </c>
      <c r="B93" s="73" t="s">
        <v>20</v>
      </c>
      <c r="C93" s="74" t="s">
        <v>995</v>
      </c>
      <c r="D93" s="73">
        <v>1</v>
      </c>
      <c r="E93" s="36" t="s">
        <v>364</v>
      </c>
      <c r="F93" s="144"/>
      <c r="G93" s="144"/>
      <c r="H93" s="144"/>
      <c r="I93" s="144"/>
      <c r="J93" s="77">
        <v>43069</v>
      </c>
      <c r="K93" s="52" t="str">
        <f t="shared" si="46"/>
        <v>SI</v>
      </c>
      <c r="L93" s="113">
        <f t="shared" si="36"/>
        <v>4500800</v>
      </c>
      <c r="M93" s="73">
        <v>4500800</v>
      </c>
      <c r="N93" s="145">
        <v>4500800</v>
      </c>
      <c r="O93" s="113">
        <f t="shared" si="37"/>
        <v>4500800</v>
      </c>
      <c r="P93" s="72">
        <v>15921000</v>
      </c>
      <c r="Q93" s="73" t="s">
        <v>27</v>
      </c>
      <c r="R93" s="73">
        <v>487587</v>
      </c>
      <c r="S93" s="73">
        <v>487587</v>
      </c>
      <c r="T93" s="113">
        <f t="shared" si="38"/>
        <v>487587</v>
      </c>
      <c r="U93" s="38">
        <f t="shared" si="39"/>
        <v>4013213</v>
      </c>
      <c r="V93" s="148">
        <v>10</v>
      </c>
      <c r="W93" s="116">
        <f t="shared" si="29"/>
        <v>49</v>
      </c>
      <c r="X93" s="116">
        <f t="shared" si="40"/>
        <v>71</v>
      </c>
      <c r="Y93" s="38">
        <f t="shared" si="41"/>
        <v>37506.666666666664</v>
      </c>
      <c r="Z93" s="38">
        <f t="shared" si="42"/>
        <v>1837826.6666666665</v>
      </c>
      <c r="AA93" s="38">
        <f t="shared" si="43"/>
        <v>4500800</v>
      </c>
      <c r="AB93" s="38">
        <f t="shared" si="44"/>
        <v>1837827</v>
      </c>
      <c r="AC93" s="38">
        <f t="shared" si="45"/>
        <v>2662973</v>
      </c>
      <c r="AG93" s="73">
        <f>AB93-'P, Pl y Eq 2020'!AB90</f>
        <v>450080</v>
      </c>
    </row>
    <row r="94" spans="1:33" s="73" customFormat="1">
      <c r="A94" s="72">
        <v>15200000</v>
      </c>
      <c r="B94" s="73" t="s">
        <v>20</v>
      </c>
      <c r="C94" s="74" t="s">
        <v>995</v>
      </c>
      <c r="D94" s="73">
        <v>1</v>
      </c>
      <c r="E94" s="36" t="s">
        <v>364</v>
      </c>
      <c r="F94" s="144"/>
      <c r="G94" s="144"/>
      <c r="H94" s="144"/>
      <c r="I94" s="144"/>
      <c r="J94" s="77">
        <v>43069</v>
      </c>
      <c r="K94" s="52" t="str">
        <f>IF(L94&gt;($M$22*50),"SI","NO")</f>
        <v>NO</v>
      </c>
      <c r="L94" s="113">
        <f t="shared" si="36"/>
        <v>0</v>
      </c>
      <c r="M94" s="73">
        <f>655498863.2*0</f>
        <v>0</v>
      </c>
      <c r="N94" s="145">
        <f>655498863.2*0</f>
        <v>0</v>
      </c>
      <c r="O94" s="113">
        <f t="shared" si="37"/>
        <v>0</v>
      </c>
      <c r="P94" s="72">
        <v>15921000</v>
      </c>
      <c r="Q94" s="73" t="s">
        <v>27</v>
      </c>
      <c r="R94" s="73">
        <f>16387472*0</f>
        <v>0</v>
      </c>
      <c r="S94" s="73">
        <f>16387472*0</f>
        <v>0</v>
      </c>
      <c r="T94" s="113">
        <f t="shared" si="38"/>
        <v>0</v>
      </c>
      <c r="U94" s="38">
        <f t="shared" si="39"/>
        <v>0</v>
      </c>
      <c r="V94" s="148">
        <v>20</v>
      </c>
      <c r="W94" s="116">
        <f t="shared" si="29"/>
        <v>49</v>
      </c>
      <c r="X94" s="116">
        <f t="shared" si="40"/>
        <v>191</v>
      </c>
      <c r="Y94" s="38">
        <f t="shared" si="41"/>
        <v>0</v>
      </c>
      <c r="Z94" s="38">
        <f t="shared" si="42"/>
        <v>0</v>
      </c>
      <c r="AA94" s="38">
        <f t="shared" si="43"/>
        <v>0</v>
      </c>
      <c r="AB94" s="38">
        <f t="shared" si="44"/>
        <v>0</v>
      </c>
      <c r="AC94" s="38">
        <f t="shared" si="45"/>
        <v>0</v>
      </c>
      <c r="AD94" s="73" t="s">
        <v>1045</v>
      </c>
      <c r="AG94" s="73">
        <f>AB94-'P, Pl y Eq 2020'!AB91</f>
        <v>0</v>
      </c>
    </row>
    <row r="95" spans="1:33" s="73" customFormat="1">
      <c r="A95" s="72">
        <v>15200000</v>
      </c>
      <c r="B95" s="73" t="s">
        <v>20</v>
      </c>
      <c r="C95" s="74" t="s">
        <v>995</v>
      </c>
      <c r="D95" s="73">
        <v>1</v>
      </c>
      <c r="E95" s="36" t="s">
        <v>364</v>
      </c>
      <c r="F95" s="144"/>
      <c r="G95" s="144"/>
      <c r="H95" s="144"/>
      <c r="I95" s="144"/>
      <c r="J95" s="77">
        <v>43069</v>
      </c>
      <c r="K95" s="52" t="str">
        <f>IF(L95&gt;($M$23*50),"SI","NO")</f>
        <v>SI</v>
      </c>
      <c r="L95" s="113">
        <f t="shared" si="36"/>
        <v>293361905.10000002</v>
      </c>
      <c r="M95" s="73">
        <v>293361905.10000002</v>
      </c>
      <c r="N95" s="145">
        <v>293361905.10000002</v>
      </c>
      <c r="O95" s="113">
        <f t="shared" si="37"/>
        <v>293361905.10000002</v>
      </c>
      <c r="P95" s="72">
        <v>15921000</v>
      </c>
      <c r="Q95" s="73" t="s">
        <v>27</v>
      </c>
      <c r="R95" s="73">
        <v>15890437</v>
      </c>
      <c r="S95" s="73">
        <v>15890437</v>
      </c>
      <c r="T95" s="113">
        <f t="shared" si="38"/>
        <v>15890437</v>
      </c>
      <c r="U95" s="38">
        <f t="shared" si="39"/>
        <v>277471468.10000002</v>
      </c>
      <c r="V95" s="148">
        <v>20</v>
      </c>
      <c r="W95" s="116">
        <f t="shared" si="29"/>
        <v>49</v>
      </c>
      <c r="X95" s="116">
        <f t="shared" si="40"/>
        <v>191</v>
      </c>
      <c r="Y95" s="38">
        <f t="shared" si="41"/>
        <v>1222341.27125</v>
      </c>
      <c r="Z95" s="38">
        <f t="shared" si="42"/>
        <v>59894722.291249998</v>
      </c>
      <c r="AA95" s="38">
        <f t="shared" si="43"/>
        <v>293361905</v>
      </c>
      <c r="AB95" s="38">
        <f t="shared" si="44"/>
        <v>59894722</v>
      </c>
      <c r="AC95" s="38">
        <f t="shared" si="45"/>
        <v>233467183</v>
      </c>
      <c r="AG95" s="73">
        <f>AB95-'P, Pl y Eq 2020'!AB92</f>
        <v>14668095</v>
      </c>
    </row>
    <row r="96" spans="1:33" s="73" customFormat="1" ht="15.95" customHeight="1">
      <c r="A96" s="72">
        <v>15200000</v>
      </c>
      <c r="B96" s="73" t="s">
        <v>20</v>
      </c>
      <c r="C96" s="74" t="s">
        <v>995</v>
      </c>
      <c r="D96" s="73">
        <v>1</v>
      </c>
      <c r="E96" s="36" t="s">
        <v>364</v>
      </c>
      <c r="F96" s="144"/>
      <c r="G96" s="144"/>
      <c r="H96" s="144"/>
      <c r="I96" s="144"/>
      <c r="J96" s="77">
        <v>43069</v>
      </c>
      <c r="K96" s="52" t="str">
        <f>IF(L96&gt;($M$23*50),"SI","NO")</f>
        <v>SI</v>
      </c>
      <c r="L96" s="113">
        <f t="shared" si="36"/>
        <v>86592898.780000001</v>
      </c>
      <c r="M96" s="73">
        <v>86592898.780000001</v>
      </c>
      <c r="N96" s="145">
        <v>86592898.780000001</v>
      </c>
      <c r="O96" s="113">
        <f t="shared" si="37"/>
        <v>86592898.780000001</v>
      </c>
      <c r="P96" s="72">
        <v>15921000</v>
      </c>
      <c r="Q96" s="73" t="s">
        <v>27</v>
      </c>
      <c r="R96" s="73">
        <v>4690449</v>
      </c>
      <c r="S96" s="73">
        <v>4690449</v>
      </c>
      <c r="T96" s="113">
        <f t="shared" si="38"/>
        <v>4690449</v>
      </c>
      <c r="U96" s="38">
        <f t="shared" si="39"/>
        <v>81902449.780000001</v>
      </c>
      <c r="V96" s="148">
        <v>20</v>
      </c>
      <c r="W96" s="116">
        <f t="shared" si="29"/>
        <v>49</v>
      </c>
      <c r="X96" s="116">
        <f t="shared" si="40"/>
        <v>191</v>
      </c>
      <c r="Y96" s="38">
        <f t="shared" si="41"/>
        <v>360803.74491666665</v>
      </c>
      <c r="Z96" s="38">
        <f t="shared" si="42"/>
        <v>17679383.500916667</v>
      </c>
      <c r="AA96" s="38">
        <f t="shared" si="43"/>
        <v>86592899</v>
      </c>
      <c r="AB96" s="38">
        <f t="shared" si="44"/>
        <v>17679384</v>
      </c>
      <c r="AC96" s="38">
        <f t="shared" si="45"/>
        <v>68913515</v>
      </c>
      <c r="AG96" s="73">
        <f>AB96-'P, Pl y Eq 2020'!AB93</f>
        <v>4329645</v>
      </c>
    </row>
    <row r="97" spans="1:36" s="73" customFormat="1">
      <c r="A97" s="72">
        <v>15200000</v>
      </c>
      <c r="B97" s="73" t="s">
        <v>20</v>
      </c>
      <c r="C97" s="74" t="s">
        <v>995</v>
      </c>
      <c r="D97" s="73">
        <v>1</v>
      </c>
      <c r="E97" s="36" t="s">
        <v>364</v>
      </c>
      <c r="F97" s="144"/>
      <c r="G97" s="144"/>
      <c r="H97" s="144"/>
      <c r="I97" s="144"/>
      <c r="J97" s="166">
        <v>43159</v>
      </c>
      <c r="K97" s="52" t="str">
        <f>IF(L97&gt;($M$24*50),"SI","NO")</f>
        <v>SI</v>
      </c>
      <c r="L97" s="113">
        <f t="shared" si="36"/>
        <v>5703631</v>
      </c>
      <c r="M97" s="73">
        <v>5703631</v>
      </c>
      <c r="N97" s="145">
        <v>5703631</v>
      </c>
      <c r="O97" s="113">
        <f t="shared" si="37"/>
        <v>5703631</v>
      </c>
      <c r="P97" s="72">
        <v>15921000</v>
      </c>
      <c r="Q97" s="73" t="s">
        <v>27</v>
      </c>
      <c r="R97" s="73">
        <v>237651</v>
      </c>
      <c r="S97" s="73">
        <v>237651</v>
      </c>
      <c r="T97" s="113">
        <f t="shared" si="38"/>
        <v>237651</v>
      </c>
      <c r="U97" s="38">
        <f t="shared" si="39"/>
        <v>5465980</v>
      </c>
      <c r="V97" s="148">
        <v>20</v>
      </c>
      <c r="W97" s="116">
        <f t="shared" si="29"/>
        <v>46</v>
      </c>
      <c r="X97" s="116">
        <f t="shared" si="40"/>
        <v>194</v>
      </c>
      <c r="Y97" s="38">
        <f t="shared" si="41"/>
        <v>23765.129166666666</v>
      </c>
      <c r="Z97" s="38">
        <f t="shared" si="42"/>
        <v>1093195.9416666667</v>
      </c>
      <c r="AA97" s="38">
        <f t="shared" si="43"/>
        <v>5703631</v>
      </c>
      <c r="AB97" s="38">
        <f t="shared" si="44"/>
        <v>1093196</v>
      </c>
      <c r="AC97" s="38">
        <f t="shared" si="45"/>
        <v>4610435</v>
      </c>
      <c r="AG97" s="73">
        <f>AB97-'P, Pl y Eq 2020'!AB94</f>
        <v>285182</v>
      </c>
    </row>
    <row r="98" spans="1:36" s="73" customFormat="1">
      <c r="A98" s="72">
        <v>15200000</v>
      </c>
      <c r="B98" s="73" t="s">
        <v>20</v>
      </c>
      <c r="C98" s="74" t="s">
        <v>995</v>
      </c>
      <c r="D98" s="73">
        <v>1</v>
      </c>
      <c r="E98" s="36" t="s">
        <v>364</v>
      </c>
      <c r="F98" s="144"/>
      <c r="G98" s="144"/>
      <c r="H98" s="144"/>
      <c r="I98" s="144"/>
      <c r="J98" s="166">
        <v>43190</v>
      </c>
      <c r="K98" s="52" t="str">
        <f>IF(L98&gt;($M$24*50),"SI","NO")</f>
        <v>SI</v>
      </c>
      <c r="L98" s="113">
        <f t="shared" si="36"/>
        <v>13254594</v>
      </c>
      <c r="M98" s="73">
        <v>13254594</v>
      </c>
      <c r="N98" s="145">
        <v>13254594</v>
      </c>
      <c r="O98" s="113">
        <f t="shared" si="37"/>
        <v>13254594</v>
      </c>
      <c r="P98" s="72">
        <v>15921000</v>
      </c>
      <c r="Q98" s="73" t="s">
        <v>27</v>
      </c>
      <c r="R98" s="73">
        <v>497047</v>
      </c>
      <c r="S98" s="73">
        <v>497047</v>
      </c>
      <c r="T98" s="113">
        <f t="shared" si="38"/>
        <v>497047</v>
      </c>
      <c r="U98" s="38">
        <f t="shared" si="39"/>
        <v>12757547</v>
      </c>
      <c r="V98" s="148">
        <v>20</v>
      </c>
      <c r="W98" s="116">
        <f t="shared" si="29"/>
        <v>45</v>
      </c>
      <c r="X98" s="116">
        <f t="shared" si="40"/>
        <v>195</v>
      </c>
      <c r="Y98" s="38">
        <f t="shared" si="41"/>
        <v>55227.474999999999</v>
      </c>
      <c r="Z98" s="38">
        <f t="shared" si="42"/>
        <v>2485236.375</v>
      </c>
      <c r="AA98" s="38">
        <f t="shared" si="43"/>
        <v>13254594</v>
      </c>
      <c r="AB98" s="38">
        <f t="shared" si="44"/>
        <v>2485236</v>
      </c>
      <c r="AC98" s="38">
        <f t="shared" si="45"/>
        <v>10769358</v>
      </c>
      <c r="AG98" s="73">
        <f>AB98-'P, Pl y Eq 2020'!AB95</f>
        <v>662729</v>
      </c>
    </row>
    <row r="99" spans="1:36" s="73" customFormat="1">
      <c r="A99" s="72">
        <v>15200000</v>
      </c>
      <c r="B99" s="73" t="s">
        <v>20</v>
      </c>
      <c r="C99" s="167" t="s">
        <v>995</v>
      </c>
      <c r="D99" s="73">
        <v>1</v>
      </c>
      <c r="E99" s="36" t="s">
        <v>364</v>
      </c>
      <c r="F99" s="144"/>
      <c r="G99" s="144"/>
      <c r="H99" s="144"/>
      <c r="I99" s="144"/>
      <c r="J99" s="168">
        <v>43344</v>
      </c>
      <c r="K99" s="52" t="str">
        <f>IF(L99&gt;($M$24*50),"SI","NO")</f>
        <v>SI</v>
      </c>
      <c r="L99" s="113">
        <f t="shared" si="36"/>
        <v>14780964</v>
      </c>
      <c r="M99" s="73">
        <v>14780964</v>
      </c>
      <c r="N99" s="145">
        <v>14780964</v>
      </c>
      <c r="O99" s="113">
        <f t="shared" si="37"/>
        <v>14780964</v>
      </c>
      <c r="P99" s="72">
        <v>15921000</v>
      </c>
      <c r="Q99" s="73" t="s">
        <v>27</v>
      </c>
      <c r="R99" s="73">
        <v>246349</v>
      </c>
      <c r="S99" s="73">
        <v>246349</v>
      </c>
      <c r="T99" s="113">
        <f t="shared" si="38"/>
        <v>246349</v>
      </c>
      <c r="U99" s="38">
        <f t="shared" si="39"/>
        <v>14534615</v>
      </c>
      <c r="V99" s="148">
        <v>20</v>
      </c>
      <c r="W99" s="116">
        <f>IF(ROUND(($W$27-J99)/30,0)&gt;(V99*12),(V99*12),(ROUND(($W$27-J99)/30,0)))-1</f>
        <v>40</v>
      </c>
      <c r="X99" s="116">
        <f t="shared" si="40"/>
        <v>200</v>
      </c>
      <c r="Y99" s="38">
        <f t="shared" si="41"/>
        <v>61587.35</v>
      </c>
      <c r="Z99" s="38">
        <f t="shared" si="42"/>
        <v>2463494</v>
      </c>
      <c r="AA99" s="38">
        <f t="shared" si="43"/>
        <v>14780964</v>
      </c>
      <c r="AB99" s="38">
        <f t="shared" si="44"/>
        <v>2463494</v>
      </c>
      <c r="AC99" s="38">
        <f t="shared" si="45"/>
        <v>12317470</v>
      </c>
      <c r="AG99" s="73">
        <f>AB99-'P, Pl y Eq 2020'!AB96</f>
        <v>739048</v>
      </c>
    </row>
    <row r="100" spans="1:36" s="67" customFormat="1">
      <c r="A100" s="72">
        <v>15200000</v>
      </c>
      <c r="B100" s="73" t="s">
        <v>20</v>
      </c>
      <c r="C100" s="68" t="s">
        <v>995</v>
      </c>
      <c r="D100" s="67">
        <v>1</v>
      </c>
      <c r="E100" s="61" t="s">
        <v>364</v>
      </c>
      <c r="F100" s="177"/>
      <c r="G100" s="177"/>
      <c r="H100" s="177"/>
      <c r="I100" s="177"/>
      <c r="J100" s="198">
        <v>43497</v>
      </c>
      <c r="K100" s="65" t="str">
        <f t="shared" ref="K100:K131" si="47">IF(L100&gt;($M$25*50),"SI","NO")</f>
        <v>SI</v>
      </c>
      <c r="L100" s="139">
        <f t="shared" si="36"/>
        <v>10500000</v>
      </c>
      <c r="M100" s="67">
        <v>10500000</v>
      </c>
      <c r="N100" s="67">
        <v>10500000</v>
      </c>
      <c r="O100" s="139">
        <f>IF(K100="SI",N100,0)</f>
        <v>10500000</v>
      </c>
      <c r="P100" s="72">
        <v>15921000</v>
      </c>
      <c r="Q100" s="73" t="s">
        <v>27</v>
      </c>
      <c r="R100" s="67">
        <v>0</v>
      </c>
      <c r="S100" s="67">
        <v>0</v>
      </c>
      <c r="T100" s="139">
        <f>IF(O100&gt;0,S100,0)</f>
        <v>0</v>
      </c>
      <c r="U100" s="60">
        <f>IF(O100&gt;0,N100-S100,0)</f>
        <v>10500000</v>
      </c>
      <c r="V100" s="181">
        <v>15</v>
      </c>
      <c r="W100" s="116">
        <f t="shared" ref="W100:W162" si="48">IF(ROUND(($W$27-J100)/30,0)&gt;(V100*12),(V100*12),(ROUND(($W$27-J100)/30,0)))</f>
        <v>35</v>
      </c>
      <c r="X100" s="116">
        <f t="shared" si="40"/>
        <v>145</v>
      </c>
      <c r="Y100" s="38">
        <f t="shared" si="41"/>
        <v>58333.333333333336</v>
      </c>
      <c r="Z100" s="38">
        <f t="shared" si="42"/>
        <v>2041666.6666666667</v>
      </c>
      <c r="AA100" s="38">
        <f t="shared" si="43"/>
        <v>10500000</v>
      </c>
      <c r="AB100" s="38">
        <f t="shared" si="44"/>
        <v>2041667</v>
      </c>
      <c r="AC100" s="38">
        <f t="shared" si="45"/>
        <v>8458333</v>
      </c>
      <c r="AE100" s="73"/>
      <c r="AF100" s="73"/>
      <c r="AG100" s="73">
        <f>AB100-'P, Pl y Eq 2020'!AB97</f>
        <v>700000</v>
      </c>
      <c r="AH100" s="73"/>
      <c r="AI100" s="73"/>
      <c r="AJ100" s="180"/>
    </row>
    <row r="101" spans="1:36" s="67" customFormat="1">
      <c r="A101" s="72">
        <v>15200000</v>
      </c>
      <c r="B101" s="73" t="s">
        <v>20</v>
      </c>
      <c r="C101" s="68" t="s">
        <v>995</v>
      </c>
      <c r="D101" s="67">
        <v>1</v>
      </c>
      <c r="E101" s="61" t="s">
        <v>364</v>
      </c>
      <c r="F101" s="177"/>
      <c r="G101" s="177"/>
      <c r="H101" s="177"/>
      <c r="I101" s="177"/>
      <c r="J101" s="198">
        <v>43497</v>
      </c>
      <c r="K101" s="65" t="str">
        <f t="shared" si="47"/>
        <v>SI</v>
      </c>
      <c r="L101" s="139">
        <f t="shared" si="36"/>
        <v>5500000</v>
      </c>
      <c r="M101" s="67">
        <v>5500000</v>
      </c>
      <c r="N101" s="67">
        <v>5500000</v>
      </c>
      <c r="O101" s="139">
        <f t="shared" ref="O101:O164" si="49">IF(K101="SI",N101,0)</f>
        <v>5500000</v>
      </c>
      <c r="P101" s="72">
        <v>15921000</v>
      </c>
      <c r="Q101" s="73" t="s">
        <v>27</v>
      </c>
      <c r="R101" s="67">
        <v>0</v>
      </c>
      <c r="S101" s="67">
        <v>0</v>
      </c>
      <c r="T101" s="139">
        <f t="shared" ref="T101:T164" si="50">IF(O101&gt;0,S101,0)</f>
        <v>0</v>
      </c>
      <c r="U101" s="60">
        <f t="shared" ref="U101:U164" si="51">IF(O101&gt;0,N101-S101,0)</f>
        <v>5500000</v>
      </c>
      <c r="V101" s="181">
        <v>15</v>
      </c>
      <c r="W101" s="116">
        <f t="shared" si="48"/>
        <v>35</v>
      </c>
      <c r="X101" s="116">
        <f t="shared" si="40"/>
        <v>145</v>
      </c>
      <c r="Y101" s="38">
        <f t="shared" si="41"/>
        <v>30555.555555555555</v>
      </c>
      <c r="Z101" s="38">
        <f t="shared" si="42"/>
        <v>1069444.4444444445</v>
      </c>
      <c r="AA101" s="38">
        <f t="shared" si="43"/>
        <v>5500000</v>
      </c>
      <c r="AB101" s="38">
        <f t="shared" si="44"/>
        <v>1069444</v>
      </c>
      <c r="AC101" s="38">
        <f t="shared" si="45"/>
        <v>4430556</v>
      </c>
      <c r="AE101" s="73"/>
      <c r="AF101" s="73"/>
      <c r="AG101" s="73">
        <f>AB101-'P, Pl y Eq 2020'!AB98</f>
        <v>366666</v>
      </c>
      <c r="AH101" s="73"/>
      <c r="AI101" s="73"/>
      <c r="AJ101" s="180"/>
    </row>
    <row r="102" spans="1:36" s="67" customFormat="1">
      <c r="A102" s="72">
        <v>15200000</v>
      </c>
      <c r="B102" s="73" t="s">
        <v>20</v>
      </c>
      <c r="C102" s="68" t="s">
        <v>995</v>
      </c>
      <c r="D102" s="67">
        <v>1</v>
      </c>
      <c r="E102" s="61" t="s">
        <v>364</v>
      </c>
      <c r="F102" s="177"/>
      <c r="G102" s="177"/>
      <c r="H102" s="177"/>
      <c r="I102" s="177"/>
      <c r="J102" s="198">
        <v>43555</v>
      </c>
      <c r="K102" s="65" t="str">
        <f t="shared" si="47"/>
        <v>SI</v>
      </c>
      <c r="L102" s="139">
        <f t="shared" si="36"/>
        <v>11316244</v>
      </c>
      <c r="M102" s="67">
        <v>11316244</v>
      </c>
      <c r="N102" s="67">
        <v>11316244</v>
      </c>
      <c r="O102" s="139">
        <f t="shared" si="49"/>
        <v>11316244</v>
      </c>
      <c r="P102" s="72">
        <v>15921000</v>
      </c>
      <c r="Q102" s="73" t="s">
        <v>27</v>
      </c>
      <c r="R102" s="67">
        <v>0</v>
      </c>
      <c r="S102" s="67">
        <v>0</v>
      </c>
      <c r="T102" s="139">
        <f t="shared" si="50"/>
        <v>0</v>
      </c>
      <c r="U102" s="60">
        <f t="shared" si="51"/>
        <v>11316244</v>
      </c>
      <c r="V102" s="181">
        <v>25</v>
      </c>
      <c r="W102" s="116">
        <f>IF(ROUND(($W$27-J102)/30,0)&gt;(V102*12),(V102*12),(ROUND(($W$27-J102)/30,0)))-1</f>
        <v>33</v>
      </c>
      <c r="X102" s="116">
        <f t="shared" si="40"/>
        <v>267</v>
      </c>
      <c r="Y102" s="38">
        <f t="shared" si="41"/>
        <v>37720.813333333332</v>
      </c>
      <c r="Z102" s="38">
        <f t="shared" si="42"/>
        <v>1244786.8399999999</v>
      </c>
      <c r="AA102" s="38">
        <f t="shared" si="43"/>
        <v>11316244</v>
      </c>
      <c r="AB102" s="38">
        <f t="shared" si="44"/>
        <v>1244787</v>
      </c>
      <c r="AC102" s="38">
        <f t="shared" si="45"/>
        <v>10071457</v>
      </c>
      <c r="AE102" s="73"/>
      <c r="AF102" s="73"/>
      <c r="AG102" s="73">
        <f>AB102-'P, Pl y Eq 2020'!AB99</f>
        <v>452650</v>
      </c>
      <c r="AH102" s="73"/>
      <c r="AI102" s="73"/>
      <c r="AJ102" s="180"/>
    </row>
    <row r="103" spans="1:36" s="67" customFormat="1">
      <c r="A103" s="72">
        <v>15200000</v>
      </c>
      <c r="B103" s="73" t="s">
        <v>20</v>
      </c>
      <c r="C103" s="68" t="s">
        <v>995</v>
      </c>
      <c r="D103" s="67">
        <v>1</v>
      </c>
      <c r="E103" s="61" t="s">
        <v>364</v>
      </c>
      <c r="F103" s="177"/>
      <c r="G103" s="177"/>
      <c r="H103" s="177"/>
      <c r="I103" s="177"/>
      <c r="J103" s="198">
        <v>43555</v>
      </c>
      <c r="K103" s="65" t="str">
        <f t="shared" si="47"/>
        <v>SI</v>
      </c>
      <c r="L103" s="139">
        <f t="shared" si="36"/>
        <v>5812531.2000000002</v>
      </c>
      <c r="M103" s="67">
        <v>5812531.2000000002</v>
      </c>
      <c r="N103" s="67">
        <v>5812531.2000000002</v>
      </c>
      <c r="O103" s="139">
        <f t="shared" si="49"/>
        <v>5812531.2000000002</v>
      </c>
      <c r="P103" s="72">
        <v>15921000</v>
      </c>
      <c r="Q103" s="73" t="s">
        <v>27</v>
      </c>
      <c r="R103" s="67">
        <v>0</v>
      </c>
      <c r="S103" s="67">
        <v>0</v>
      </c>
      <c r="T103" s="139">
        <f t="shared" si="50"/>
        <v>0</v>
      </c>
      <c r="U103" s="60">
        <f t="shared" si="51"/>
        <v>5812531.2000000002</v>
      </c>
      <c r="V103" s="181">
        <v>25</v>
      </c>
      <c r="W103" s="116">
        <f t="shared" ref="W103:W116" si="52">IF(ROUND(($W$27-J103)/30,0)&gt;(V103*12),(V103*12),(ROUND(($W$27-J103)/30,0)))-1</f>
        <v>33</v>
      </c>
      <c r="X103" s="116">
        <f t="shared" si="40"/>
        <v>267</v>
      </c>
      <c r="Y103" s="38">
        <f t="shared" si="41"/>
        <v>19375.103999999999</v>
      </c>
      <c r="Z103" s="38">
        <f t="shared" si="42"/>
        <v>639378.43200000003</v>
      </c>
      <c r="AA103" s="38">
        <f t="shared" si="43"/>
        <v>5812531</v>
      </c>
      <c r="AB103" s="38">
        <f t="shared" si="44"/>
        <v>639378</v>
      </c>
      <c r="AC103" s="38">
        <f t="shared" si="45"/>
        <v>5173153</v>
      </c>
      <c r="AG103" s="73">
        <f>AB103-'P, Pl y Eq 2020'!AB100</f>
        <v>232501</v>
      </c>
      <c r="AH103" s="73"/>
      <c r="AI103" s="73"/>
      <c r="AJ103" s="180"/>
    </row>
    <row r="104" spans="1:36" s="67" customFormat="1">
      <c r="A104" s="72">
        <v>15200000</v>
      </c>
      <c r="B104" s="73" t="s">
        <v>20</v>
      </c>
      <c r="C104" s="68" t="s">
        <v>995</v>
      </c>
      <c r="D104" s="67">
        <v>1</v>
      </c>
      <c r="E104" s="61" t="s">
        <v>364</v>
      </c>
      <c r="F104" s="177"/>
      <c r="G104" s="177"/>
      <c r="H104" s="177"/>
      <c r="I104" s="177"/>
      <c r="J104" s="198">
        <v>43555</v>
      </c>
      <c r="K104" s="65" t="str">
        <f t="shared" si="47"/>
        <v>SI</v>
      </c>
      <c r="L104" s="139">
        <f t="shared" si="36"/>
        <v>9901713.5</v>
      </c>
      <c r="M104" s="67">
        <v>9901713.5</v>
      </c>
      <c r="N104" s="67">
        <v>9901713.5</v>
      </c>
      <c r="O104" s="139">
        <f t="shared" si="49"/>
        <v>9901713.5</v>
      </c>
      <c r="P104" s="72">
        <v>15921000</v>
      </c>
      <c r="Q104" s="73" t="s">
        <v>27</v>
      </c>
      <c r="R104" s="67">
        <v>0</v>
      </c>
      <c r="S104" s="67">
        <v>0</v>
      </c>
      <c r="T104" s="139">
        <f t="shared" si="50"/>
        <v>0</v>
      </c>
      <c r="U104" s="60">
        <f t="shared" si="51"/>
        <v>9901713.5</v>
      </c>
      <c r="V104" s="181">
        <v>25</v>
      </c>
      <c r="W104" s="116">
        <f t="shared" si="52"/>
        <v>33</v>
      </c>
      <c r="X104" s="116">
        <f t="shared" si="40"/>
        <v>267</v>
      </c>
      <c r="Y104" s="38">
        <f t="shared" si="41"/>
        <v>33005.71166666667</v>
      </c>
      <c r="Z104" s="38">
        <f t="shared" si="42"/>
        <v>1089188.4850000001</v>
      </c>
      <c r="AA104" s="38">
        <f t="shared" si="43"/>
        <v>9901714</v>
      </c>
      <c r="AB104" s="38">
        <f t="shared" si="44"/>
        <v>1089188</v>
      </c>
      <c r="AC104" s="38">
        <f t="shared" si="45"/>
        <v>8812526</v>
      </c>
      <c r="AE104" s="73"/>
      <c r="AF104" s="73"/>
      <c r="AG104" s="73">
        <f>AB104-'P, Pl y Eq 2020'!AB101</f>
        <v>396068</v>
      </c>
      <c r="AH104" s="73"/>
      <c r="AI104" s="73"/>
      <c r="AJ104" s="180"/>
    </row>
    <row r="105" spans="1:36" s="67" customFormat="1">
      <c r="A105" s="72">
        <v>15200000</v>
      </c>
      <c r="B105" s="73" t="s">
        <v>20</v>
      </c>
      <c r="C105" s="68" t="s">
        <v>995</v>
      </c>
      <c r="D105" s="67">
        <v>1</v>
      </c>
      <c r="E105" s="61" t="s">
        <v>364</v>
      </c>
      <c r="F105" s="177"/>
      <c r="G105" s="177"/>
      <c r="H105" s="177"/>
      <c r="I105" s="177"/>
      <c r="J105" s="198">
        <v>43555</v>
      </c>
      <c r="K105" s="65" t="str">
        <f t="shared" si="47"/>
        <v>SI</v>
      </c>
      <c r="L105" s="139">
        <f t="shared" si="36"/>
        <v>5085964.8</v>
      </c>
      <c r="M105" s="67">
        <v>5085964.8</v>
      </c>
      <c r="N105" s="67">
        <v>5085964.8</v>
      </c>
      <c r="O105" s="139">
        <f t="shared" si="49"/>
        <v>5085964.8</v>
      </c>
      <c r="P105" s="72">
        <v>15921000</v>
      </c>
      <c r="Q105" s="73" t="s">
        <v>27</v>
      </c>
      <c r="R105" s="67">
        <v>0</v>
      </c>
      <c r="S105" s="67">
        <v>0</v>
      </c>
      <c r="T105" s="139">
        <f t="shared" si="50"/>
        <v>0</v>
      </c>
      <c r="U105" s="60">
        <f t="shared" si="51"/>
        <v>5085964.8</v>
      </c>
      <c r="V105" s="181">
        <v>25</v>
      </c>
      <c r="W105" s="116">
        <f t="shared" si="52"/>
        <v>33</v>
      </c>
      <c r="X105" s="116">
        <f t="shared" si="40"/>
        <v>267</v>
      </c>
      <c r="Y105" s="38">
        <f t="shared" si="41"/>
        <v>16953.216</v>
      </c>
      <c r="Z105" s="38">
        <f t="shared" si="42"/>
        <v>559456.12800000003</v>
      </c>
      <c r="AA105" s="38">
        <f t="shared" si="43"/>
        <v>5085965</v>
      </c>
      <c r="AB105" s="38">
        <f t="shared" si="44"/>
        <v>559456</v>
      </c>
      <c r="AC105" s="38">
        <f t="shared" si="45"/>
        <v>4526509</v>
      </c>
      <c r="AG105" s="73">
        <f>AB105-'P, Pl y Eq 2020'!AB102</f>
        <v>203438</v>
      </c>
      <c r="AH105" s="73"/>
      <c r="AI105" s="73"/>
      <c r="AJ105" s="180"/>
    </row>
    <row r="106" spans="1:36" s="67" customFormat="1">
      <c r="A106" s="72">
        <v>15200000</v>
      </c>
      <c r="B106" s="73" t="s">
        <v>20</v>
      </c>
      <c r="C106" s="68" t="s">
        <v>995</v>
      </c>
      <c r="D106" s="67">
        <v>1</v>
      </c>
      <c r="E106" s="61" t="s">
        <v>364</v>
      </c>
      <c r="F106" s="177"/>
      <c r="G106" s="177"/>
      <c r="H106" s="177"/>
      <c r="I106" s="177"/>
      <c r="J106" s="198">
        <v>43555</v>
      </c>
      <c r="K106" s="65" t="str">
        <f t="shared" si="47"/>
        <v>SI</v>
      </c>
      <c r="L106" s="139">
        <f t="shared" si="36"/>
        <v>9901713.5</v>
      </c>
      <c r="M106" s="67">
        <v>9901713.5</v>
      </c>
      <c r="N106" s="67">
        <v>9901713.5</v>
      </c>
      <c r="O106" s="139">
        <f t="shared" si="49"/>
        <v>9901713.5</v>
      </c>
      <c r="P106" s="72">
        <v>15921000</v>
      </c>
      <c r="Q106" s="73" t="s">
        <v>27</v>
      </c>
      <c r="R106" s="67">
        <v>0</v>
      </c>
      <c r="S106" s="67">
        <v>0</v>
      </c>
      <c r="T106" s="139">
        <f t="shared" si="50"/>
        <v>0</v>
      </c>
      <c r="U106" s="60">
        <f t="shared" si="51"/>
        <v>9901713.5</v>
      </c>
      <c r="V106" s="181">
        <v>25</v>
      </c>
      <c r="W106" s="116">
        <f t="shared" si="52"/>
        <v>33</v>
      </c>
      <c r="X106" s="116">
        <f t="shared" si="40"/>
        <v>267</v>
      </c>
      <c r="Y106" s="38">
        <f t="shared" si="41"/>
        <v>33005.71166666667</v>
      </c>
      <c r="Z106" s="38">
        <f t="shared" si="42"/>
        <v>1089188.4850000001</v>
      </c>
      <c r="AA106" s="38">
        <f t="shared" si="43"/>
        <v>9901714</v>
      </c>
      <c r="AB106" s="38">
        <f t="shared" si="44"/>
        <v>1089188</v>
      </c>
      <c r="AC106" s="38">
        <f t="shared" si="45"/>
        <v>8812526</v>
      </c>
      <c r="AE106" s="73"/>
      <c r="AF106" s="73"/>
      <c r="AG106" s="73">
        <f>AB106-'P, Pl y Eq 2020'!AB103</f>
        <v>396068</v>
      </c>
      <c r="AH106" s="73"/>
      <c r="AI106" s="73"/>
      <c r="AJ106" s="180"/>
    </row>
    <row r="107" spans="1:36" s="67" customFormat="1">
      <c r="A107" s="72">
        <v>15200000</v>
      </c>
      <c r="B107" s="73" t="s">
        <v>20</v>
      </c>
      <c r="C107" s="68" t="s">
        <v>995</v>
      </c>
      <c r="D107" s="67">
        <v>1</v>
      </c>
      <c r="E107" s="61" t="s">
        <v>364</v>
      </c>
      <c r="F107" s="177"/>
      <c r="G107" s="177"/>
      <c r="H107" s="177"/>
      <c r="I107" s="177"/>
      <c r="J107" s="198">
        <v>43555</v>
      </c>
      <c r="K107" s="65" t="str">
        <f t="shared" si="47"/>
        <v>SI</v>
      </c>
      <c r="L107" s="139">
        <f t="shared" si="36"/>
        <v>5085964.8</v>
      </c>
      <c r="M107" s="67">
        <v>5085964.8</v>
      </c>
      <c r="N107" s="67">
        <v>5085964.8</v>
      </c>
      <c r="O107" s="139">
        <f t="shared" si="49"/>
        <v>5085964.8</v>
      </c>
      <c r="P107" s="72">
        <v>15921000</v>
      </c>
      <c r="Q107" s="73" t="s">
        <v>27</v>
      </c>
      <c r="R107" s="67">
        <v>0</v>
      </c>
      <c r="S107" s="67">
        <v>0</v>
      </c>
      <c r="T107" s="139">
        <f t="shared" si="50"/>
        <v>0</v>
      </c>
      <c r="U107" s="60">
        <f t="shared" si="51"/>
        <v>5085964.8</v>
      </c>
      <c r="V107" s="181">
        <v>25</v>
      </c>
      <c r="W107" s="116">
        <f t="shared" si="52"/>
        <v>33</v>
      </c>
      <c r="X107" s="116">
        <f t="shared" si="40"/>
        <v>267</v>
      </c>
      <c r="Y107" s="38">
        <f t="shared" si="41"/>
        <v>16953.216</v>
      </c>
      <c r="Z107" s="38">
        <f t="shared" si="42"/>
        <v>559456.12800000003</v>
      </c>
      <c r="AA107" s="38">
        <f t="shared" si="43"/>
        <v>5085965</v>
      </c>
      <c r="AB107" s="38">
        <f t="shared" si="44"/>
        <v>559456</v>
      </c>
      <c r="AC107" s="38">
        <f t="shared" si="45"/>
        <v>4526509</v>
      </c>
      <c r="AG107" s="73">
        <f>AB107-'P, Pl y Eq 2020'!AB104</f>
        <v>203438</v>
      </c>
      <c r="AH107" s="73"/>
      <c r="AI107" s="73"/>
      <c r="AJ107" s="180"/>
    </row>
    <row r="108" spans="1:36" s="67" customFormat="1">
      <c r="A108" s="72">
        <v>15200000</v>
      </c>
      <c r="B108" s="73" t="s">
        <v>20</v>
      </c>
      <c r="C108" s="68" t="s">
        <v>995</v>
      </c>
      <c r="D108" s="67">
        <v>1</v>
      </c>
      <c r="E108" s="61" t="s">
        <v>364</v>
      </c>
      <c r="F108" s="177"/>
      <c r="G108" s="177"/>
      <c r="H108" s="177"/>
      <c r="I108" s="177"/>
      <c r="J108" s="198">
        <v>43555</v>
      </c>
      <c r="K108" s="65" t="str">
        <f t="shared" si="47"/>
        <v>SI</v>
      </c>
      <c r="L108" s="139">
        <f t="shared" si="36"/>
        <v>9901713.5</v>
      </c>
      <c r="M108" s="67">
        <v>9901713.5</v>
      </c>
      <c r="N108" s="67">
        <v>9901713.5</v>
      </c>
      <c r="O108" s="139">
        <f t="shared" si="49"/>
        <v>9901713.5</v>
      </c>
      <c r="P108" s="72">
        <v>15921000</v>
      </c>
      <c r="Q108" s="73" t="s">
        <v>27</v>
      </c>
      <c r="R108" s="67">
        <v>0</v>
      </c>
      <c r="S108" s="67">
        <v>0</v>
      </c>
      <c r="T108" s="139">
        <f t="shared" si="50"/>
        <v>0</v>
      </c>
      <c r="U108" s="60">
        <f t="shared" si="51"/>
        <v>9901713.5</v>
      </c>
      <c r="V108" s="181">
        <v>25</v>
      </c>
      <c r="W108" s="116">
        <f t="shared" si="52"/>
        <v>33</v>
      </c>
      <c r="X108" s="116">
        <f t="shared" si="40"/>
        <v>267</v>
      </c>
      <c r="Y108" s="38">
        <f t="shared" si="41"/>
        <v>33005.71166666667</v>
      </c>
      <c r="Z108" s="38">
        <f t="shared" si="42"/>
        <v>1089188.4850000001</v>
      </c>
      <c r="AA108" s="38">
        <f t="shared" si="43"/>
        <v>9901714</v>
      </c>
      <c r="AB108" s="38">
        <f t="shared" si="44"/>
        <v>1089188</v>
      </c>
      <c r="AC108" s="38">
        <f t="shared" si="45"/>
        <v>8812526</v>
      </c>
      <c r="AE108" s="73"/>
      <c r="AF108" s="73"/>
      <c r="AG108" s="73">
        <f>AB108-'P, Pl y Eq 2020'!AB105</f>
        <v>396068</v>
      </c>
      <c r="AH108" s="73"/>
      <c r="AI108" s="73"/>
      <c r="AJ108" s="180"/>
    </row>
    <row r="109" spans="1:36" s="67" customFormat="1">
      <c r="A109" s="72">
        <v>15200000</v>
      </c>
      <c r="B109" s="73" t="s">
        <v>20</v>
      </c>
      <c r="C109" s="68" t="s">
        <v>995</v>
      </c>
      <c r="D109" s="67">
        <v>1</v>
      </c>
      <c r="E109" s="61" t="s">
        <v>364</v>
      </c>
      <c r="F109" s="177"/>
      <c r="G109" s="177"/>
      <c r="H109" s="177"/>
      <c r="I109" s="177"/>
      <c r="J109" s="198">
        <v>43555</v>
      </c>
      <c r="K109" s="65" t="str">
        <f t="shared" si="47"/>
        <v>SI</v>
      </c>
      <c r="L109" s="139">
        <f t="shared" si="36"/>
        <v>5085964.8</v>
      </c>
      <c r="M109" s="67">
        <v>5085964.8</v>
      </c>
      <c r="N109" s="67">
        <v>5085964.8</v>
      </c>
      <c r="O109" s="139">
        <f t="shared" si="49"/>
        <v>5085964.8</v>
      </c>
      <c r="P109" s="72">
        <v>15921000</v>
      </c>
      <c r="Q109" s="73" t="s">
        <v>27</v>
      </c>
      <c r="R109" s="67">
        <v>0</v>
      </c>
      <c r="S109" s="67">
        <v>0</v>
      </c>
      <c r="T109" s="139">
        <f t="shared" si="50"/>
        <v>0</v>
      </c>
      <c r="U109" s="60">
        <f t="shared" si="51"/>
        <v>5085964.8</v>
      </c>
      <c r="V109" s="181">
        <v>25</v>
      </c>
      <c r="W109" s="116">
        <f t="shared" si="52"/>
        <v>33</v>
      </c>
      <c r="X109" s="116">
        <f t="shared" si="40"/>
        <v>267</v>
      </c>
      <c r="Y109" s="38">
        <f t="shared" si="41"/>
        <v>16953.216</v>
      </c>
      <c r="Z109" s="38">
        <f t="shared" si="42"/>
        <v>559456.12800000003</v>
      </c>
      <c r="AA109" s="38">
        <f t="shared" si="43"/>
        <v>5085965</v>
      </c>
      <c r="AB109" s="38">
        <f t="shared" si="44"/>
        <v>559456</v>
      </c>
      <c r="AC109" s="38">
        <f t="shared" si="45"/>
        <v>4526509</v>
      </c>
      <c r="AG109" s="73">
        <f>AB109-'P, Pl y Eq 2020'!AB106</f>
        <v>203438</v>
      </c>
      <c r="AH109" s="73"/>
      <c r="AI109" s="73"/>
      <c r="AJ109" s="180"/>
    </row>
    <row r="110" spans="1:36" s="67" customFormat="1">
      <c r="A110" s="72">
        <v>15200000</v>
      </c>
      <c r="B110" s="73" t="s">
        <v>20</v>
      </c>
      <c r="C110" s="68" t="s">
        <v>995</v>
      </c>
      <c r="D110" s="67">
        <v>1</v>
      </c>
      <c r="E110" s="61" t="s">
        <v>364</v>
      </c>
      <c r="F110" s="177"/>
      <c r="G110" s="177"/>
      <c r="H110" s="177"/>
      <c r="I110" s="177"/>
      <c r="J110" s="198">
        <v>43555</v>
      </c>
      <c r="K110" s="65" t="str">
        <f t="shared" si="47"/>
        <v>SI</v>
      </c>
      <c r="L110" s="139">
        <f t="shared" si="36"/>
        <v>9901713.5</v>
      </c>
      <c r="M110" s="67">
        <v>9901713.5</v>
      </c>
      <c r="N110" s="67">
        <v>9901713.5</v>
      </c>
      <c r="O110" s="139">
        <f t="shared" si="49"/>
        <v>9901713.5</v>
      </c>
      <c r="P110" s="72">
        <v>15921000</v>
      </c>
      <c r="Q110" s="73" t="s">
        <v>27</v>
      </c>
      <c r="R110" s="67">
        <v>0</v>
      </c>
      <c r="S110" s="67">
        <v>0</v>
      </c>
      <c r="T110" s="139">
        <f t="shared" si="50"/>
        <v>0</v>
      </c>
      <c r="U110" s="60">
        <f t="shared" si="51"/>
        <v>9901713.5</v>
      </c>
      <c r="V110" s="181">
        <v>25</v>
      </c>
      <c r="W110" s="116">
        <f t="shared" si="52"/>
        <v>33</v>
      </c>
      <c r="X110" s="116">
        <f t="shared" si="40"/>
        <v>267</v>
      </c>
      <c r="Y110" s="38">
        <f t="shared" si="41"/>
        <v>33005.71166666667</v>
      </c>
      <c r="Z110" s="38">
        <f t="shared" si="42"/>
        <v>1089188.4850000001</v>
      </c>
      <c r="AA110" s="38">
        <f t="shared" si="43"/>
        <v>9901714</v>
      </c>
      <c r="AB110" s="38">
        <f t="shared" si="44"/>
        <v>1089188</v>
      </c>
      <c r="AC110" s="38">
        <f t="shared" si="45"/>
        <v>8812526</v>
      </c>
      <c r="AE110" s="73"/>
      <c r="AF110" s="73"/>
      <c r="AG110" s="73">
        <f>AB110-'P, Pl y Eq 2020'!AB107</f>
        <v>396068</v>
      </c>
      <c r="AH110" s="73"/>
      <c r="AI110" s="73"/>
      <c r="AJ110" s="180"/>
    </row>
    <row r="111" spans="1:36" s="67" customFormat="1">
      <c r="A111" s="72">
        <v>15200000</v>
      </c>
      <c r="B111" s="73" t="s">
        <v>20</v>
      </c>
      <c r="C111" s="68" t="s">
        <v>995</v>
      </c>
      <c r="D111" s="67">
        <v>1</v>
      </c>
      <c r="E111" s="61" t="s">
        <v>364</v>
      </c>
      <c r="F111" s="177"/>
      <c r="G111" s="177"/>
      <c r="H111" s="177"/>
      <c r="I111" s="177"/>
      <c r="J111" s="198">
        <v>43555</v>
      </c>
      <c r="K111" s="65" t="str">
        <f t="shared" si="47"/>
        <v>SI</v>
      </c>
      <c r="L111" s="139">
        <f t="shared" si="36"/>
        <v>5085964.8</v>
      </c>
      <c r="M111" s="67">
        <v>5085964.8</v>
      </c>
      <c r="N111" s="67">
        <v>5085964.8</v>
      </c>
      <c r="O111" s="139">
        <f t="shared" si="49"/>
        <v>5085964.8</v>
      </c>
      <c r="P111" s="72">
        <v>15921000</v>
      </c>
      <c r="Q111" s="73" t="s">
        <v>27</v>
      </c>
      <c r="R111" s="67">
        <v>0</v>
      </c>
      <c r="S111" s="67">
        <v>0</v>
      </c>
      <c r="T111" s="139">
        <f t="shared" si="50"/>
        <v>0</v>
      </c>
      <c r="U111" s="60">
        <f t="shared" si="51"/>
        <v>5085964.8</v>
      </c>
      <c r="V111" s="181">
        <v>25</v>
      </c>
      <c r="W111" s="116">
        <f t="shared" si="52"/>
        <v>33</v>
      </c>
      <c r="X111" s="116">
        <f t="shared" si="40"/>
        <v>267</v>
      </c>
      <c r="Y111" s="38">
        <f t="shared" si="41"/>
        <v>16953.216</v>
      </c>
      <c r="Z111" s="38">
        <f t="shared" si="42"/>
        <v>559456.12800000003</v>
      </c>
      <c r="AA111" s="38">
        <f t="shared" si="43"/>
        <v>5085965</v>
      </c>
      <c r="AB111" s="38">
        <f t="shared" si="44"/>
        <v>559456</v>
      </c>
      <c r="AC111" s="38">
        <f t="shared" si="45"/>
        <v>4526509</v>
      </c>
      <c r="AG111" s="73">
        <f>AB111-'P, Pl y Eq 2020'!AB108</f>
        <v>203438</v>
      </c>
      <c r="AH111" s="73"/>
      <c r="AI111" s="73"/>
      <c r="AJ111" s="180"/>
    </row>
    <row r="112" spans="1:36" s="67" customFormat="1">
      <c r="A112" s="72">
        <v>15200000</v>
      </c>
      <c r="B112" s="73" t="s">
        <v>20</v>
      </c>
      <c r="C112" s="68" t="s">
        <v>995</v>
      </c>
      <c r="D112" s="67">
        <v>1</v>
      </c>
      <c r="E112" s="61" t="s">
        <v>364</v>
      </c>
      <c r="F112" s="177"/>
      <c r="G112" s="177"/>
      <c r="H112" s="177"/>
      <c r="I112" s="177"/>
      <c r="J112" s="198">
        <v>43555</v>
      </c>
      <c r="K112" s="65" t="str">
        <f t="shared" si="47"/>
        <v>SI</v>
      </c>
      <c r="L112" s="139">
        <f t="shared" si="36"/>
        <v>9901713.5</v>
      </c>
      <c r="M112" s="67">
        <v>9901713.5</v>
      </c>
      <c r="N112" s="67">
        <v>9901713.5</v>
      </c>
      <c r="O112" s="139">
        <f t="shared" si="49"/>
        <v>9901713.5</v>
      </c>
      <c r="P112" s="72">
        <v>15921000</v>
      </c>
      <c r="Q112" s="73" t="s">
        <v>27</v>
      </c>
      <c r="R112" s="67">
        <v>0</v>
      </c>
      <c r="S112" s="67">
        <v>0</v>
      </c>
      <c r="T112" s="139">
        <f t="shared" si="50"/>
        <v>0</v>
      </c>
      <c r="U112" s="60">
        <f t="shared" si="51"/>
        <v>9901713.5</v>
      </c>
      <c r="V112" s="181">
        <v>25</v>
      </c>
      <c r="W112" s="116">
        <f t="shared" si="52"/>
        <v>33</v>
      </c>
      <c r="X112" s="116">
        <f t="shared" ref="X112:X175" si="53">(V112*12)-W112</f>
        <v>267</v>
      </c>
      <c r="Y112" s="38">
        <f t="shared" ref="Y112:Y175" si="54">N112/(V112*12)</f>
        <v>33005.71166666667</v>
      </c>
      <c r="Z112" s="38">
        <f t="shared" ref="Z112:Z175" si="55">IF(U112&gt;0,W112*Y112,0)</f>
        <v>1089188.4850000001</v>
      </c>
      <c r="AA112" s="38">
        <f t="shared" ref="AA112:AA175" si="56">ROUND(IF(U112&gt;0,N112,0),0)</f>
        <v>9901714</v>
      </c>
      <c r="AB112" s="38">
        <f t="shared" ref="AB112:AB175" si="57">ROUND(IF(U112&gt;0,Z112,0),0)</f>
        <v>1089188</v>
      </c>
      <c r="AC112" s="38">
        <f t="shared" ref="AC112:AC175" si="58">AA112-AB112</f>
        <v>8812526</v>
      </c>
      <c r="AE112" s="73"/>
      <c r="AF112" s="73"/>
      <c r="AG112" s="73">
        <f>AB112-'P, Pl y Eq 2020'!AB109</f>
        <v>396068</v>
      </c>
      <c r="AH112" s="73"/>
      <c r="AI112" s="73"/>
      <c r="AJ112" s="180"/>
    </row>
    <row r="113" spans="1:36" s="67" customFormat="1">
      <c r="A113" s="72">
        <v>15200000</v>
      </c>
      <c r="B113" s="73" t="s">
        <v>20</v>
      </c>
      <c r="C113" s="68" t="s">
        <v>995</v>
      </c>
      <c r="D113" s="67">
        <v>1</v>
      </c>
      <c r="E113" s="61" t="s">
        <v>364</v>
      </c>
      <c r="F113" s="177"/>
      <c r="G113" s="177"/>
      <c r="H113" s="177"/>
      <c r="I113" s="177"/>
      <c r="J113" s="198">
        <v>43555</v>
      </c>
      <c r="K113" s="65" t="str">
        <f t="shared" si="47"/>
        <v>SI</v>
      </c>
      <c r="L113" s="139">
        <f t="shared" si="36"/>
        <v>5085964.8</v>
      </c>
      <c r="M113" s="67">
        <v>5085964.8</v>
      </c>
      <c r="N113" s="67">
        <v>5085964.8</v>
      </c>
      <c r="O113" s="139">
        <f t="shared" si="49"/>
        <v>5085964.8</v>
      </c>
      <c r="P113" s="72">
        <v>15921000</v>
      </c>
      <c r="Q113" s="73" t="s">
        <v>27</v>
      </c>
      <c r="R113" s="67">
        <v>0</v>
      </c>
      <c r="S113" s="67">
        <v>0</v>
      </c>
      <c r="T113" s="139">
        <f t="shared" si="50"/>
        <v>0</v>
      </c>
      <c r="U113" s="60">
        <f t="shared" si="51"/>
        <v>5085964.8</v>
      </c>
      <c r="V113" s="181">
        <v>25</v>
      </c>
      <c r="W113" s="116">
        <f t="shared" si="52"/>
        <v>33</v>
      </c>
      <c r="X113" s="116">
        <f t="shared" si="53"/>
        <v>267</v>
      </c>
      <c r="Y113" s="38">
        <f t="shared" si="54"/>
        <v>16953.216</v>
      </c>
      <c r="Z113" s="38">
        <f t="shared" si="55"/>
        <v>559456.12800000003</v>
      </c>
      <c r="AA113" s="38">
        <f t="shared" si="56"/>
        <v>5085965</v>
      </c>
      <c r="AB113" s="38">
        <f t="shared" si="57"/>
        <v>559456</v>
      </c>
      <c r="AC113" s="38">
        <f t="shared" si="58"/>
        <v>4526509</v>
      </c>
      <c r="AG113" s="73">
        <f>AB113-'P, Pl y Eq 2020'!AB110</f>
        <v>203438</v>
      </c>
      <c r="AH113" s="73"/>
      <c r="AI113" s="73"/>
      <c r="AJ113" s="180"/>
    </row>
    <row r="114" spans="1:36" s="67" customFormat="1">
      <c r="A114" s="72">
        <v>15200000</v>
      </c>
      <c r="B114" s="73" t="s">
        <v>20</v>
      </c>
      <c r="C114" s="68" t="s">
        <v>995</v>
      </c>
      <c r="D114" s="67">
        <v>1</v>
      </c>
      <c r="E114" s="61" t="s">
        <v>364</v>
      </c>
      <c r="F114" s="177"/>
      <c r="G114" s="177"/>
      <c r="H114" s="177"/>
      <c r="I114" s="177"/>
      <c r="J114" s="198">
        <v>43555</v>
      </c>
      <c r="K114" s="65" t="str">
        <f t="shared" si="47"/>
        <v>SI</v>
      </c>
      <c r="L114" s="139">
        <f t="shared" si="36"/>
        <v>9901713.5</v>
      </c>
      <c r="M114" s="67">
        <v>9901713.5</v>
      </c>
      <c r="N114" s="67">
        <v>9901713.5</v>
      </c>
      <c r="O114" s="139">
        <f t="shared" si="49"/>
        <v>9901713.5</v>
      </c>
      <c r="P114" s="72">
        <v>15921000</v>
      </c>
      <c r="Q114" s="73" t="s">
        <v>27</v>
      </c>
      <c r="R114" s="67">
        <v>0</v>
      </c>
      <c r="S114" s="67">
        <v>0</v>
      </c>
      <c r="T114" s="139">
        <f t="shared" si="50"/>
        <v>0</v>
      </c>
      <c r="U114" s="60">
        <f t="shared" si="51"/>
        <v>9901713.5</v>
      </c>
      <c r="V114" s="181">
        <v>25</v>
      </c>
      <c r="W114" s="116">
        <f t="shared" si="52"/>
        <v>33</v>
      </c>
      <c r="X114" s="116">
        <f t="shared" si="53"/>
        <v>267</v>
      </c>
      <c r="Y114" s="38">
        <f t="shared" si="54"/>
        <v>33005.71166666667</v>
      </c>
      <c r="Z114" s="38">
        <f t="shared" si="55"/>
        <v>1089188.4850000001</v>
      </c>
      <c r="AA114" s="38">
        <f t="shared" si="56"/>
        <v>9901714</v>
      </c>
      <c r="AB114" s="38">
        <f t="shared" si="57"/>
        <v>1089188</v>
      </c>
      <c r="AC114" s="38">
        <f t="shared" si="58"/>
        <v>8812526</v>
      </c>
      <c r="AE114" s="73"/>
      <c r="AF114" s="73"/>
      <c r="AG114" s="73">
        <f>AB114-'P, Pl y Eq 2020'!AB111</f>
        <v>396068</v>
      </c>
      <c r="AH114" s="73"/>
      <c r="AI114" s="73"/>
      <c r="AJ114" s="180"/>
    </row>
    <row r="115" spans="1:36" s="67" customFormat="1">
      <c r="A115" s="72">
        <v>15200000</v>
      </c>
      <c r="B115" s="73" t="s">
        <v>20</v>
      </c>
      <c r="C115" s="68" t="s">
        <v>995</v>
      </c>
      <c r="D115" s="67">
        <v>1</v>
      </c>
      <c r="E115" s="61" t="s">
        <v>364</v>
      </c>
      <c r="F115" s="177"/>
      <c r="G115" s="177"/>
      <c r="H115" s="177"/>
      <c r="I115" s="177"/>
      <c r="J115" s="198">
        <v>43555</v>
      </c>
      <c r="K115" s="65" t="str">
        <f t="shared" si="47"/>
        <v>SI</v>
      </c>
      <c r="L115" s="139">
        <f t="shared" si="36"/>
        <v>5085964.8</v>
      </c>
      <c r="M115" s="67">
        <v>5085964.8</v>
      </c>
      <c r="N115" s="67">
        <v>5085964.8</v>
      </c>
      <c r="O115" s="139">
        <f t="shared" si="49"/>
        <v>5085964.8</v>
      </c>
      <c r="P115" s="72">
        <v>15921000</v>
      </c>
      <c r="Q115" s="73" t="s">
        <v>27</v>
      </c>
      <c r="R115" s="67">
        <v>0</v>
      </c>
      <c r="S115" s="67">
        <v>0</v>
      </c>
      <c r="T115" s="139">
        <f t="shared" si="50"/>
        <v>0</v>
      </c>
      <c r="U115" s="60">
        <f t="shared" si="51"/>
        <v>5085964.8</v>
      </c>
      <c r="V115" s="181">
        <v>25</v>
      </c>
      <c r="W115" s="116">
        <f t="shared" si="52"/>
        <v>33</v>
      </c>
      <c r="X115" s="116">
        <f t="shared" si="53"/>
        <v>267</v>
      </c>
      <c r="Y115" s="38">
        <f t="shared" si="54"/>
        <v>16953.216</v>
      </c>
      <c r="Z115" s="38">
        <f t="shared" si="55"/>
        <v>559456.12800000003</v>
      </c>
      <c r="AA115" s="38">
        <f t="shared" si="56"/>
        <v>5085965</v>
      </c>
      <c r="AB115" s="38">
        <f t="shared" si="57"/>
        <v>559456</v>
      </c>
      <c r="AC115" s="38">
        <f t="shared" si="58"/>
        <v>4526509</v>
      </c>
      <c r="AG115" s="73">
        <f>AB115-'P, Pl y Eq 2020'!AB112</f>
        <v>203438</v>
      </c>
      <c r="AH115" s="73"/>
      <c r="AI115" s="73"/>
      <c r="AJ115" s="180"/>
    </row>
    <row r="116" spans="1:36" s="67" customFormat="1">
      <c r="A116" s="72">
        <v>15200000</v>
      </c>
      <c r="B116" s="73" t="s">
        <v>20</v>
      </c>
      <c r="C116" s="68" t="s">
        <v>995</v>
      </c>
      <c r="D116" s="67">
        <v>1</v>
      </c>
      <c r="E116" s="61" t="s">
        <v>364</v>
      </c>
      <c r="F116" s="177"/>
      <c r="G116" s="177"/>
      <c r="H116" s="177"/>
      <c r="I116" s="177"/>
      <c r="J116" s="198">
        <v>43555</v>
      </c>
      <c r="K116" s="65" t="str">
        <f t="shared" si="47"/>
        <v>SI</v>
      </c>
      <c r="L116" s="139">
        <f t="shared" si="36"/>
        <v>13163542</v>
      </c>
      <c r="M116" s="67">
        <v>13163542</v>
      </c>
      <c r="N116" s="67">
        <v>13163542</v>
      </c>
      <c r="O116" s="139">
        <f t="shared" si="49"/>
        <v>13163542</v>
      </c>
      <c r="P116" s="72">
        <v>15921000</v>
      </c>
      <c r="Q116" s="73" t="s">
        <v>27</v>
      </c>
      <c r="R116" s="67">
        <v>0</v>
      </c>
      <c r="S116" s="67">
        <v>0</v>
      </c>
      <c r="T116" s="139">
        <f t="shared" si="50"/>
        <v>0</v>
      </c>
      <c r="U116" s="60">
        <f t="shared" si="51"/>
        <v>13163542</v>
      </c>
      <c r="V116" s="181">
        <v>15</v>
      </c>
      <c r="W116" s="116">
        <f t="shared" si="52"/>
        <v>33</v>
      </c>
      <c r="X116" s="116">
        <f t="shared" si="53"/>
        <v>147</v>
      </c>
      <c r="Y116" s="38">
        <f t="shared" si="54"/>
        <v>73130.788888888885</v>
      </c>
      <c r="Z116" s="38">
        <f t="shared" si="55"/>
        <v>2413316.0333333332</v>
      </c>
      <c r="AA116" s="38">
        <f t="shared" si="56"/>
        <v>13163542</v>
      </c>
      <c r="AB116" s="38">
        <f t="shared" si="57"/>
        <v>2413316</v>
      </c>
      <c r="AC116" s="38">
        <f t="shared" si="58"/>
        <v>10750226</v>
      </c>
      <c r="AE116" s="73"/>
      <c r="AF116" s="73"/>
      <c r="AG116" s="73">
        <f>AB116-'P, Pl y Eq 2020'!AB113</f>
        <v>877569</v>
      </c>
      <c r="AH116" s="73"/>
      <c r="AI116" s="73"/>
      <c r="AJ116" s="180"/>
    </row>
    <row r="117" spans="1:36" s="67" customFormat="1">
      <c r="A117" s="72">
        <v>15200000</v>
      </c>
      <c r="B117" s="73" t="s">
        <v>20</v>
      </c>
      <c r="C117" s="68" t="s">
        <v>995</v>
      </c>
      <c r="D117" s="67">
        <v>1</v>
      </c>
      <c r="E117" s="61" t="s">
        <v>364</v>
      </c>
      <c r="F117" s="177"/>
      <c r="G117" s="177"/>
      <c r="H117" s="177"/>
      <c r="I117" s="177"/>
      <c r="J117" s="198">
        <v>43617</v>
      </c>
      <c r="K117" s="65" t="str">
        <f t="shared" si="47"/>
        <v>SI</v>
      </c>
      <c r="L117" s="139">
        <f t="shared" si="36"/>
        <v>34894166.020000003</v>
      </c>
      <c r="M117" s="67">
        <v>34894166.020000003</v>
      </c>
      <c r="N117" s="67">
        <v>34894166.020000003</v>
      </c>
      <c r="O117" s="139">
        <f t="shared" si="49"/>
        <v>34894166.020000003</v>
      </c>
      <c r="P117" s="72">
        <v>15921000</v>
      </c>
      <c r="Q117" s="73" t="s">
        <v>27</v>
      </c>
      <c r="R117" s="67">
        <v>0</v>
      </c>
      <c r="S117" s="67">
        <v>0</v>
      </c>
      <c r="T117" s="139">
        <f t="shared" si="50"/>
        <v>0</v>
      </c>
      <c r="U117" s="60">
        <f t="shared" si="51"/>
        <v>34894166.020000003</v>
      </c>
      <c r="V117" s="199">
        <v>20</v>
      </c>
      <c r="W117" s="116">
        <f t="shared" si="48"/>
        <v>31</v>
      </c>
      <c r="X117" s="116">
        <f t="shared" si="53"/>
        <v>209</v>
      </c>
      <c r="Y117" s="38">
        <f t="shared" si="54"/>
        <v>145392.35841666668</v>
      </c>
      <c r="Z117" s="38">
        <f t="shared" si="55"/>
        <v>4507163.1109166676</v>
      </c>
      <c r="AA117" s="38">
        <f t="shared" si="56"/>
        <v>34894166</v>
      </c>
      <c r="AB117" s="38">
        <f t="shared" si="57"/>
        <v>4507163</v>
      </c>
      <c r="AC117" s="38">
        <f t="shared" si="58"/>
        <v>30387003</v>
      </c>
      <c r="AE117" s="73"/>
      <c r="AF117" s="73"/>
      <c r="AG117" s="73">
        <f>AB117-'P, Pl y Eq 2020'!AB114</f>
        <v>1744708</v>
      </c>
      <c r="AH117" s="73"/>
      <c r="AI117" s="73"/>
      <c r="AJ117" s="180"/>
    </row>
    <row r="118" spans="1:36" s="66" customFormat="1">
      <c r="A118" s="72">
        <v>15200000</v>
      </c>
      <c r="B118" s="73" t="s">
        <v>20</v>
      </c>
      <c r="C118" s="68" t="s">
        <v>995</v>
      </c>
      <c r="D118" s="67">
        <v>1</v>
      </c>
      <c r="E118" s="61" t="s">
        <v>364</v>
      </c>
      <c r="F118" s="177"/>
      <c r="G118" s="177"/>
      <c r="H118" s="177"/>
      <c r="I118" s="177"/>
      <c r="J118" s="198">
        <v>43617</v>
      </c>
      <c r="K118" s="65" t="str">
        <f t="shared" si="47"/>
        <v>SI</v>
      </c>
      <c r="L118" s="139">
        <f t="shared" si="36"/>
        <v>32714261.399999999</v>
      </c>
      <c r="M118" s="67">
        <v>32714261.399999999</v>
      </c>
      <c r="N118" s="67">
        <v>32714261.399999999</v>
      </c>
      <c r="O118" s="139">
        <f t="shared" si="49"/>
        <v>32714261.399999999</v>
      </c>
      <c r="P118" s="72">
        <v>15921000</v>
      </c>
      <c r="Q118" s="73" t="s">
        <v>27</v>
      </c>
      <c r="R118" s="67">
        <v>0</v>
      </c>
      <c r="S118" s="67">
        <v>0</v>
      </c>
      <c r="T118" s="139">
        <f t="shared" si="50"/>
        <v>0</v>
      </c>
      <c r="U118" s="60">
        <f t="shared" si="51"/>
        <v>32714261.399999999</v>
      </c>
      <c r="V118" s="199">
        <v>20</v>
      </c>
      <c r="W118" s="116">
        <f t="shared" si="48"/>
        <v>31</v>
      </c>
      <c r="X118" s="116">
        <f t="shared" si="53"/>
        <v>209</v>
      </c>
      <c r="Y118" s="38">
        <f t="shared" si="54"/>
        <v>136309.42249999999</v>
      </c>
      <c r="Z118" s="38">
        <f t="shared" si="55"/>
        <v>4225592.0974999992</v>
      </c>
      <c r="AA118" s="38">
        <f t="shared" si="56"/>
        <v>32714261</v>
      </c>
      <c r="AB118" s="38">
        <f t="shared" si="57"/>
        <v>4225592</v>
      </c>
      <c r="AC118" s="38">
        <f t="shared" si="58"/>
        <v>28488669</v>
      </c>
      <c r="AD118" s="67"/>
      <c r="AG118" s="73">
        <f>AB118-'P, Pl y Eq 2020'!AB115</f>
        <v>1635713</v>
      </c>
      <c r="AH118" s="73"/>
      <c r="AI118" s="73"/>
      <c r="AJ118" s="180"/>
    </row>
    <row r="119" spans="1:36" s="66" customFormat="1">
      <c r="A119" s="72">
        <v>15200000</v>
      </c>
      <c r="B119" s="73" t="s">
        <v>20</v>
      </c>
      <c r="C119" s="68" t="s">
        <v>995</v>
      </c>
      <c r="D119" s="67">
        <v>1</v>
      </c>
      <c r="E119" s="61" t="s">
        <v>364</v>
      </c>
      <c r="F119" s="177"/>
      <c r="G119" s="177"/>
      <c r="H119" s="177"/>
      <c r="I119" s="177"/>
      <c r="J119" s="198">
        <v>43617</v>
      </c>
      <c r="K119" s="65" t="str">
        <f t="shared" si="47"/>
        <v>SI</v>
      </c>
      <c r="L119" s="139">
        <f t="shared" si="36"/>
        <v>34894166.020000003</v>
      </c>
      <c r="M119" s="67">
        <v>34894166.020000003</v>
      </c>
      <c r="N119" s="67">
        <v>34894166.020000003</v>
      </c>
      <c r="O119" s="139">
        <f t="shared" si="49"/>
        <v>34894166.020000003</v>
      </c>
      <c r="P119" s="72">
        <v>15921000</v>
      </c>
      <c r="Q119" s="73" t="s">
        <v>27</v>
      </c>
      <c r="R119" s="67">
        <v>0</v>
      </c>
      <c r="S119" s="67">
        <v>0</v>
      </c>
      <c r="T119" s="139">
        <f t="shared" si="50"/>
        <v>0</v>
      </c>
      <c r="U119" s="60">
        <f t="shared" si="51"/>
        <v>34894166.020000003</v>
      </c>
      <c r="V119" s="199">
        <v>20</v>
      </c>
      <c r="W119" s="116">
        <f t="shared" si="48"/>
        <v>31</v>
      </c>
      <c r="X119" s="116">
        <f t="shared" si="53"/>
        <v>209</v>
      </c>
      <c r="Y119" s="38">
        <f t="shared" si="54"/>
        <v>145392.35841666668</v>
      </c>
      <c r="Z119" s="38">
        <f t="shared" si="55"/>
        <v>4507163.1109166676</v>
      </c>
      <c r="AA119" s="38">
        <f t="shared" si="56"/>
        <v>34894166</v>
      </c>
      <c r="AB119" s="38">
        <f t="shared" si="57"/>
        <v>4507163</v>
      </c>
      <c r="AC119" s="38">
        <f t="shared" si="58"/>
        <v>30387003</v>
      </c>
      <c r="AD119" s="67"/>
      <c r="AE119" s="73"/>
      <c r="AF119" s="73"/>
      <c r="AG119" s="73">
        <f>AB119-'P, Pl y Eq 2020'!AB116</f>
        <v>1744708</v>
      </c>
      <c r="AH119" s="73"/>
      <c r="AI119" s="73"/>
      <c r="AJ119" s="180"/>
    </row>
    <row r="120" spans="1:36" s="66" customFormat="1">
      <c r="A120" s="72">
        <v>15200000</v>
      </c>
      <c r="B120" s="73" t="s">
        <v>20</v>
      </c>
      <c r="C120" s="68" t="s">
        <v>995</v>
      </c>
      <c r="D120" s="67">
        <v>1</v>
      </c>
      <c r="E120" s="61" t="s">
        <v>364</v>
      </c>
      <c r="F120" s="177"/>
      <c r="G120" s="177"/>
      <c r="H120" s="177"/>
      <c r="I120" s="177"/>
      <c r="J120" s="198">
        <v>43617</v>
      </c>
      <c r="K120" s="65" t="str">
        <f t="shared" si="47"/>
        <v>SI</v>
      </c>
      <c r="L120" s="139">
        <f t="shared" si="36"/>
        <v>32714261.399999999</v>
      </c>
      <c r="M120" s="67">
        <v>32714261.399999999</v>
      </c>
      <c r="N120" s="67">
        <v>32714261.399999999</v>
      </c>
      <c r="O120" s="139">
        <f t="shared" si="49"/>
        <v>32714261.399999999</v>
      </c>
      <c r="P120" s="72">
        <v>15921000</v>
      </c>
      <c r="Q120" s="73" t="s">
        <v>27</v>
      </c>
      <c r="R120" s="67">
        <v>0</v>
      </c>
      <c r="S120" s="67">
        <v>0</v>
      </c>
      <c r="T120" s="139">
        <f t="shared" si="50"/>
        <v>0</v>
      </c>
      <c r="U120" s="60">
        <f t="shared" si="51"/>
        <v>32714261.399999999</v>
      </c>
      <c r="V120" s="199">
        <v>20</v>
      </c>
      <c r="W120" s="116">
        <f t="shared" si="48"/>
        <v>31</v>
      </c>
      <c r="X120" s="116">
        <f t="shared" si="53"/>
        <v>209</v>
      </c>
      <c r="Y120" s="38">
        <f t="shared" si="54"/>
        <v>136309.42249999999</v>
      </c>
      <c r="Z120" s="38">
        <f t="shared" si="55"/>
        <v>4225592.0974999992</v>
      </c>
      <c r="AA120" s="38">
        <f t="shared" si="56"/>
        <v>32714261</v>
      </c>
      <c r="AB120" s="38">
        <f t="shared" si="57"/>
        <v>4225592</v>
      </c>
      <c r="AC120" s="38">
        <f t="shared" si="58"/>
        <v>28488669</v>
      </c>
      <c r="AD120" s="67"/>
      <c r="AG120" s="73">
        <f>AB120-'P, Pl y Eq 2020'!AB117</f>
        <v>1635713</v>
      </c>
      <c r="AH120" s="73"/>
      <c r="AI120" s="73"/>
      <c r="AJ120" s="180"/>
    </row>
    <row r="121" spans="1:36" s="66" customFormat="1">
      <c r="A121" s="72">
        <v>15200000</v>
      </c>
      <c r="B121" s="73" t="s">
        <v>20</v>
      </c>
      <c r="C121" s="68" t="s">
        <v>995</v>
      </c>
      <c r="D121" s="67">
        <v>1</v>
      </c>
      <c r="E121" s="61" t="s">
        <v>364</v>
      </c>
      <c r="F121" s="177"/>
      <c r="G121" s="177"/>
      <c r="H121" s="177"/>
      <c r="I121" s="177"/>
      <c r="J121" s="198">
        <v>43617</v>
      </c>
      <c r="K121" s="65" t="str">
        <f t="shared" si="47"/>
        <v>SI</v>
      </c>
      <c r="L121" s="139">
        <f t="shared" si="36"/>
        <v>34894166.020000003</v>
      </c>
      <c r="M121" s="67">
        <v>34894166.020000003</v>
      </c>
      <c r="N121" s="67">
        <v>34894166.020000003</v>
      </c>
      <c r="O121" s="139">
        <f t="shared" si="49"/>
        <v>34894166.020000003</v>
      </c>
      <c r="P121" s="72">
        <v>15921000</v>
      </c>
      <c r="Q121" s="73" t="s">
        <v>27</v>
      </c>
      <c r="R121" s="67">
        <v>0</v>
      </c>
      <c r="S121" s="67">
        <v>0</v>
      </c>
      <c r="T121" s="139">
        <f t="shared" si="50"/>
        <v>0</v>
      </c>
      <c r="U121" s="60">
        <f t="shared" si="51"/>
        <v>34894166.020000003</v>
      </c>
      <c r="V121" s="199">
        <v>20</v>
      </c>
      <c r="W121" s="116">
        <f t="shared" si="48"/>
        <v>31</v>
      </c>
      <c r="X121" s="116">
        <f t="shared" si="53"/>
        <v>209</v>
      </c>
      <c r="Y121" s="38">
        <f t="shared" si="54"/>
        <v>145392.35841666668</v>
      </c>
      <c r="Z121" s="38">
        <f t="shared" si="55"/>
        <v>4507163.1109166676</v>
      </c>
      <c r="AA121" s="38">
        <f t="shared" si="56"/>
        <v>34894166</v>
      </c>
      <c r="AB121" s="38">
        <f t="shared" si="57"/>
        <v>4507163</v>
      </c>
      <c r="AC121" s="38">
        <f t="shared" si="58"/>
        <v>30387003</v>
      </c>
      <c r="AD121" s="67"/>
      <c r="AE121" s="73"/>
      <c r="AF121" s="73"/>
      <c r="AG121" s="73">
        <f>AB121-'P, Pl y Eq 2020'!AB118</f>
        <v>1744708</v>
      </c>
      <c r="AH121" s="73"/>
      <c r="AI121" s="73"/>
      <c r="AJ121" s="180"/>
    </row>
    <row r="122" spans="1:36" s="66" customFormat="1">
      <c r="A122" s="72">
        <v>15200000</v>
      </c>
      <c r="B122" s="73" t="s">
        <v>20</v>
      </c>
      <c r="C122" s="68" t="s">
        <v>995</v>
      </c>
      <c r="D122" s="67">
        <v>1</v>
      </c>
      <c r="E122" s="61" t="s">
        <v>364</v>
      </c>
      <c r="F122" s="177"/>
      <c r="G122" s="177"/>
      <c r="H122" s="177"/>
      <c r="I122" s="177"/>
      <c r="J122" s="198">
        <v>43617</v>
      </c>
      <c r="K122" s="65" t="str">
        <f t="shared" si="47"/>
        <v>SI</v>
      </c>
      <c r="L122" s="139">
        <f t="shared" si="36"/>
        <v>32714261.399999999</v>
      </c>
      <c r="M122" s="67">
        <v>32714261.399999999</v>
      </c>
      <c r="N122" s="67">
        <v>32714261.399999999</v>
      </c>
      <c r="O122" s="139">
        <f t="shared" si="49"/>
        <v>32714261.399999999</v>
      </c>
      <c r="P122" s="72">
        <v>15921000</v>
      </c>
      <c r="Q122" s="73" t="s">
        <v>27</v>
      </c>
      <c r="R122" s="67">
        <v>0</v>
      </c>
      <c r="S122" s="67">
        <v>0</v>
      </c>
      <c r="T122" s="139">
        <f t="shared" si="50"/>
        <v>0</v>
      </c>
      <c r="U122" s="60">
        <f t="shared" si="51"/>
        <v>32714261.399999999</v>
      </c>
      <c r="V122" s="199">
        <v>20</v>
      </c>
      <c r="W122" s="116">
        <f t="shared" si="48"/>
        <v>31</v>
      </c>
      <c r="X122" s="116">
        <f t="shared" si="53"/>
        <v>209</v>
      </c>
      <c r="Y122" s="38">
        <f t="shared" si="54"/>
        <v>136309.42249999999</v>
      </c>
      <c r="Z122" s="38">
        <f t="shared" si="55"/>
        <v>4225592.0974999992</v>
      </c>
      <c r="AA122" s="38">
        <f t="shared" si="56"/>
        <v>32714261</v>
      </c>
      <c r="AB122" s="38">
        <f t="shared" si="57"/>
        <v>4225592</v>
      </c>
      <c r="AC122" s="38">
        <f t="shared" si="58"/>
        <v>28488669</v>
      </c>
      <c r="AD122" s="67"/>
      <c r="AG122" s="73">
        <f>AB122-'P, Pl y Eq 2020'!AB119</f>
        <v>1635713</v>
      </c>
      <c r="AH122" s="73"/>
      <c r="AI122" s="73"/>
      <c r="AJ122" s="180"/>
    </row>
    <row r="123" spans="1:36" s="66" customFormat="1">
      <c r="A123" s="72">
        <v>15200000</v>
      </c>
      <c r="B123" s="73" t="s">
        <v>20</v>
      </c>
      <c r="C123" s="68" t="s">
        <v>995</v>
      </c>
      <c r="D123" s="67">
        <v>1</v>
      </c>
      <c r="E123" s="61" t="s">
        <v>364</v>
      </c>
      <c r="F123" s="177"/>
      <c r="G123" s="177"/>
      <c r="H123" s="177"/>
      <c r="I123" s="177"/>
      <c r="J123" s="198">
        <v>43617</v>
      </c>
      <c r="K123" s="65" t="str">
        <f t="shared" si="47"/>
        <v>SI</v>
      </c>
      <c r="L123" s="139">
        <f t="shared" si="36"/>
        <v>34894166.030000001</v>
      </c>
      <c r="M123" s="67">
        <v>34894166.030000001</v>
      </c>
      <c r="N123" s="67">
        <v>34894166.030000001</v>
      </c>
      <c r="O123" s="139">
        <f t="shared" si="49"/>
        <v>34894166.030000001</v>
      </c>
      <c r="P123" s="72">
        <v>15921000</v>
      </c>
      <c r="Q123" s="73" t="s">
        <v>27</v>
      </c>
      <c r="R123" s="67">
        <v>0</v>
      </c>
      <c r="S123" s="67">
        <v>0</v>
      </c>
      <c r="T123" s="139">
        <f t="shared" si="50"/>
        <v>0</v>
      </c>
      <c r="U123" s="60">
        <f t="shared" si="51"/>
        <v>34894166.030000001</v>
      </c>
      <c r="V123" s="199">
        <v>20</v>
      </c>
      <c r="W123" s="116">
        <f t="shared" si="48"/>
        <v>31</v>
      </c>
      <c r="X123" s="116">
        <f t="shared" si="53"/>
        <v>209</v>
      </c>
      <c r="Y123" s="38">
        <f t="shared" si="54"/>
        <v>145392.35845833333</v>
      </c>
      <c r="Z123" s="38">
        <f t="shared" si="55"/>
        <v>4507163.1122083329</v>
      </c>
      <c r="AA123" s="38">
        <f t="shared" si="56"/>
        <v>34894166</v>
      </c>
      <c r="AB123" s="38">
        <f t="shared" si="57"/>
        <v>4507163</v>
      </c>
      <c r="AC123" s="38">
        <f t="shared" si="58"/>
        <v>30387003</v>
      </c>
      <c r="AD123" s="67"/>
      <c r="AE123" s="73"/>
      <c r="AF123" s="73"/>
      <c r="AG123" s="73">
        <f>AB123-'P, Pl y Eq 2020'!AB120</f>
        <v>1744708</v>
      </c>
      <c r="AH123" s="73"/>
      <c r="AI123" s="73"/>
      <c r="AJ123" s="180"/>
    </row>
    <row r="124" spans="1:36" s="66" customFormat="1">
      <c r="A124" s="72">
        <v>15200000</v>
      </c>
      <c r="B124" s="73" t="s">
        <v>20</v>
      </c>
      <c r="C124" s="68" t="s">
        <v>995</v>
      </c>
      <c r="D124" s="67">
        <v>1</v>
      </c>
      <c r="E124" s="61" t="s">
        <v>364</v>
      </c>
      <c r="F124" s="177"/>
      <c r="G124" s="177"/>
      <c r="H124" s="177"/>
      <c r="I124" s="177"/>
      <c r="J124" s="198">
        <v>43617</v>
      </c>
      <c r="K124" s="65" t="str">
        <f t="shared" si="47"/>
        <v>SI</v>
      </c>
      <c r="L124" s="139">
        <f t="shared" si="36"/>
        <v>32714261.399999999</v>
      </c>
      <c r="M124" s="67">
        <v>32714261.399999999</v>
      </c>
      <c r="N124" s="67">
        <v>32714261.399999999</v>
      </c>
      <c r="O124" s="139">
        <f t="shared" si="49"/>
        <v>32714261.399999999</v>
      </c>
      <c r="P124" s="72">
        <v>15921000</v>
      </c>
      <c r="Q124" s="73" t="s">
        <v>27</v>
      </c>
      <c r="R124" s="67">
        <v>0</v>
      </c>
      <c r="S124" s="67">
        <v>0</v>
      </c>
      <c r="T124" s="139">
        <f t="shared" si="50"/>
        <v>0</v>
      </c>
      <c r="U124" s="60">
        <f t="shared" si="51"/>
        <v>32714261.399999999</v>
      </c>
      <c r="V124" s="199">
        <v>20</v>
      </c>
      <c r="W124" s="116">
        <f t="shared" si="48"/>
        <v>31</v>
      </c>
      <c r="X124" s="116">
        <f t="shared" si="53"/>
        <v>209</v>
      </c>
      <c r="Y124" s="38">
        <f t="shared" si="54"/>
        <v>136309.42249999999</v>
      </c>
      <c r="Z124" s="38">
        <f t="shared" si="55"/>
        <v>4225592.0974999992</v>
      </c>
      <c r="AA124" s="38">
        <f t="shared" si="56"/>
        <v>32714261</v>
      </c>
      <c r="AB124" s="38">
        <f t="shared" si="57"/>
        <v>4225592</v>
      </c>
      <c r="AC124" s="38">
        <f t="shared" si="58"/>
        <v>28488669</v>
      </c>
      <c r="AD124" s="67"/>
      <c r="AG124" s="73">
        <f>AB124-'P, Pl y Eq 2020'!AB121</f>
        <v>1635713</v>
      </c>
      <c r="AH124" s="73"/>
      <c r="AI124" s="73"/>
      <c r="AJ124" s="180"/>
    </row>
    <row r="125" spans="1:36" s="66" customFormat="1">
      <c r="A125" s="72">
        <v>15200000</v>
      </c>
      <c r="B125" s="73" t="s">
        <v>20</v>
      </c>
      <c r="C125" s="68" t="s">
        <v>995</v>
      </c>
      <c r="D125" s="67">
        <v>1</v>
      </c>
      <c r="E125" s="61" t="s">
        <v>364</v>
      </c>
      <c r="F125" s="177"/>
      <c r="G125" s="177"/>
      <c r="H125" s="177"/>
      <c r="I125" s="177"/>
      <c r="J125" s="198">
        <v>43617</v>
      </c>
      <c r="K125" s="65" t="str">
        <f t="shared" si="47"/>
        <v>SI</v>
      </c>
      <c r="L125" s="139">
        <f t="shared" si="36"/>
        <v>154843659.91999999</v>
      </c>
      <c r="M125" s="67">
        <v>154843659.91999999</v>
      </c>
      <c r="N125" s="67">
        <v>154843659.91999999</v>
      </c>
      <c r="O125" s="139">
        <f t="shared" si="49"/>
        <v>154843659.91999999</v>
      </c>
      <c r="P125" s="72">
        <v>15921000</v>
      </c>
      <c r="Q125" s="73" t="s">
        <v>27</v>
      </c>
      <c r="R125" s="67">
        <v>0</v>
      </c>
      <c r="S125" s="67">
        <v>0</v>
      </c>
      <c r="T125" s="139">
        <f t="shared" si="50"/>
        <v>0</v>
      </c>
      <c r="U125" s="60">
        <f t="shared" si="51"/>
        <v>154843659.91999999</v>
      </c>
      <c r="V125" s="181">
        <v>15</v>
      </c>
      <c r="W125" s="116">
        <f t="shared" si="48"/>
        <v>31</v>
      </c>
      <c r="X125" s="116">
        <f t="shared" si="53"/>
        <v>149</v>
      </c>
      <c r="Y125" s="38">
        <f t="shared" si="54"/>
        <v>860242.55511111103</v>
      </c>
      <c r="Z125" s="38">
        <f t="shared" si="55"/>
        <v>26667519.208444443</v>
      </c>
      <c r="AA125" s="38">
        <f t="shared" si="56"/>
        <v>154843660</v>
      </c>
      <c r="AB125" s="38">
        <f t="shared" si="57"/>
        <v>26667519</v>
      </c>
      <c r="AC125" s="38">
        <f t="shared" si="58"/>
        <v>128176141</v>
      </c>
      <c r="AD125" s="67"/>
      <c r="AE125" s="73"/>
      <c r="AF125" s="73"/>
      <c r="AG125" s="73">
        <f>AB125-'P, Pl y Eq 2020'!AB122</f>
        <v>10322910</v>
      </c>
      <c r="AH125" s="73"/>
      <c r="AI125" s="73"/>
      <c r="AJ125" s="180"/>
    </row>
    <row r="126" spans="1:36" s="66" customFormat="1">
      <c r="A126" s="72">
        <v>15200000</v>
      </c>
      <c r="B126" s="73" t="s">
        <v>20</v>
      </c>
      <c r="C126" s="68" t="s">
        <v>995</v>
      </c>
      <c r="D126" s="67">
        <v>1</v>
      </c>
      <c r="E126" s="61" t="s">
        <v>364</v>
      </c>
      <c r="F126" s="177"/>
      <c r="G126" s="177"/>
      <c r="H126" s="177"/>
      <c r="I126" s="177"/>
      <c r="J126" s="198">
        <v>43617</v>
      </c>
      <c r="K126" s="65" t="str">
        <f t="shared" si="47"/>
        <v>SI</v>
      </c>
      <c r="L126" s="139">
        <f t="shared" si="36"/>
        <v>11419277</v>
      </c>
      <c r="M126" s="67">
        <v>11419277</v>
      </c>
      <c r="N126" s="67">
        <v>11419277</v>
      </c>
      <c r="O126" s="139">
        <f t="shared" si="49"/>
        <v>11419277</v>
      </c>
      <c r="P126" s="72">
        <v>15921000</v>
      </c>
      <c r="Q126" s="73" t="s">
        <v>27</v>
      </c>
      <c r="R126" s="67">
        <v>0</v>
      </c>
      <c r="S126" s="67">
        <v>0</v>
      </c>
      <c r="T126" s="139">
        <f t="shared" si="50"/>
        <v>0</v>
      </c>
      <c r="U126" s="60">
        <f t="shared" si="51"/>
        <v>11419277</v>
      </c>
      <c r="V126" s="181">
        <v>15</v>
      </c>
      <c r="W126" s="116">
        <f t="shared" si="48"/>
        <v>31</v>
      </c>
      <c r="X126" s="116">
        <f t="shared" si="53"/>
        <v>149</v>
      </c>
      <c r="Y126" s="38">
        <f t="shared" si="54"/>
        <v>63440.427777777775</v>
      </c>
      <c r="Z126" s="38">
        <f t="shared" si="55"/>
        <v>1966653.2611111109</v>
      </c>
      <c r="AA126" s="38">
        <f t="shared" si="56"/>
        <v>11419277</v>
      </c>
      <c r="AB126" s="38">
        <f t="shared" si="57"/>
        <v>1966653</v>
      </c>
      <c r="AC126" s="38">
        <f t="shared" si="58"/>
        <v>9452624</v>
      </c>
      <c r="AD126" s="67"/>
      <c r="AG126" s="73">
        <f>AB126-'P, Pl y Eq 2020'!AB123</f>
        <v>761285</v>
      </c>
      <c r="AH126" s="73"/>
      <c r="AI126" s="73"/>
      <c r="AJ126" s="180"/>
    </row>
    <row r="127" spans="1:36" s="66" customFormat="1">
      <c r="A127" s="72">
        <v>15200000</v>
      </c>
      <c r="B127" s="73" t="s">
        <v>20</v>
      </c>
      <c r="C127" s="68" t="s">
        <v>995</v>
      </c>
      <c r="D127" s="67">
        <v>1</v>
      </c>
      <c r="E127" s="61" t="s">
        <v>364</v>
      </c>
      <c r="F127" s="177"/>
      <c r="G127" s="177"/>
      <c r="H127" s="177"/>
      <c r="I127" s="177"/>
      <c r="J127" s="198">
        <v>43617</v>
      </c>
      <c r="K127" s="65" t="str">
        <f t="shared" si="47"/>
        <v>SI</v>
      </c>
      <c r="L127" s="139">
        <f t="shared" si="36"/>
        <v>3707520.9</v>
      </c>
      <c r="M127" s="67">
        <v>3707520.9</v>
      </c>
      <c r="N127" s="67">
        <v>3707520.9</v>
      </c>
      <c r="O127" s="139">
        <f t="shared" si="49"/>
        <v>3707520.9</v>
      </c>
      <c r="P127" s="72">
        <v>15921000</v>
      </c>
      <c r="Q127" s="73" t="s">
        <v>27</v>
      </c>
      <c r="R127" s="67">
        <v>0</v>
      </c>
      <c r="S127" s="67">
        <v>0</v>
      </c>
      <c r="T127" s="139">
        <f t="shared" si="50"/>
        <v>0</v>
      </c>
      <c r="U127" s="60">
        <f t="shared" si="51"/>
        <v>3707520.9</v>
      </c>
      <c r="V127" s="181">
        <v>15</v>
      </c>
      <c r="W127" s="116">
        <f t="shared" si="48"/>
        <v>31</v>
      </c>
      <c r="X127" s="116">
        <f t="shared" si="53"/>
        <v>149</v>
      </c>
      <c r="Y127" s="38">
        <f t="shared" si="54"/>
        <v>20597.338333333333</v>
      </c>
      <c r="Z127" s="38">
        <f t="shared" si="55"/>
        <v>638517.48833333328</v>
      </c>
      <c r="AA127" s="38">
        <f t="shared" si="56"/>
        <v>3707521</v>
      </c>
      <c r="AB127" s="38">
        <f t="shared" si="57"/>
        <v>638517</v>
      </c>
      <c r="AC127" s="38">
        <f t="shared" si="58"/>
        <v>3069004</v>
      </c>
      <c r="AD127" s="67"/>
      <c r="AE127" s="73"/>
      <c r="AF127" s="73"/>
      <c r="AG127" s="73">
        <f>AB127-'P, Pl y Eq 2020'!AB124</f>
        <v>247168</v>
      </c>
      <c r="AH127" s="73"/>
      <c r="AI127" s="73"/>
      <c r="AJ127" s="180"/>
    </row>
    <row r="128" spans="1:36" s="66" customFormat="1">
      <c r="A128" s="72">
        <v>15200000</v>
      </c>
      <c r="B128" s="73" t="s">
        <v>20</v>
      </c>
      <c r="C128" s="68" t="s">
        <v>995</v>
      </c>
      <c r="D128" s="67">
        <v>1</v>
      </c>
      <c r="E128" s="61" t="s">
        <v>364</v>
      </c>
      <c r="F128" s="177"/>
      <c r="G128" s="177"/>
      <c r="H128" s="177"/>
      <c r="I128" s="177"/>
      <c r="J128" s="198">
        <v>43617</v>
      </c>
      <c r="K128" s="65" t="str">
        <f t="shared" si="47"/>
        <v>SI</v>
      </c>
      <c r="L128" s="139">
        <f t="shared" si="36"/>
        <v>4095356.5</v>
      </c>
      <c r="M128" s="67">
        <v>4095356.5</v>
      </c>
      <c r="N128" s="67">
        <v>4095356.5</v>
      </c>
      <c r="O128" s="139">
        <f t="shared" si="49"/>
        <v>4095356.5</v>
      </c>
      <c r="P128" s="72">
        <v>15921000</v>
      </c>
      <c r="Q128" s="73" t="s">
        <v>27</v>
      </c>
      <c r="R128" s="67">
        <v>0</v>
      </c>
      <c r="S128" s="67">
        <v>0</v>
      </c>
      <c r="T128" s="139">
        <f t="shared" si="50"/>
        <v>0</v>
      </c>
      <c r="U128" s="60">
        <f t="shared" si="51"/>
        <v>4095356.5</v>
      </c>
      <c r="V128" s="181">
        <v>15</v>
      </c>
      <c r="W128" s="116">
        <f t="shared" si="48"/>
        <v>31</v>
      </c>
      <c r="X128" s="116">
        <f t="shared" si="53"/>
        <v>149</v>
      </c>
      <c r="Y128" s="38">
        <f t="shared" si="54"/>
        <v>22751.980555555554</v>
      </c>
      <c r="Z128" s="38">
        <f t="shared" si="55"/>
        <v>705311.39722222218</v>
      </c>
      <c r="AA128" s="38">
        <f t="shared" si="56"/>
        <v>4095357</v>
      </c>
      <c r="AB128" s="38">
        <f t="shared" si="57"/>
        <v>705311</v>
      </c>
      <c r="AC128" s="38">
        <f t="shared" si="58"/>
        <v>3390046</v>
      </c>
      <c r="AD128" s="67"/>
      <c r="AG128" s="73">
        <f>AB128-'P, Pl y Eq 2020'!AB125</f>
        <v>273023</v>
      </c>
      <c r="AH128" s="73"/>
      <c r="AI128" s="73"/>
      <c r="AJ128" s="180"/>
    </row>
    <row r="129" spans="1:36" s="66" customFormat="1">
      <c r="A129" s="72">
        <v>15200000</v>
      </c>
      <c r="B129" s="73" t="s">
        <v>20</v>
      </c>
      <c r="C129" s="68" t="s">
        <v>995</v>
      </c>
      <c r="D129" s="67">
        <v>1</v>
      </c>
      <c r="E129" s="61" t="s">
        <v>364</v>
      </c>
      <c r="F129" s="177"/>
      <c r="G129" s="177"/>
      <c r="H129" s="177"/>
      <c r="I129" s="177"/>
      <c r="J129" s="198">
        <v>43617</v>
      </c>
      <c r="K129" s="65" t="str">
        <f t="shared" si="47"/>
        <v>SI</v>
      </c>
      <c r="L129" s="139">
        <f t="shared" si="36"/>
        <v>3707520.9</v>
      </c>
      <c r="M129" s="67">
        <v>3707520.9</v>
      </c>
      <c r="N129" s="67">
        <v>3707520.9</v>
      </c>
      <c r="O129" s="139">
        <f t="shared" si="49"/>
        <v>3707520.9</v>
      </c>
      <c r="P129" s="72">
        <v>15921000</v>
      </c>
      <c r="Q129" s="73" t="s">
        <v>27</v>
      </c>
      <c r="R129" s="67">
        <v>0</v>
      </c>
      <c r="S129" s="67">
        <v>0</v>
      </c>
      <c r="T129" s="139">
        <f t="shared" si="50"/>
        <v>0</v>
      </c>
      <c r="U129" s="60">
        <f t="shared" si="51"/>
        <v>3707520.9</v>
      </c>
      <c r="V129" s="181">
        <v>25</v>
      </c>
      <c r="W129" s="116">
        <f t="shared" si="48"/>
        <v>31</v>
      </c>
      <c r="X129" s="116">
        <f t="shared" si="53"/>
        <v>269</v>
      </c>
      <c r="Y129" s="38">
        <f t="shared" si="54"/>
        <v>12358.403</v>
      </c>
      <c r="Z129" s="38">
        <f t="shared" si="55"/>
        <v>383110.49300000002</v>
      </c>
      <c r="AA129" s="38">
        <f t="shared" si="56"/>
        <v>3707521</v>
      </c>
      <c r="AB129" s="38">
        <f t="shared" si="57"/>
        <v>383110</v>
      </c>
      <c r="AC129" s="38">
        <f t="shared" si="58"/>
        <v>3324411</v>
      </c>
      <c r="AD129" s="67"/>
      <c r="AE129" s="73"/>
      <c r="AF129" s="73"/>
      <c r="AG129" s="73">
        <f>AB129-'P, Pl y Eq 2020'!AB126</f>
        <v>148300</v>
      </c>
      <c r="AH129" s="73"/>
      <c r="AI129" s="73"/>
      <c r="AJ129" s="180"/>
    </row>
    <row r="130" spans="1:36" s="66" customFormat="1">
      <c r="A130" s="72">
        <v>15200000</v>
      </c>
      <c r="B130" s="73" t="s">
        <v>20</v>
      </c>
      <c r="C130" s="68" t="s">
        <v>995</v>
      </c>
      <c r="D130" s="67">
        <v>1</v>
      </c>
      <c r="E130" s="61" t="s">
        <v>364</v>
      </c>
      <c r="F130" s="177"/>
      <c r="G130" s="177"/>
      <c r="H130" s="177"/>
      <c r="I130" s="177"/>
      <c r="J130" s="198">
        <v>43617</v>
      </c>
      <c r="K130" s="65" t="str">
        <f t="shared" si="47"/>
        <v>SI</v>
      </c>
      <c r="L130" s="139">
        <f t="shared" si="36"/>
        <v>4095356.5</v>
      </c>
      <c r="M130" s="67">
        <v>4095356.5</v>
      </c>
      <c r="N130" s="67">
        <v>4095356.5</v>
      </c>
      <c r="O130" s="139">
        <f t="shared" si="49"/>
        <v>4095356.5</v>
      </c>
      <c r="P130" s="72">
        <v>15921000</v>
      </c>
      <c r="Q130" s="73" t="s">
        <v>27</v>
      </c>
      <c r="R130" s="67">
        <v>0</v>
      </c>
      <c r="S130" s="67">
        <v>0</v>
      </c>
      <c r="T130" s="139">
        <f t="shared" si="50"/>
        <v>0</v>
      </c>
      <c r="U130" s="60">
        <f t="shared" si="51"/>
        <v>4095356.5</v>
      </c>
      <c r="V130" s="181">
        <v>25</v>
      </c>
      <c r="W130" s="116">
        <f t="shared" si="48"/>
        <v>31</v>
      </c>
      <c r="X130" s="116">
        <f t="shared" si="53"/>
        <v>269</v>
      </c>
      <c r="Y130" s="38">
        <f t="shared" si="54"/>
        <v>13651.188333333334</v>
      </c>
      <c r="Z130" s="38">
        <f t="shared" si="55"/>
        <v>423186.83833333332</v>
      </c>
      <c r="AA130" s="38">
        <f t="shared" si="56"/>
        <v>4095357</v>
      </c>
      <c r="AB130" s="38">
        <f t="shared" si="57"/>
        <v>423187</v>
      </c>
      <c r="AC130" s="38">
        <f t="shared" si="58"/>
        <v>3672170</v>
      </c>
      <c r="AD130" s="67"/>
      <c r="AG130" s="73">
        <f>AB130-'P, Pl y Eq 2020'!AB127</f>
        <v>163814</v>
      </c>
      <c r="AH130" s="73"/>
      <c r="AI130" s="73"/>
      <c r="AJ130" s="180"/>
    </row>
    <row r="131" spans="1:36" s="66" customFormat="1">
      <c r="A131" s="72">
        <v>15200000</v>
      </c>
      <c r="B131" s="73" t="s">
        <v>20</v>
      </c>
      <c r="C131" s="68" t="s">
        <v>995</v>
      </c>
      <c r="D131" s="67">
        <v>1</v>
      </c>
      <c r="E131" s="61" t="s">
        <v>364</v>
      </c>
      <c r="F131" s="177"/>
      <c r="G131" s="177"/>
      <c r="H131" s="177"/>
      <c r="I131" s="177"/>
      <c r="J131" s="198">
        <v>43617</v>
      </c>
      <c r="K131" s="65" t="str">
        <f t="shared" si="47"/>
        <v>SI</v>
      </c>
      <c r="L131" s="139">
        <f t="shared" si="36"/>
        <v>3707520.9</v>
      </c>
      <c r="M131" s="67">
        <v>3707520.9</v>
      </c>
      <c r="N131" s="67">
        <v>3707520.9</v>
      </c>
      <c r="O131" s="139">
        <f t="shared" si="49"/>
        <v>3707520.9</v>
      </c>
      <c r="P131" s="72">
        <v>15921000</v>
      </c>
      <c r="Q131" s="73" t="s">
        <v>27</v>
      </c>
      <c r="R131" s="67">
        <v>0</v>
      </c>
      <c r="S131" s="67">
        <v>0</v>
      </c>
      <c r="T131" s="139">
        <f t="shared" si="50"/>
        <v>0</v>
      </c>
      <c r="U131" s="60">
        <f t="shared" si="51"/>
        <v>3707520.9</v>
      </c>
      <c r="V131" s="181">
        <v>25</v>
      </c>
      <c r="W131" s="116">
        <f t="shared" si="48"/>
        <v>31</v>
      </c>
      <c r="X131" s="116">
        <f t="shared" si="53"/>
        <v>269</v>
      </c>
      <c r="Y131" s="38">
        <f t="shared" si="54"/>
        <v>12358.403</v>
      </c>
      <c r="Z131" s="38">
        <f t="shared" si="55"/>
        <v>383110.49300000002</v>
      </c>
      <c r="AA131" s="38">
        <f t="shared" si="56"/>
        <v>3707521</v>
      </c>
      <c r="AB131" s="38">
        <f t="shared" si="57"/>
        <v>383110</v>
      </c>
      <c r="AC131" s="38">
        <f t="shared" si="58"/>
        <v>3324411</v>
      </c>
      <c r="AD131" s="67"/>
      <c r="AE131" s="73"/>
      <c r="AF131" s="73"/>
      <c r="AG131" s="73">
        <f>AB131-'P, Pl y Eq 2020'!AB128</f>
        <v>148300</v>
      </c>
      <c r="AH131" s="73"/>
      <c r="AI131" s="73"/>
      <c r="AJ131" s="180"/>
    </row>
    <row r="132" spans="1:36" s="66" customFormat="1">
      <c r="A132" s="72">
        <v>15200000</v>
      </c>
      <c r="B132" s="73" t="s">
        <v>20</v>
      </c>
      <c r="C132" s="68" t="s">
        <v>995</v>
      </c>
      <c r="D132" s="67">
        <v>1</v>
      </c>
      <c r="E132" s="61" t="s">
        <v>364</v>
      </c>
      <c r="F132" s="177"/>
      <c r="G132" s="177"/>
      <c r="H132" s="177"/>
      <c r="I132" s="177"/>
      <c r="J132" s="198">
        <v>43617</v>
      </c>
      <c r="K132" s="65" t="str">
        <f t="shared" ref="K132:K163" si="59">IF(L132&gt;($M$25*50),"SI","NO")</f>
        <v>SI</v>
      </c>
      <c r="L132" s="139">
        <f t="shared" si="36"/>
        <v>4095356.5</v>
      </c>
      <c r="M132" s="67">
        <v>4095356.5</v>
      </c>
      <c r="N132" s="67">
        <v>4095356.5</v>
      </c>
      <c r="O132" s="139">
        <f t="shared" si="49"/>
        <v>4095356.5</v>
      </c>
      <c r="P132" s="72">
        <v>15921000</v>
      </c>
      <c r="Q132" s="73" t="s">
        <v>27</v>
      </c>
      <c r="R132" s="67">
        <v>0</v>
      </c>
      <c r="S132" s="67">
        <v>0</v>
      </c>
      <c r="T132" s="139">
        <f t="shared" si="50"/>
        <v>0</v>
      </c>
      <c r="U132" s="60">
        <f t="shared" si="51"/>
        <v>4095356.5</v>
      </c>
      <c r="V132" s="181">
        <v>25</v>
      </c>
      <c r="W132" s="116">
        <f t="shared" si="48"/>
        <v>31</v>
      </c>
      <c r="X132" s="116">
        <f t="shared" si="53"/>
        <v>269</v>
      </c>
      <c r="Y132" s="38">
        <f t="shared" si="54"/>
        <v>13651.188333333334</v>
      </c>
      <c r="Z132" s="38">
        <f t="shared" si="55"/>
        <v>423186.83833333332</v>
      </c>
      <c r="AA132" s="38">
        <f t="shared" si="56"/>
        <v>4095357</v>
      </c>
      <c r="AB132" s="38">
        <f t="shared" si="57"/>
        <v>423187</v>
      </c>
      <c r="AC132" s="38">
        <f t="shared" si="58"/>
        <v>3672170</v>
      </c>
      <c r="AD132" s="67"/>
      <c r="AG132" s="73">
        <f>AB132-'P, Pl y Eq 2020'!AB129</f>
        <v>163814</v>
      </c>
      <c r="AH132" s="73"/>
      <c r="AI132" s="73"/>
      <c r="AJ132" s="180"/>
    </row>
    <row r="133" spans="1:36" s="66" customFormat="1">
      <c r="A133" s="72">
        <v>15200000</v>
      </c>
      <c r="B133" s="73" t="s">
        <v>20</v>
      </c>
      <c r="C133" s="68" t="s">
        <v>995</v>
      </c>
      <c r="D133" s="67">
        <v>1</v>
      </c>
      <c r="E133" s="61" t="s">
        <v>364</v>
      </c>
      <c r="F133" s="177"/>
      <c r="G133" s="177"/>
      <c r="H133" s="177"/>
      <c r="I133" s="177"/>
      <c r="J133" s="198">
        <v>43617</v>
      </c>
      <c r="K133" s="65" t="str">
        <f t="shared" si="59"/>
        <v>SI</v>
      </c>
      <c r="L133" s="139">
        <f t="shared" si="36"/>
        <v>3707520.9</v>
      </c>
      <c r="M133" s="67">
        <v>3707520.9</v>
      </c>
      <c r="N133" s="67">
        <v>3707520.9</v>
      </c>
      <c r="O133" s="139">
        <f t="shared" si="49"/>
        <v>3707520.9</v>
      </c>
      <c r="P133" s="72">
        <v>15921000</v>
      </c>
      <c r="Q133" s="73" t="s">
        <v>27</v>
      </c>
      <c r="R133" s="67">
        <v>0</v>
      </c>
      <c r="S133" s="67">
        <v>0</v>
      </c>
      <c r="T133" s="139">
        <f t="shared" si="50"/>
        <v>0</v>
      </c>
      <c r="U133" s="60">
        <f t="shared" si="51"/>
        <v>3707520.9</v>
      </c>
      <c r="V133" s="181">
        <v>25</v>
      </c>
      <c r="W133" s="116">
        <f t="shared" si="48"/>
        <v>31</v>
      </c>
      <c r="X133" s="116">
        <f t="shared" si="53"/>
        <v>269</v>
      </c>
      <c r="Y133" s="38">
        <f t="shared" si="54"/>
        <v>12358.403</v>
      </c>
      <c r="Z133" s="38">
        <f t="shared" si="55"/>
        <v>383110.49300000002</v>
      </c>
      <c r="AA133" s="38">
        <f t="shared" si="56"/>
        <v>3707521</v>
      </c>
      <c r="AB133" s="38">
        <f t="shared" si="57"/>
        <v>383110</v>
      </c>
      <c r="AC133" s="38">
        <f t="shared" si="58"/>
        <v>3324411</v>
      </c>
      <c r="AD133" s="67"/>
      <c r="AE133" s="73"/>
      <c r="AF133" s="73"/>
      <c r="AG133" s="73">
        <f>AB133-'P, Pl y Eq 2020'!AB130</f>
        <v>148300</v>
      </c>
      <c r="AH133" s="73"/>
      <c r="AI133" s="73"/>
      <c r="AJ133" s="180"/>
    </row>
    <row r="134" spans="1:36" s="66" customFormat="1">
      <c r="A134" s="72">
        <v>15200000</v>
      </c>
      <c r="B134" s="73" t="s">
        <v>20</v>
      </c>
      <c r="C134" s="68" t="s">
        <v>995</v>
      </c>
      <c r="D134" s="67">
        <v>1</v>
      </c>
      <c r="E134" s="61" t="s">
        <v>364</v>
      </c>
      <c r="F134" s="177"/>
      <c r="G134" s="177"/>
      <c r="H134" s="177"/>
      <c r="I134" s="177"/>
      <c r="J134" s="198">
        <v>43617</v>
      </c>
      <c r="K134" s="65" t="str">
        <f t="shared" si="59"/>
        <v>SI</v>
      </c>
      <c r="L134" s="139">
        <f t="shared" si="36"/>
        <v>4095356.5</v>
      </c>
      <c r="M134" s="67">
        <v>4095356.5</v>
      </c>
      <c r="N134" s="67">
        <v>4095356.5</v>
      </c>
      <c r="O134" s="139">
        <f t="shared" si="49"/>
        <v>4095356.5</v>
      </c>
      <c r="P134" s="72">
        <v>15921000</v>
      </c>
      <c r="Q134" s="73" t="s">
        <v>27</v>
      </c>
      <c r="R134" s="67">
        <v>0</v>
      </c>
      <c r="S134" s="67">
        <v>0</v>
      </c>
      <c r="T134" s="139">
        <f t="shared" si="50"/>
        <v>0</v>
      </c>
      <c r="U134" s="60">
        <f t="shared" si="51"/>
        <v>4095356.5</v>
      </c>
      <c r="V134" s="181">
        <v>25</v>
      </c>
      <c r="W134" s="116">
        <f t="shared" si="48"/>
        <v>31</v>
      </c>
      <c r="X134" s="116">
        <f t="shared" si="53"/>
        <v>269</v>
      </c>
      <c r="Y134" s="38">
        <f t="shared" si="54"/>
        <v>13651.188333333334</v>
      </c>
      <c r="Z134" s="38">
        <f t="shared" si="55"/>
        <v>423186.83833333332</v>
      </c>
      <c r="AA134" s="38">
        <f t="shared" si="56"/>
        <v>4095357</v>
      </c>
      <c r="AB134" s="38">
        <f t="shared" si="57"/>
        <v>423187</v>
      </c>
      <c r="AC134" s="38">
        <f t="shared" si="58"/>
        <v>3672170</v>
      </c>
      <c r="AD134" s="67"/>
      <c r="AG134" s="73">
        <f>AB134-'P, Pl y Eq 2020'!AB131</f>
        <v>163814</v>
      </c>
      <c r="AH134" s="73"/>
      <c r="AI134" s="73"/>
      <c r="AJ134" s="180"/>
    </row>
    <row r="135" spans="1:36" s="66" customFormat="1">
      <c r="A135" s="72">
        <v>15200000</v>
      </c>
      <c r="B135" s="73" t="s">
        <v>20</v>
      </c>
      <c r="C135" s="68" t="s">
        <v>995</v>
      </c>
      <c r="D135" s="67">
        <v>1</v>
      </c>
      <c r="E135" s="61" t="s">
        <v>364</v>
      </c>
      <c r="F135" s="177"/>
      <c r="G135" s="177"/>
      <c r="H135" s="177"/>
      <c r="I135" s="177"/>
      <c r="J135" s="198">
        <v>43617</v>
      </c>
      <c r="K135" s="65" t="str">
        <f t="shared" si="59"/>
        <v>SI</v>
      </c>
      <c r="L135" s="139">
        <f t="shared" si="36"/>
        <v>3707520.9</v>
      </c>
      <c r="M135" s="67">
        <v>3707520.9</v>
      </c>
      <c r="N135" s="67">
        <v>3707520.9</v>
      </c>
      <c r="O135" s="139">
        <f t="shared" si="49"/>
        <v>3707520.9</v>
      </c>
      <c r="P135" s="72">
        <v>15921000</v>
      </c>
      <c r="Q135" s="73" t="s">
        <v>27</v>
      </c>
      <c r="R135" s="67">
        <v>0</v>
      </c>
      <c r="S135" s="67">
        <v>0</v>
      </c>
      <c r="T135" s="139">
        <f t="shared" si="50"/>
        <v>0</v>
      </c>
      <c r="U135" s="60">
        <f t="shared" si="51"/>
        <v>3707520.9</v>
      </c>
      <c r="V135" s="181">
        <v>25</v>
      </c>
      <c r="W135" s="116">
        <f t="shared" si="48"/>
        <v>31</v>
      </c>
      <c r="X135" s="116">
        <f t="shared" si="53"/>
        <v>269</v>
      </c>
      <c r="Y135" s="38">
        <f t="shared" si="54"/>
        <v>12358.403</v>
      </c>
      <c r="Z135" s="38">
        <f t="shared" si="55"/>
        <v>383110.49300000002</v>
      </c>
      <c r="AA135" s="38">
        <f t="shared" si="56"/>
        <v>3707521</v>
      </c>
      <c r="AB135" s="38">
        <f t="shared" si="57"/>
        <v>383110</v>
      </c>
      <c r="AC135" s="38">
        <f t="shared" si="58"/>
        <v>3324411</v>
      </c>
      <c r="AD135" s="67"/>
      <c r="AE135" s="73"/>
      <c r="AF135" s="73"/>
      <c r="AG135" s="73">
        <f>AB135-'P, Pl y Eq 2020'!AB132</f>
        <v>148300</v>
      </c>
      <c r="AH135" s="73"/>
      <c r="AI135" s="73"/>
      <c r="AJ135" s="180"/>
    </row>
    <row r="136" spans="1:36" s="66" customFormat="1">
      <c r="A136" s="72">
        <v>15200000</v>
      </c>
      <c r="B136" s="73" t="s">
        <v>20</v>
      </c>
      <c r="C136" s="68" t="s">
        <v>995</v>
      </c>
      <c r="D136" s="67">
        <v>1</v>
      </c>
      <c r="E136" s="61" t="s">
        <v>364</v>
      </c>
      <c r="F136" s="177"/>
      <c r="G136" s="177"/>
      <c r="H136" s="177"/>
      <c r="I136" s="177"/>
      <c r="J136" s="198">
        <v>43617</v>
      </c>
      <c r="K136" s="65" t="str">
        <f t="shared" si="59"/>
        <v>SI</v>
      </c>
      <c r="L136" s="139">
        <f t="shared" si="36"/>
        <v>4095356.5</v>
      </c>
      <c r="M136" s="67">
        <v>4095356.5</v>
      </c>
      <c r="N136" s="67">
        <v>4095356.5</v>
      </c>
      <c r="O136" s="139">
        <f t="shared" si="49"/>
        <v>4095356.5</v>
      </c>
      <c r="P136" s="72">
        <v>15921000</v>
      </c>
      <c r="Q136" s="73" t="s">
        <v>27</v>
      </c>
      <c r="R136" s="67">
        <v>0</v>
      </c>
      <c r="S136" s="67">
        <v>0</v>
      </c>
      <c r="T136" s="139">
        <f t="shared" si="50"/>
        <v>0</v>
      </c>
      <c r="U136" s="60">
        <f t="shared" si="51"/>
        <v>4095356.5</v>
      </c>
      <c r="V136" s="181">
        <v>25</v>
      </c>
      <c r="W136" s="116">
        <f t="shared" si="48"/>
        <v>31</v>
      </c>
      <c r="X136" s="116">
        <f t="shared" si="53"/>
        <v>269</v>
      </c>
      <c r="Y136" s="38">
        <f t="shared" si="54"/>
        <v>13651.188333333334</v>
      </c>
      <c r="Z136" s="38">
        <f t="shared" si="55"/>
        <v>423186.83833333332</v>
      </c>
      <c r="AA136" s="38">
        <f t="shared" si="56"/>
        <v>4095357</v>
      </c>
      <c r="AB136" s="38">
        <f t="shared" si="57"/>
        <v>423187</v>
      </c>
      <c r="AC136" s="38">
        <f t="shared" si="58"/>
        <v>3672170</v>
      </c>
      <c r="AD136" s="67"/>
      <c r="AG136" s="73">
        <f>AB136-'P, Pl y Eq 2020'!AB133</f>
        <v>163814</v>
      </c>
      <c r="AH136" s="73"/>
      <c r="AI136" s="73"/>
      <c r="AJ136" s="180"/>
    </row>
    <row r="137" spans="1:36" s="66" customFormat="1">
      <c r="A137" s="72">
        <v>15200000</v>
      </c>
      <c r="B137" s="73" t="s">
        <v>20</v>
      </c>
      <c r="C137" s="68" t="s">
        <v>995</v>
      </c>
      <c r="D137" s="67">
        <v>1</v>
      </c>
      <c r="E137" s="61" t="s">
        <v>364</v>
      </c>
      <c r="F137" s="177"/>
      <c r="G137" s="177"/>
      <c r="H137" s="177"/>
      <c r="I137" s="177"/>
      <c r="J137" s="198">
        <v>43617</v>
      </c>
      <c r="K137" s="65" t="str">
        <f t="shared" si="59"/>
        <v>SI</v>
      </c>
      <c r="L137" s="139">
        <f t="shared" si="36"/>
        <v>3707520.9</v>
      </c>
      <c r="M137" s="67">
        <v>3707520.9</v>
      </c>
      <c r="N137" s="67">
        <v>3707520.9</v>
      </c>
      <c r="O137" s="139">
        <f t="shared" si="49"/>
        <v>3707520.9</v>
      </c>
      <c r="P137" s="72">
        <v>15921000</v>
      </c>
      <c r="Q137" s="73" t="s">
        <v>27</v>
      </c>
      <c r="R137" s="67">
        <v>0</v>
      </c>
      <c r="S137" s="67">
        <v>0</v>
      </c>
      <c r="T137" s="139">
        <f t="shared" si="50"/>
        <v>0</v>
      </c>
      <c r="U137" s="60">
        <f t="shared" si="51"/>
        <v>3707520.9</v>
      </c>
      <c r="V137" s="181">
        <v>25</v>
      </c>
      <c r="W137" s="116">
        <f t="shared" si="48"/>
        <v>31</v>
      </c>
      <c r="X137" s="116">
        <f t="shared" si="53"/>
        <v>269</v>
      </c>
      <c r="Y137" s="38">
        <f t="shared" si="54"/>
        <v>12358.403</v>
      </c>
      <c r="Z137" s="38">
        <f t="shared" si="55"/>
        <v>383110.49300000002</v>
      </c>
      <c r="AA137" s="38">
        <f t="shared" si="56"/>
        <v>3707521</v>
      </c>
      <c r="AB137" s="38">
        <f t="shared" si="57"/>
        <v>383110</v>
      </c>
      <c r="AC137" s="38">
        <f t="shared" si="58"/>
        <v>3324411</v>
      </c>
      <c r="AD137" s="67"/>
      <c r="AE137" s="73"/>
      <c r="AF137" s="73"/>
      <c r="AG137" s="73">
        <f>AB137-'P, Pl y Eq 2020'!AB134</f>
        <v>148300</v>
      </c>
      <c r="AH137" s="73"/>
      <c r="AI137" s="73"/>
      <c r="AJ137" s="180"/>
    </row>
    <row r="138" spans="1:36" s="66" customFormat="1">
      <c r="A138" s="72">
        <v>15200000</v>
      </c>
      <c r="B138" s="73" t="s">
        <v>20</v>
      </c>
      <c r="C138" s="68" t="s">
        <v>995</v>
      </c>
      <c r="D138" s="67">
        <v>1</v>
      </c>
      <c r="E138" s="61" t="s">
        <v>364</v>
      </c>
      <c r="F138" s="177"/>
      <c r="G138" s="177"/>
      <c r="H138" s="177"/>
      <c r="I138" s="177"/>
      <c r="J138" s="198">
        <v>43617</v>
      </c>
      <c r="K138" s="65" t="str">
        <f t="shared" si="59"/>
        <v>SI</v>
      </c>
      <c r="L138" s="139">
        <f t="shared" si="36"/>
        <v>4095356.5</v>
      </c>
      <c r="M138" s="67">
        <v>4095356.5</v>
      </c>
      <c r="N138" s="67">
        <v>4095356.5</v>
      </c>
      <c r="O138" s="139">
        <f t="shared" si="49"/>
        <v>4095356.5</v>
      </c>
      <c r="P138" s="72">
        <v>15921000</v>
      </c>
      <c r="Q138" s="73" t="s">
        <v>27</v>
      </c>
      <c r="R138" s="67">
        <v>0</v>
      </c>
      <c r="S138" s="67">
        <v>0</v>
      </c>
      <c r="T138" s="139">
        <f t="shared" si="50"/>
        <v>0</v>
      </c>
      <c r="U138" s="60">
        <f t="shared" si="51"/>
        <v>4095356.5</v>
      </c>
      <c r="V138" s="181">
        <v>25</v>
      </c>
      <c r="W138" s="116">
        <f t="shared" si="48"/>
        <v>31</v>
      </c>
      <c r="X138" s="116">
        <f t="shared" si="53"/>
        <v>269</v>
      </c>
      <c r="Y138" s="38">
        <f t="shared" si="54"/>
        <v>13651.188333333334</v>
      </c>
      <c r="Z138" s="38">
        <f t="shared" si="55"/>
        <v>423186.83833333332</v>
      </c>
      <c r="AA138" s="38">
        <f t="shared" si="56"/>
        <v>4095357</v>
      </c>
      <c r="AB138" s="38">
        <f t="shared" si="57"/>
        <v>423187</v>
      </c>
      <c r="AC138" s="38">
        <f t="shared" si="58"/>
        <v>3672170</v>
      </c>
      <c r="AD138" s="67"/>
      <c r="AG138" s="73">
        <f>AB138-'P, Pl y Eq 2020'!AB135</f>
        <v>163814</v>
      </c>
      <c r="AH138" s="73"/>
      <c r="AI138" s="73"/>
      <c r="AJ138" s="180"/>
    </row>
    <row r="139" spans="1:36" s="66" customFormat="1">
      <c r="A139" s="72">
        <v>15200000</v>
      </c>
      <c r="B139" s="73" t="s">
        <v>20</v>
      </c>
      <c r="C139" s="200" t="s">
        <v>995</v>
      </c>
      <c r="D139" s="67">
        <v>1</v>
      </c>
      <c r="E139" s="61" t="s">
        <v>364</v>
      </c>
      <c r="F139" s="177"/>
      <c r="G139" s="177"/>
      <c r="H139" s="177"/>
      <c r="I139" s="177"/>
      <c r="J139" s="198">
        <v>43617</v>
      </c>
      <c r="K139" s="65" t="str">
        <f t="shared" si="59"/>
        <v>SI</v>
      </c>
      <c r="L139" s="183">
        <f t="shared" si="36"/>
        <v>2600959.14</v>
      </c>
      <c r="M139" s="67">
        <f>1235840.3+1365118.84</f>
        <v>2600959.14</v>
      </c>
      <c r="N139" s="67">
        <f>1235840.3+1365118.84</f>
        <v>2600959.14</v>
      </c>
      <c r="O139" s="139">
        <f t="shared" si="49"/>
        <v>2600959.14</v>
      </c>
      <c r="P139" s="72">
        <v>15921000</v>
      </c>
      <c r="Q139" s="73" t="s">
        <v>27</v>
      </c>
      <c r="R139" s="67">
        <v>0</v>
      </c>
      <c r="S139" s="67">
        <v>0</v>
      </c>
      <c r="T139" s="139">
        <f t="shared" si="50"/>
        <v>0</v>
      </c>
      <c r="U139" s="60">
        <f t="shared" si="51"/>
        <v>2600959.14</v>
      </c>
      <c r="V139" s="181">
        <v>25</v>
      </c>
      <c r="W139" s="116">
        <f t="shared" si="48"/>
        <v>31</v>
      </c>
      <c r="X139" s="116">
        <f t="shared" si="53"/>
        <v>269</v>
      </c>
      <c r="Y139" s="38">
        <f t="shared" si="54"/>
        <v>8669.863800000001</v>
      </c>
      <c r="Z139" s="38">
        <f t="shared" si="55"/>
        <v>268765.77780000004</v>
      </c>
      <c r="AA139" s="38">
        <f t="shared" si="56"/>
        <v>2600959</v>
      </c>
      <c r="AB139" s="38">
        <f t="shared" si="57"/>
        <v>268766</v>
      </c>
      <c r="AC139" s="38">
        <f t="shared" si="58"/>
        <v>2332193</v>
      </c>
      <c r="AD139" s="67"/>
      <c r="AE139" s="73"/>
      <c r="AF139" s="73"/>
      <c r="AG139" s="73">
        <f>AB139-'P, Pl y Eq 2020'!AB136</f>
        <v>104039</v>
      </c>
      <c r="AH139" s="73"/>
      <c r="AI139" s="73"/>
      <c r="AJ139" s="180"/>
    </row>
    <row r="140" spans="1:36" s="66" customFormat="1">
      <c r="A140" s="72">
        <v>15200000</v>
      </c>
      <c r="B140" s="73" t="s">
        <v>20</v>
      </c>
      <c r="C140" s="201" t="s">
        <v>995</v>
      </c>
      <c r="D140" s="67">
        <v>1</v>
      </c>
      <c r="E140" s="61" t="s">
        <v>364</v>
      </c>
      <c r="F140" s="177"/>
      <c r="G140" s="177"/>
      <c r="H140" s="177"/>
      <c r="I140" s="177"/>
      <c r="J140" s="198">
        <v>43617</v>
      </c>
      <c r="K140" s="65" t="str">
        <f t="shared" si="59"/>
        <v>NO</v>
      </c>
      <c r="L140" s="183">
        <f t="shared" si="36"/>
        <v>0</v>
      </c>
      <c r="M140" s="67">
        <f>1365118.84*0</f>
        <v>0</v>
      </c>
      <c r="N140" s="67">
        <f>1365118.84*0</f>
        <v>0</v>
      </c>
      <c r="O140" s="139">
        <f t="shared" si="49"/>
        <v>0</v>
      </c>
      <c r="P140" s="72">
        <v>15921000</v>
      </c>
      <c r="Q140" s="73" t="s">
        <v>27</v>
      </c>
      <c r="R140" s="67">
        <v>0</v>
      </c>
      <c r="S140" s="67">
        <v>0</v>
      </c>
      <c r="T140" s="139">
        <f t="shared" si="50"/>
        <v>0</v>
      </c>
      <c r="U140" s="60">
        <f t="shared" si="51"/>
        <v>0</v>
      </c>
      <c r="V140" s="181">
        <v>25</v>
      </c>
      <c r="W140" s="116">
        <f t="shared" si="48"/>
        <v>31</v>
      </c>
      <c r="X140" s="116">
        <f t="shared" si="53"/>
        <v>269</v>
      </c>
      <c r="Y140" s="38">
        <f t="shared" si="54"/>
        <v>0</v>
      </c>
      <c r="Z140" s="38">
        <f t="shared" si="55"/>
        <v>0</v>
      </c>
      <c r="AA140" s="38">
        <f t="shared" si="56"/>
        <v>0</v>
      </c>
      <c r="AB140" s="38">
        <f t="shared" si="57"/>
        <v>0</v>
      </c>
      <c r="AC140" s="38">
        <f t="shared" si="58"/>
        <v>0</v>
      </c>
      <c r="AD140" s="67"/>
      <c r="AG140" s="73">
        <f>AB140-'P, Pl y Eq 2020'!AB137</f>
        <v>0</v>
      </c>
      <c r="AH140" s="73"/>
      <c r="AI140" s="73"/>
      <c r="AJ140" s="180"/>
    </row>
    <row r="141" spans="1:36" s="66" customFormat="1">
      <c r="A141" s="72">
        <v>15200000</v>
      </c>
      <c r="B141" s="73" t="s">
        <v>20</v>
      </c>
      <c r="C141" s="200" t="s">
        <v>995</v>
      </c>
      <c r="D141" s="67">
        <v>1</v>
      </c>
      <c r="E141" s="61" t="s">
        <v>364</v>
      </c>
      <c r="F141" s="177"/>
      <c r="G141" s="177"/>
      <c r="H141" s="177"/>
      <c r="I141" s="177"/>
      <c r="J141" s="198">
        <v>43617</v>
      </c>
      <c r="K141" s="65" t="str">
        <f t="shared" si="59"/>
        <v>SI</v>
      </c>
      <c r="L141" s="183">
        <f t="shared" si="36"/>
        <v>2600959.14</v>
      </c>
      <c r="M141" s="67">
        <f>1235840.3+1365118.84</f>
        <v>2600959.14</v>
      </c>
      <c r="N141" s="67">
        <f>1235840.3+1365118.84</f>
        <v>2600959.14</v>
      </c>
      <c r="O141" s="139">
        <f t="shared" si="49"/>
        <v>2600959.14</v>
      </c>
      <c r="P141" s="72">
        <v>15921000</v>
      </c>
      <c r="Q141" s="73" t="s">
        <v>27</v>
      </c>
      <c r="R141" s="67">
        <v>0</v>
      </c>
      <c r="S141" s="67">
        <v>0</v>
      </c>
      <c r="T141" s="139">
        <f t="shared" si="50"/>
        <v>0</v>
      </c>
      <c r="U141" s="60">
        <f t="shared" si="51"/>
        <v>2600959.14</v>
      </c>
      <c r="V141" s="181">
        <v>25</v>
      </c>
      <c r="W141" s="116">
        <f t="shared" si="48"/>
        <v>31</v>
      </c>
      <c r="X141" s="116">
        <f t="shared" si="53"/>
        <v>269</v>
      </c>
      <c r="Y141" s="38">
        <f t="shared" si="54"/>
        <v>8669.863800000001</v>
      </c>
      <c r="Z141" s="38">
        <f t="shared" si="55"/>
        <v>268765.77780000004</v>
      </c>
      <c r="AA141" s="38">
        <f t="shared" si="56"/>
        <v>2600959</v>
      </c>
      <c r="AB141" s="38">
        <f t="shared" si="57"/>
        <v>268766</v>
      </c>
      <c r="AC141" s="38">
        <f t="shared" si="58"/>
        <v>2332193</v>
      </c>
      <c r="AD141" s="67"/>
      <c r="AE141" s="73"/>
      <c r="AF141" s="73"/>
      <c r="AG141" s="73">
        <f>AB141-'P, Pl y Eq 2020'!AB138</f>
        <v>104039</v>
      </c>
      <c r="AH141" s="73"/>
      <c r="AI141" s="73"/>
      <c r="AJ141" s="180"/>
    </row>
    <row r="142" spans="1:36" s="66" customFormat="1">
      <c r="A142" s="72">
        <v>15200000</v>
      </c>
      <c r="B142" s="73" t="s">
        <v>20</v>
      </c>
      <c r="C142" s="201" t="s">
        <v>995</v>
      </c>
      <c r="D142" s="67">
        <v>1</v>
      </c>
      <c r="E142" s="61" t="s">
        <v>364</v>
      </c>
      <c r="F142" s="177"/>
      <c r="G142" s="177"/>
      <c r="H142" s="177"/>
      <c r="I142" s="177"/>
      <c r="J142" s="198">
        <v>43617</v>
      </c>
      <c r="K142" s="65" t="str">
        <f t="shared" si="59"/>
        <v>NO</v>
      </c>
      <c r="L142" s="183">
        <f t="shared" si="36"/>
        <v>0</v>
      </c>
      <c r="M142" s="67">
        <f>1365118.84*0</f>
        <v>0</v>
      </c>
      <c r="N142" s="67">
        <f>1365118.84*0</f>
        <v>0</v>
      </c>
      <c r="O142" s="139">
        <f t="shared" si="49"/>
        <v>0</v>
      </c>
      <c r="P142" s="72">
        <v>15921000</v>
      </c>
      <c r="Q142" s="73" t="s">
        <v>27</v>
      </c>
      <c r="R142" s="67">
        <v>0</v>
      </c>
      <c r="S142" s="67">
        <v>0</v>
      </c>
      <c r="T142" s="139">
        <f t="shared" si="50"/>
        <v>0</v>
      </c>
      <c r="U142" s="60">
        <f t="shared" si="51"/>
        <v>0</v>
      </c>
      <c r="V142" s="181">
        <v>25</v>
      </c>
      <c r="W142" s="116">
        <f t="shared" si="48"/>
        <v>31</v>
      </c>
      <c r="X142" s="116">
        <f t="shared" si="53"/>
        <v>269</v>
      </c>
      <c r="Y142" s="38">
        <f t="shared" si="54"/>
        <v>0</v>
      </c>
      <c r="Z142" s="38">
        <f t="shared" si="55"/>
        <v>0</v>
      </c>
      <c r="AA142" s="38">
        <f t="shared" si="56"/>
        <v>0</v>
      </c>
      <c r="AB142" s="38">
        <f t="shared" si="57"/>
        <v>0</v>
      </c>
      <c r="AC142" s="38">
        <f t="shared" si="58"/>
        <v>0</v>
      </c>
      <c r="AD142" s="67"/>
      <c r="AG142" s="73">
        <f>AB142-'P, Pl y Eq 2020'!AB139</f>
        <v>0</v>
      </c>
      <c r="AH142" s="73"/>
      <c r="AI142" s="73"/>
      <c r="AJ142" s="180"/>
    </row>
    <row r="143" spans="1:36" s="66" customFormat="1">
      <c r="A143" s="72">
        <v>15200000</v>
      </c>
      <c r="B143" s="73" t="s">
        <v>20</v>
      </c>
      <c r="C143" s="68" t="s">
        <v>995</v>
      </c>
      <c r="D143" s="67">
        <v>1</v>
      </c>
      <c r="E143" s="61" t="s">
        <v>364</v>
      </c>
      <c r="F143" s="177"/>
      <c r="G143" s="177"/>
      <c r="H143" s="177"/>
      <c r="I143" s="177"/>
      <c r="J143" s="198">
        <v>43617</v>
      </c>
      <c r="K143" s="65" t="str">
        <f t="shared" si="59"/>
        <v>SI</v>
      </c>
      <c r="L143" s="139">
        <f t="shared" si="36"/>
        <v>37606263.68</v>
      </c>
      <c r="M143" s="67">
        <v>37606263.68</v>
      </c>
      <c r="N143" s="67">
        <v>37606263.68</v>
      </c>
      <c r="O143" s="139">
        <f t="shared" si="49"/>
        <v>37606263.68</v>
      </c>
      <c r="P143" s="72">
        <v>15921000</v>
      </c>
      <c r="Q143" s="73" t="s">
        <v>27</v>
      </c>
      <c r="R143" s="67">
        <v>0</v>
      </c>
      <c r="S143" s="67">
        <v>0</v>
      </c>
      <c r="T143" s="139">
        <f t="shared" si="50"/>
        <v>0</v>
      </c>
      <c r="U143" s="60">
        <f t="shared" si="51"/>
        <v>37606263.68</v>
      </c>
      <c r="V143" s="181">
        <v>25</v>
      </c>
      <c r="W143" s="116">
        <f t="shared" si="48"/>
        <v>31</v>
      </c>
      <c r="X143" s="116">
        <f t="shared" si="53"/>
        <v>269</v>
      </c>
      <c r="Y143" s="38">
        <f t="shared" si="54"/>
        <v>125354.21226666667</v>
      </c>
      <c r="Z143" s="38">
        <f t="shared" si="55"/>
        <v>3885980.5802666666</v>
      </c>
      <c r="AA143" s="38">
        <f t="shared" si="56"/>
        <v>37606264</v>
      </c>
      <c r="AB143" s="38">
        <f t="shared" si="57"/>
        <v>3885981</v>
      </c>
      <c r="AC143" s="38">
        <f t="shared" si="58"/>
        <v>33720283</v>
      </c>
      <c r="AD143" s="67"/>
      <c r="AE143" s="73"/>
      <c r="AF143" s="73"/>
      <c r="AG143" s="73">
        <f>AB143-'P, Pl y Eq 2020'!AB140</f>
        <v>1504251</v>
      </c>
      <c r="AH143" s="73"/>
      <c r="AI143" s="73"/>
      <c r="AJ143" s="180"/>
    </row>
    <row r="144" spans="1:36" s="66" customFormat="1">
      <c r="A144" s="72">
        <v>15200000</v>
      </c>
      <c r="B144" s="73" t="s">
        <v>20</v>
      </c>
      <c r="C144" s="68" t="s">
        <v>995</v>
      </c>
      <c r="D144" s="67">
        <v>1</v>
      </c>
      <c r="E144" s="61" t="s">
        <v>364</v>
      </c>
      <c r="F144" s="177"/>
      <c r="G144" s="177"/>
      <c r="H144" s="177"/>
      <c r="I144" s="177"/>
      <c r="J144" s="198">
        <v>43617</v>
      </c>
      <c r="K144" s="65" t="str">
        <f t="shared" si="59"/>
        <v>SI</v>
      </c>
      <c r="L144" s="139">
        <f t="shared" si="36"/>
        <v>13731037.449999999</v>
      </c>
      <c r="M144" s="67">
        <v>13731037.449999999</v>
      </c>
      <c r="N144" s="67">
        <v>13731037.449999999</v>
      </c>
      <c r="O144" s="139">
        <f t="shared" si="49"/>
        <v>13731037.449999999</v>
      </c>
      <c r="P144" s="72">
        <v>15921000</v>
      </c>
      <c r="Q144" s="73" t="s">
        <v>27</v>
      </c>
      <c r="R144" s="67">
        <v>0</v>
      </c>
      <c r="S144" s="67">
        <v>0</v>
      </c>
      <c r="T144" s="139">
        <f t="shared" si="50"/>
        <v>0</v>
      </c>
      <c r="U144" s="60">
        <f t="shared" si="51"/>
        <v>13731037.449999999</v>
      </c>
      <c r="V144" s="181">
        <v>25</v>
      </c>
      <c r="W144" s="116">
        <f t="shared" si="48"/>
        <v>31</v>
      </c>
      <c r="X144" s="116">
        <f t="shared" si="53"/>
        <v>269</v>
      </c>
      <c r="Y144" s="38">
        <f t="shared" si="54"/>
        <v>45770.124833333328</v>
      </c>
      <c r="Z144" s="38">
        <f t="shared" si="55"/>
        <v>1418873.8698333332</v>
      </c>
      <c r="AA144" s="38">
        <f t="shared" si="56"/>
        <v>13731037</v>
      </c>
      <c r="AB144" s="38">
        <f t="shared" si="57"/>
        <v>1418874</v>
      </c>
      <c r="AC144" s="38">
        <f t="shared" si="58"/>
        <v>12312163</v>
      </c>
      <c r="AD144" s="67"/>
      <c r="AG144" s="73">
        <f>AB144-'P, Pl y Eq 2020'!AB141</f>
        <v>549242</v>
      </c>
      <c r="AH144" s="73"/>
      <c r="AI144" s="73"/>
      <c r="AJ144" s="180"/>
    </row>
    <row r="145" spans="1:36" s="66" customFormat="1">
      <c r="A145" s="72">
        <v>15200000</v>
      </c>
      <c r="B145" s="73" t="s">
        <v>20</v>
      </c>
      <c r="C145" s="68" t="s">
        <v>995</v>
      </c>
      <c r="D145" s="67">
        <v>1</v>
      </c>
      <c r="E145" s="61" t="s">
        <v>364</v>
      </c>
      <c r="F145" s="177"/>
      <c r="G145" s="177"/>
      <c r="H145" s="177"/>
      <c r="I145" s="177"/>
      <c r="J145" s="198">
        <v>43617</v>
      </c>
      <c r="K145" s="65" t="str">
        <f t="shared" si="59"/>
        <v>SI</v>
      </c>
      <c r="L145" s="139">
        <f t="shared" si="36"/>
        <v>37606263.68</v>
      </c>
      <c r="M145" s="67">
        <v>37606263.68</v>
      </c>
      <c r="N145" s="67">
        <v>37606263.68</v>
      </c>
      <c r="O145" s="139">
        <f t="shared" si="49"/>
        <v>37606263.68</v>
      </c>
      <c r="P145" s="72">
        <v>15921000</v>
      </c>
      <c r="Q145" s="73" t="s">
        <v>27</v>
      </c>
      <c r="R145" s="67">
        <v>0</v>
      </c>
      <c r="S145" s="67">
        <v>0</v>
      </c>
      <c r="T145" s="139">
        <f t="shared" si="50"/>
        <v>0</v>
      </c>
      <c r="U145" s="60">
        <f t="shared" si="51"/>
        <v>37606263.68</v>
      </c>
      <c r="V145" s="181">
        <v>25</v>
      </c>
      <c r="W145" s="116">
        <f t="shared" si="48"/>
        <v>31</v>
      </c>
      <c r="X145" s="116">
        <f t="shared" si="53"/>
        <v>269</v>
      </c>
      <c r="Y145" s="38">
        <f t="shared" si="54"/>
        <v>125354.21226666667</v>
      </c>
      <c r="Z145" s="38">
        <f t="shared" si="55"/>
        <v>3885980.5802666666</v>
      </c>
      <c r="AA145" s="38">
        <f t="shared" si="56"/>
        <v>37606264</v>
      </c>
      <c r="AB145" s="38">
        <f t="shared" si="57"/>
        <v>3885981</v>
      </c>
      <c r="AC145" s="38">
        <f t="shared" si="58"/>
        <v>33720283</v>
      </c>
      <c r="AD145" s="67"/>
      <c r="AE145" s="73"/>
      <c r="AF145" s="73"/>
      <c r="AG145" s="73">
        <f>AB145-'P, Pl y Eq 2020'!AB142</f>
        <v>1504251</v>
      </c>
      <c r="AH145" s="73"/>
      <c r="AI145" s="73"/>
      <c r="AJ145" s="180"/>
    </row>
    <row r="146" spans="1:36" s="66" customFormat="1">
      <c r="A146" s="72">
        <v>15200000</v>
      </c>
      <c r="B146" s="73" t="s">
        <v>20</v>
      </c>
      <c r="C146" s="68" t="s">
        <v>995</v>
      </c>
      <c r="D146" s="67">
        <v>1</v>
      </c>
      <c r="E146" s="61" t="s">
        <v>364</v>
      </c>
      <c r="F146" s="177"/>
      <c r="G146" s="177"/>
      <c r="H146" s="177"/>
      <c r="I146" s="177"/>
      <c r="J146" s="198">
        <v>43617</v>
      </c>
      <c r="K146" s="65" t="str">
        <f t="shared" si="59"/>
        <v>SI</v>
      </c>
      <c r="L146" s="139">
        <f t="shared" si="36"/>
        <v>13731037.449999999</v>
      </c>
      <c r="M146" s="67">
        <v>13731037.449999999</v>
      </c>
      <c r="N146" s="67">
        <v>13731037.449999999</v>
      </c>
      <c r="O146" s="139">
        <f t="shared" si="49"/>
        <v>13731037.449999999</v>
      </c>
      <c r="P146" s="72">
        <v>15921000</v>
      </c>
      <c r="Q146" s="73" t="s">
        <v>27</v>
      </c>
      <c r="R146" s="67">
        <v>0</v>
      </c>
      <c r="S146" s="67">
        <v>0</v>
      </c>
      <c r="T146" s="139">
        <f t="shared" si="50"/>
        <v>0</v>
      </c>
      <c r="U146" s="60">
        <f t="shared" si="51"/>
        <v>13731037.449999999</v>
      </c>
      <c r="V146" s="181">
        <v>25</v>
      </c>
      <c r="W146" s="116">
        <f t="shared" si="48"/>
        <v>31</v>
      </c>
      <c r="X146" s="116">
        <f t="shared" si="53"/>
        <v>269</v>
      </c>
      <c r="Y146" s="38">
        <f t="shared" si="54"/>
        <v>45770.124833333328</v>
      </c>
      <c r="Z146" s="38">
        <f t="shared" si="55"/>
        <v>1418873.8698333332</v>
      </c>
      <c r="AA146" s="38">
        <f t="shared" si="56"/>
        <v>13731037</v>
      </c>
      <c r="AB146" s="38">
        <f t="shared" si="57"/>
        <v>1418874</v>
      </c>
      <c r="AC146" s="38">
        <f t="shared" si="58"/>
        <v>12312163</v>
      </c>
      <c r="AD146" s="67"/>
      <c r="AG146" s="73">
        <f>AB146-'P, Pl y Eq 2020'!AB143</f>
        <v>549242</v>
      </c>
      <c r="AH146" s="73"/>
      <c r="AI146" s="73"/>
      <c r="AJ146" s="180"/>
    </row>
    <row r="147" spans="1:36" s="66" customFormat="1">
      <c r="A147" s="72">
        <v>15200000</v>
      </c>
      <c r="B147" s="73" t="s">
        <v>20</v>
      </c>
      <c r="C147" s="68" t="s">
        <v>995</v>
      </c>
      <c r="D147" s="67">
        <v>1</v>
      </c>
      <c r="E147" s="61" t="s">
        <v>364</v>
      </c>
      <c r="F147" s="177"/>
      <c r="G147" s="177"/>
      <c r="H147" s="177"/>
      <c r="I147" s="177"/>
      <c r="J147" s="198">
        <v>43617</v>
      </c>
      <c r="K147" s="65" t="str">
        <f t="shared" si="59"/>
        <v>SI</v>
      </c>
      <c r="L147" s="139">
        <f t="shared" si="36"/>
        <v>37606263.68</v>
      </c>
      <c r="M147" s="67">
        <v>37606263.68</v>
      </c>
      <c r="N147" s="67">
        <v>37606263.68</v>
      </c>
      <c r="O147" s="139">
        <f t="shared" si="49"/>
        <v>37606263.68</v>
      </c>
      <c r="P147" s="72">
        <v>15921000</v>
      </c>
      <c r="Q147" s="73" t="s">
        <v>27</v>
      </c>
      <c r="R147" s="67">
        <v>0</v>
      </c>
      <c r="S147" s="67">
        <v>0</v>
      </c>
      <c r="T147" s="139">
        <f t="shared" si="50"/>
        <v>0</v>
      </c>
      <c r="U147" s="60">
        <f t="shared" si="51"/>
        <v>37606263.68</v>
      </c>
      <c r="V147" s="181">
        <v>25</v>
      </c>
      <c r="W147" s="116">
        <f t="shared" si="48"/>
        <v>31</v>
      </c>
      <c r="X147" s="116">
        <f t="shared" si="53"/>
        <v>269</v>
      </c>
      <c r="Y147" s="38">
        <f t="shared" si="54"/>
        <v>125354.21226666667</v>
      </c>
      <c r="Z147" s="38">
        <f t="shared" si="55"/>
        <v>3885980.5802666666</v>
      </c>
      <c r="AA147" s="38">
        <f t="shared" si="56"/>
        <v>37606264</v>
      </c>
      <c r="AB147" s="38">
        <f t="shared" si="57"/>
        <v>3885981</v>
      </c>
      <c r="AC147" s="38">
        <f t="shared" si="58"/>
        <v>33720283</v>
      </c>
      <c r="AD147" s="67"/>
      <c r="AE147" s="73"/>
      <c r="AF147" s="73"/>
      <c r="AG147" s="73">
        <f>AB147-'P, Pl y Eq 2020'!AB144</f>
        <v>1504251</v>
      </c>
      <c r="AH147" s="73"/>
      <c r="AI147" s="73"/>
      <c r="AJ147" s="180"/>
    </row>
    <row r="148" spans="1:36" s="66" customFormat="1">
      <c r="A148" s="72">
        <v>15200000</v>
      </c>
      <c r="B148" s="73" t="s">
        <v>20</v>
      </c>
      <c r="C148" s="68" t="s">
        <v>995</v>
      </c>
      <c r="D148" s="67">
        <v>1</v>
      </c>
      <c r="E148" s="61" t="s">
        <v>364</v>
      </c>
      <c r="F148" s="177"/>
      <c r="G148" s="177"/>
      <c r="H148" s="177"/>
      <c r="I148" s="177"/>
      <c r="J148" s="198">
        <v>43617</v>
      </c>
      <c r="K148" s="65" t="str">
        <f t="shared" si="59"/>
        <v>SI</v>
      </c>
      <c r="L148" s="139">
        <f t="shared" si="36"/>
        <v>13731037.449999999</v>
      </c>
      <c r="M148" s="67">
        <v>13731037.449999999</v>
      </c>
      <c r="N148" s="67">
        <v>13731037.449999999</v>
      </c>
      <c r="O148" s="139">
        <f t="shared" si="49"/>
        <v>13731037.449999999</v>
      </c>
      <c r="P148" s="72">
        <v>15921000</v>
      </c>
      <c r="Q148" s="73" t="s">
        <v>27</v>
      </c>
      <c r="R148" s="67">
        <v>0</v>
      </c>
      <c r="S148" s="67">
        <v>0</v>
      </c>
      <c r="T148" s="139">
        <f t="shared" si="50"/>
        <v>0</v>
      </c>
      <c r="U148" s="60">
        <f t="shared" si="51"/>
        <v>13731037.449999999</v>
      </c>
      <c r="V148" s="181">
        <v>25</v>
      </c>
      <c r="W148" s="116">
        <f t="shared" si="48"/>
        <v>31</v>
      </c>
      <c r="X148" s="116">
        <f t="shared" si="53"/>
        <v>269</v>
      </c>
      <c r="Y148" s="38">
        <f t="shared" si="54"/>
        <v>45770.124833333328</v>
      </c>
      <c r="Z148" s="38">
        <f t="shared" si="55"/>
        <v>1418873.8698333332</v>
      </c>
      <c r="AA148" s="38">
        <f t="shared" si="56"/>
        <v>13731037</v>
      </c>
      <c r="AB148" s="38">
        <f t="shared" si="57"/>
        <v>1418874</v>
      </c>
      <c r="AC148" s="38">
        <f t="shared" si="58"/>
        <v>12312163</v>
      </c>
      <c r="AD148" s="67"/>
      <c r="AG148" s="73">
        <f>AB148-'P, Pl y Eq 2020'!AB145</f>
        <v>549242</v>
      </c>
      <c r="AH148" s="73"/>
      <c r="AI148" s="73"/>
      <c r="AJ148" s="180"/>
    </row>
    <row r="149" spans="1:36" s="66" customFormat="1">
      <c r="A149" s="72">
        <v>15200000</v>
      </c>
      <c r="B149" s="73" t="s">
        <v>20</v>
      </c>
      <c r="C149" s="68" t="s">
        <v>995</v>
      </c>
      <c r="D149" s="67">
        <v>1</v>
      </c>
      <c r="E149" s="61" t="s">
        <v>364</v>
      </c>
      <c r="F149" s="177"/>
      <c r="G149" s="177"/>
      <c r="H149" s="177"/>
      <c r="I149" s="177"/>
      <c r="J149" s="198">
        <v>43617</v>
      </c>
      <c r="K149" s="65" t="str">
        <f t="shared" si="59"/>
        <v>SI</v>
      </c>
      <c r="L149" s="139">
        <f t="shared" si="36"/>
        <v>16857980.280000001</v>
      </c>
      <c r="M149" s="67">
        <v>16857980.280000001</v>
      </c>
      <c r="N149" s="67">
        <v>16857980.280000001</v>
      </c>
      <c r="O149" s="139">
        <f t="shared" si="49"/>
        <v>16857980.280000001</v>
      </c>
      <c r="P149" s="72">
        <v>15921000</v>
      </c>
      <c r="Q149" s="73" t="s">
        <v>27</v>
      </c>
      <c r="R149" s="67">
        <v>0</v>
      </c>
      <c r="S149" s="67">
        <v>0</v>
      </c>
      <c r="T149" s="139">
        <f t="shared" si="50"/>
        <v>0</v>
      </c>
      <c r="U149" s="60">
        <f t="shared" si="51"/>
        <v>16857980.280000001</v>
      </c>
      <c r="V149" s="181">
        <v>25</v>
      </c>
      <c r="W149" s="116">
        <f t="shared" si="48"/>
        <v>31</v>
      </c>
      <c r="X149" s="116">
        <f t="shared" si="53"/>
        <v>269</v>
      </c>
      <c r="Y149" s="38">
        <f t="shared" si="54"/>
        <v>56193.267600000006</v>
      </c>
      <c r="Z149" s="38">
        <f t="shared" si="55"/>
        <v>1741991.2956000003</v>
      </c>
      <c r="AA149" s="38">
        <f t="shared" si="56"/>
        <v>16857980</v>
      </c>
      <c r="AB149" s="38">
        <f t="shared" si="57"/>
        <v>1741991</v>
      </c>
      <c r="AC149" s="38">
        <f t="shared" si="58"/>
        <v>15115989</v>
      </c>
      <c r="AD149" s="67"/>
      <c r="AE149" s="73"/>
      <c r="AF149" s="73"/>
      <c r="AG149" s="73">
        <f>AB149-'P, Pl y Eq 2020'!AB146</f>
        <v>674319</v>
      </c>
      <c r="AH149" s="73"/>
      <c r="AI149" s="73"/>
      <c r="AJ149" s="180"/>
    </row>
    <row r="150" spans="1:36" s="66" customFormat="1">
      <c r="A150" s="72">
        <v>15200000</v>
      </c>
      <c r="B150" s="73" t="s">
        <v>20</v>
      </c>
      <c r="C150" s="68" t="s">
        <v>995</v>
      </c>
      <c r="D150" s="67">
        <v>1</v>
      </c>
      <c r="E150" s="61" t="s">
        <v>364</v>
      </c>
      <c r="F150" s="177"/>
      <c r="G150" s="177"/>
      <c r="H150" s="177"/>
      <c r="I150" s="177"/>
      <c r="J150" s="198">
        <v>43617</v>
      </c>
      <c r="K150" s="65" t="str">
        <f t="shared" si="59"/>
        <v>SI</v>
      </c>
      <c r="L150" s="139">
        <f t="shared" si="36"/>
        <v>6155292.6500000004</v>
      </c>
      <c r="M150" s="67">
        <v>6155292.6500000004</v>
      </c>
      <c r="N150" s="67">
        <v>6155292.6500000004</v>
      </c>
      <c r="O150" s="139">
        <f t="shared" si="49"/>
        <v>6155292.6500000004</v>
      </c>
      <c r="P150" s="72">
        <v>15921000</v>
      </c>
      <c r="Q150" s="73" t="s">
        <v>27</v>
      </c>
      <c r="R150" s="67">
        <v>0</v>
      </c>
      <c r="S150" s="67">
        <v>0</v>
      </c>
      <c r="T150" s="139">
        <f t="shared" si="50"/>
        <v>0</v>
      </c>
      <c r="U150" s="60">
        <f t="shared" si="51"/>
        <v>6155292.6500000004</v>
      </c>
      <c r="V150" s="181">
        <v>25</v>
      </c>
      <c r="W150" s="116">
        <f t="shared" si="48"/>
        <v>31</v>
      </c>
      <c r="X150" s="116">
        <f t="shared" si="53"/>
        <v>269</v>
      </c>
      <c r="Y150" s="38">
        <f t="shared" si="54"/>
        <v>20517.642166666668</v>
      </c>
      <c r="Z150" s="38">
        <f t="shared" si="55"/>
        <v>636046.9071666667</v>
      </c>
      <c r="AA150" s="38">
        <f t="shared" si="56"/>
        <v>6155293</v>
      </c>
      <c r="AB150" s="38">
        <f t="shared" si="57"/>
        <v>636047</v>
      </c>
      <c r="AC150" s="38">
        <f t="shared" si="58"/>
        <v>5519246</v>
      </c>
      <c r="AD150" s="67"/>
      <c r="AG150" s="73">
        <f>AB150-'P, Pl y Eq 2020'!AB147</f>
        <v>246212</v>
      </c>
      <c r="AH150" s="73"/>
      <c r="AI150" s="73"/>
      <c r="AJ150" s="180"/>
    </row>
    <row r="151" spans="1:36" s="66" customFormat="1">
      <c r="A151" s="72">
        <v>15200000</v>
      </c>
      <c r="B151" s="73" t="s">
        <v>20</v>
      </c>
      <c r="C151" s="68" t="s">
        <v>995</v>
      </c>
      <c r="D151" s="67">
        <v>1</v>
      </c>
      <c r="E151" s="61" t="s">
        <v>364</v>
      </c>
      <c r="F151" s="177"/>
      <c r="G151" s="177"/>
      <c r="H151" s="177"/>
      <c r="I151" s="177"/>
      <c r="J151" s="198">
        <v>43617</v>
      </c>
      <c r="K151" s="65" t="str">
        <f t="shared" si="59"/>
        <v>SI</v>
      </c>
      <c r="L151" s="139">
        <f t="shared" si="36"/>
        <v>4078945.94</v>
      </c>
      <c r="M151" s="67">
        <v>4078945.94</v>
      </c>
      <c r="N151" s="67">
        <v>4078945.94</v>
      </c>
      <c r="O151" s="139">
        <f t="shared" si="49"/>
        <v>4078945.94</v>
      </c>
      <c r="P151" s="72">
        <v>15921000</v>
      </c>
      <c r="Q151" s="73" t="s">
        <v>27</v>
      </c>
      <c r="R151" s="67">
        <v>0</v>
      </c>
      <c r="S151" s="67">
        <v>0</v>
      </c>
      <c r="T151" s="139">
        <f t="shared" si="50"/>
        <v>0</v>
      </c>
      <c r="U151" s="60">
        <f t="shared" si="51"/>
        <v>4078945.94</v>
      </c>
      <c r="V151" s="181">
        <v>25</v>
      </c>
      <c r="W151" s="116">
        <f t="shared" si="48"/>
        <v>31</v>
      </c>
      <c r="X151" s="116">
        <f t="shared" si="53"/>
        <v>269</v>
      </c>
      <c r="Y151" s="38">
        <f t="shared" si="54"/>
        <v>13596.486466666667</v>
      </c>
      <c r="Z151" s="38">
        <f t="shared" si="55"/>
        <v>421491.08046666667</v>
      </c>
      <c r="AA151" s="38">
        <f t="shared" si="56"/>
        <v>4078946</v>
      </c>
      <c r="AB151" s="38">
        <f t="shared" si="57"/>
        <v>421491</v>
      </c>
      <c r="AC151" s="38">
        <f t="shared" si="58"/>
        <v>3657455</v>
      </c>
      <c r="AD151" s="67"/>
      <c r="AE151" s="73"/>
      <c r="AF151" s="73"/>
      <c r="AG151" s="73">
        <f>AB151-'P, Pl y Eq 2020'!AB148</f>
        <v>163158</v>
      </c>
      <c r="AH151" s="73"/>
      <c r="AI151" s="73"/>
      <c r="AJ151" s="180"/>
    </row>
    <row r="152" spans="1:36" s="66" customFormat="1">
      <c r="A152" s="72">
        <v>15200000</v>
      </c>
      <c r="B152" s="73" t="s">
        <v>20</v>
      </c>
      <c r="C152" s="68" t="s">
        <v>995</v>
      </c>
      <c r="D152" s="67">
        <v>1</v>
      </c>
      <c r="E152" s="61" t="s">
        <v>364</v>
      </c>
      <c r="F152" s="177"/>
      <c r="G152" s="177"/>
      <c r="H152" s="177"/>
      <c r="I152" s="177"/>
      <c r="J152" s="198">
        <v>43617</v>
      </c>
      <c r="K152" s="65" t="str">
        <f t="shared" si="59"/>
        <v>SI</v>
      </c>
      <c r="L152" s="139">
        <f t="shared" si="36"/>
        <v>10663066.08</v>
      </c>
      <c r="M152" s="67">
        <v>10663066.08</v>
      </c>
      <c r="N152" s="67">
        <v>10663066.08</v>
      </c>
      <c r="O152" s="139">
        <f t="shared" si="49"/>
        <v>10663066.08</v>
      </c>
      <c r="P152" s="72">
        <v>15921000</v>
      </c>
      <c r="Q152" s="73" t="s">
        <v>27</v>
      </c>
      <c r="R152" s="67">
        <v>0</v>
      </c>
      <c r="S152" s="67">
        <v>0</v>
      </c>
      <c r="T152" s="139">
        <f t="shared" si="50"/>
        <v>0</v>
      </c>
      <c r="U152" s="60">
        <f t="shared" si="51"/>
        <v>10663066.08</v>
      </c>
      <c r="V152" s="181">
        <v>25</v>
      </c>
      <c r="W152" s="116">
        <f t="shared" si="48"/>
        <v>31</v>
      </c>
      <c r="X152" s="116">
        <f t="shared" si="53"/>
        <v>269</v>
      </c>
      <c r="Y152" s="38">
        <f t="shared" si="54"/>
        <v>35543.553599999999</v>
      </c>
      <c r="Z152" s="38">
        <f t="shared" si="55"/>
        <v>1101850.1616</v>
      </c>
      <c r="AA152" s="38">
        <f t="shared" si="56"/>
        <v>10663066</v>
      </c>
      <c r="AB152" s="38">
        <f t="shared" si="57"/>
        <v>1101850</v>
      </c>
      <c r="AC152" s="38">
        <f t="shared" si="58"/>
        <v>9561216</v>
      </c>
      <c r="AD152" s="67"/>
      <c r="AG152" s="73">
        <f>AB152-'P, Pl y Eq 2020'!AB149</f>
        <v>426522</v>
      </c>
      <c r="AH152" s="73"/>
      <c r="AI152" s="73"/>
      <c r="AJ152" s="180"/>
    </row>
    <row r="153" spans="1:36" s="66" customFormat="1">
      <c r="A153" s="72">
        <v>15200000</v>
      </c>
      <c r="B153" s="73" t="s">
        <v>20</v>
      </c>
      <c r="C153" s="68" t="s">
        <v>995</v>
      </c>
      <c r="D153" s="67">
        <v>1</v>
      </c>
      <c r="E153" s="61" t="s">
        <v>364</v>
      </c>
      <c r="F153" s="177"/>
      <c r="G153" s="177"/>
      <c r="H153" s="177"/>
      <c r="I153" s="177"/>
      <c r="J153" s="198">
        <v>43617</v>
      </c>
      <c r="K153" s="65" t="str">
        <f t="shared" si="59"/>
        <v>SI</v>
      </c>
      <c r="L153" s="139">
        <f t="shared" si="36"/>
        <v>4078945.94</v>
      </c>
      <c r="M153" s="67">
        <v>4078945.94</v>
      </c>
      <c r="N153" s="67">
        <v>4078945.94</v>
      </c>
      <c r="O153" s="139">
        <f t="shared" si="49"/>
        <v>4078945.94</v>
      </c>
      <c r="P153" s="72">
        <v>15921000</v>
      </c>
      <c r="Q153" s="73" t="s">
        <v>27</v>
      </c>
      <c r="R153" s="67">
        <v>0</v>
      </c>
      <c r="S153" s="67">
        <v>0</v>
      </c>
      <c r="T153" s="139">
        <f t="shared" si="50"/>
        <v>0</v>
      </c>
      <c r="U153" s="60">
        <f t="shared" si="51"/>
        <v>4078945.94</v>
      </c>
      <c r="V153" s="181">
        <v>25</v>
      </c>
      <c r="W153" s="116">
        <f t="shared" si="48"/>
        <v>31</v>
      </c>
      <c r="X153" s="116">
        <f t="shared" si="53"/>
        <v>269</v>
      </c>
      <c r="Y153" s="38">
        <f t="shared" si="54"/>
        <v>13596.486466666667</v>
      </c>
      <c r="Z153" s="38">
        <f t="shared" si="55"/>
        <v>421491.08046666667</v>
      </c>
      <c r="AA153" s="38">
        <f t="shared" si="56"/>
        <v>4078946</v>
      </c>
      <c r="AB153" s="38">
        <f t="shared" si="57"/>
        <v>421491</v>
      </c>
      <c r="AC153" s="38">
        <f t="shared" si="58"/>
        <v>3657455</v>
      </c>
      <c r="AD153" s="67"/>
      <c r="AE153" s="73"/>
      <c r="AF153" s="73"/>
      <c r="AG153" s="73">
        <f>AB153-'P, Pl y Eq 2020'!AB150</f>
        <v>163158</v>
      </c>
      <c r="AH153" s="73"/>
      <c r="AI153" s="73"/>
      <c r="AJ153" s="180"/>
    </row>
    <row r="154" spans="1:36" s="66" customFormat="1">
      <c r="A154" s="72">
        <v>15200000</v>
      </c>
      <c r="B154" s="73" t="s">
        <v>20</v>
      </c>
      <c r="C154" s="68" t="s">
        <v>995</v>
      </c>
      <c r="D154" s="67">
        <v>1</v>
      </c>
      <c r="E154" s="61" t="s">
        <v>364</v>
      </c>
      <c r="F154" s="177"/>
      <c r="G154" s="177"/>
      <c r="H154" s="177"/>
      <c r="I154" s="177"/>
      <c r="J154" s="198">
        <v>43617</v>
      </c>
      <c r="K154" s="65" t="str">
        <f t="shared" si="59"/>
        <v>SI</v>
      </c>
      <c r="L154" s="139">
        <f t="shared" si="36"/>
        <v>10663066.08</v>
      </c>
      <c r="M154" s="67">
        <v>10663066.08</v>
      </c>
      <c r="N154" s="67">
        <v>10663066.08</v>
      </c>
      <c r="O154" s="139">
        <f t="shared" si="49"/>
        <v>10663066.08</v>
      </c>
      <c r="P154" s="72">
        <v>15921000</v>
      </c>
      <c r="Q154" s="73" t="s">
        <v>27</v>
      </c>
      <c r="R154" s="67">
        <v>0</v>
      </c>
      <c r="S154" s="67">
        <v>0</v>
      </c>
      <c r="T154" s="139">
        <f t="shared" si="50"/>
        <v>0</v>
      </c>
      <c r="U154" s="60">
        <f t="shared" si="51"/>
        <v>10663066.08</v>
      </c>
      <c r="V154" s="181">
        <v>25</v>
      </c>
      <c r="W154" s="116">
        <f t="shared" si="48"/>
        <v>31</v>
      </c>
      <c r="X154" s="116">
        <f t="shared" si="53"/>
        <v>269</v>
      </c>
      <c r="Y154" s="38">
        <f t="shared" si="54"/>
        <v>35543.553599999999</v>
      </c>
      <c r="Z154" s="38">
        <f t="shared" si="55"/>
        <v>1101850.1616</v>
      </c>
      <c r="AA154" s="38">
        <f t="shared" si="56"/>
        <v>10663066</v>
      </c>
      <c r="AB154" s="38">
        <f t="shared" si="57"/>
        <v>1101850</v>
      </c>
      <c r="AC154" s="38">
        <f t="shared" si="58"/>
        <v>9561216</v>
      </c>
      <c r="AD154" s="67"/>
      <c r="AG154" s="73">
        <f>AB154-'P, Pl y Eq 2020'!AB151</f>
        <v>426522</v>
      </c>
      <c r="AH154" s="73"/>
      <c r="AI154" s="73"/>
      <c r="AJ154" s="180"/>
    </row>
    <row r="155" spans="1:36" s="66" customFormat="1">
      <c r="A155" s="72">
        <v>15200000</v>
      </c>
      <c r="B155" s="73" t="s">
        <v>20</v>
      </c>
      <c r="C155" s="68" t="s">
        <v>995</v>
      </c>
      <c r="D155" s="67">
        <v>1</v>
      </c>
      <c r="E155" s="61" t="s">
        <v>364</v>
      </c>
      <c r="F155" s="177"/>
      <c r="G155" s="177"/>
      <c r="H155" s="177"/>
      <c r="I155" s="177"/>
      <c r="J155" s="198">
        <v>43617</v>
      </c>
      <c r="K155" s="65" t="str">
        <f t="shared" si="59"/>
        <v>SI</v>
      </c>
      <c r="L155" s="139">
        <f t="shared" si="36"/>
        <v>4078945.94</v>
      </c>
      <c r="M155" s="67">
        <v>4078945.94</v>
      </c>
      <c r="N155" s="67">
        <v>4078945.94</v>
      </c>
      <c r="O155" s="139">
        <f t="shared" si="49"/>
        <v>4078945.94</v>
      </c>
      <c r="P155" s="72">
        <v>15921000</v>
      </c>
      <c r="Q155" s="73" t="s">
        <v>27</v>
      </c>
      <c r="R155" s="67">
        <v>0</v>
      </c>
      <c r="S155" s="67">
        <v>0</v>
      </c>
      <c r="T155" s="139">
        <f t="shared" si="50"/>
        <v>0</v>
      </c>
      <c r="U155" s="60">
        <f t="shared" si="51"/>
        <v>4078945.94</v>
      </c>
      <c r="V155" s="181">
        <v>25</v>
      </c>
      <c r="W155" s="116">
        <f t="shared" si="48"/>
        <v>31</v>
      </c>
      <c r="X155" s="116">
        <f t="shared" si="53"/>
        <v>269</v>
      </c>
      <c r="Y155" s="38">
        <f t="shared" si="54"/>
        <v>13596.486466666667</v>
      </c>
      <c r="Z155" s="38">
        <f t="shared" si="55"/>
        <v>421491.08046666667</v>
      </c>
      <c r="AA155" s="38">
        <f t="shared" si="56"/>
        <v>4078946</v>
      </c>
      <c r="AB155" s="38">
        <f t="shared" si="57"/>
        <v>421491</v>
      </c>
      <c r="AC155" s="38">
        <f t="shared" si="58"/>
        <v>3657455</v>
      </c>
      <c r="AD155" s="67"/>
      <c r="AE155" s="73"/>
      <c r="AF155" s="73"/>
      <c r="AG155" s="73">
        <f>AB155-'P, Pl y Eq 2020'!AB152</f>
        <v>163158</v>
      </c>
      <c r="AH155" s="73"/>
      <c r="AI155" s="73"/>
      <c r="AJ155" s="180"/>
    </row>
    <row r="156" spans="1:36" s="66" customFormat="1">
      <c r="A156" s="72">
        <v>15200000</v>
      </c>
      <c r="B156" s="73" t="s">
        <v>20</v>
      </c>
      <c r="C156" s="68" t="s">
        <v>995</v>
      </c>
      <c r="D156" s="67">
        <v>1</v>
      </c>
      <c r="E156" s="61" t="s">
        <v>364</v>
      </c>
      <c r="F156" s="177"/>
      <c r="G156" s="177"/>
      <c r="H156" s="177"/>
      <c r="I156" s="177"/>
      <c r="J156" s="198">
        <v>43617</v>
      </c>
      <c r="K156" s="65" t="str">
        <f t="shared" si="59"/>
        <v>SI</v>
      </c>
      <c r="L156" s="139">
        <f t="shared" si="36"/>
        <v>10663066.08</v>
      </c>
      <c r="M156" s="67">
        <v>10663066.08</v>
      </c>
      <c r="N156" s="67">
        <v>10663066.08</v>
      </c>
      <c r="O156" s="139">
        <f t="shared" si="49"/>
        <v>10663066.08</v>
      </c>
      <c r="P156" s="72">
        <v>15921000</v>
      </c>
      <c r="Q156" s="73" t="s">
        <v>27</v>
      </c>
      <c r="R156" s="67">
        <v>0</v>
      </c>
      <c r="S156" s="67">
        <v>0</v>
      </c>
      <c r="T156" s="139">
        <f t="shared" si="50"/>
        <v>0</v>
      </c>
      <c r="U156" s="60">
        <f t="shared" si="51"/>
        <v>10663066.08</v>
      </c>
      <c r="V156" s="181">
        <v>25</v>
      </c>
      <c r="W156" s="116">
        <f t="shared" si="48"/>
        <v>31</v>
      </c>
      <c r="X156" s="116">
        <f t="shared" si="53"/>
        <v>269</v>
      </c>
      <c r="Y156" s="38">
        <f t="shared" si="54"/>
        <v>35543.553599999999</v>
      </c>
      <c r="Z156" s="38">
        <f t="shared" si="55"/>
        <v>1101850.1616</v>
      </c>
      <c r="AA156" s="38">
        <f t="shared" si="56"/>
        <v>10663066</v>
      </c>
      <c r="AB156" s="38">
        <f t="shared" si="57"/>
        <v>1101850</v>
      </c>
      <c r="AC156" s="38">
        <f t="shared" si="58"/>
        <v>9561216</v>
      </c>
      <c r="AD156" s="67"/>
      <c r="AG156" s="73">
        <f>AB156-'P, Pl y Eq 2020'!AB153</f>
        <v>426522</v>
      </c>
      <c r="AH156" s="73"/>
      <c r="AI156" s="73"/>
      <c r="AJ156" s="180"/>
    </row>
    <row r="157" spans="1:36" s="66" customFormat="1">
      <c r="A157" s="72">
        <v>15200000</v>
      </c>
      <c r="B157" s="73" t="s">
        <v>20</v>
      </c>
      <c r="C157" s="68" t="s">
        <v>995</v>
      </c>
      <c r="D157" s="67">
        <v>1</v>
      </c>
      <c r="E157" s="61" t="s">
        <v>364</v>
      </c>
      <c r="F157" s="177"/>
      <c r="G157" s="177"/>
      <c r="H157" s="177"/>
      <c r="I157" s="177"/>
      <c r="J157" s="198">
        <v>43617</v>
      </c>
      <c r="K157" s="65" t="str">
        <f t="shared" si="59"/>
        <v>SI</v>
      </c>
      <c r="L157" s="139">
        <f t="shared" si="36"/>
        <v>4078945.94</v>
      </c>
      <c r="M157" s="67">
        <v>4078945.94</v>
      </c>
      <c r="N157" s="67">
        <v>4078945.94</v>
      </c>
      <c r="O157" s="139">
        <f t="shared" si="49"/>
        <v>4078945.94</v>
      </c>
      <c r="P157" s="72">
        <v>15921000</v>
      </c>
      <c r="Q157" s="73" t="s">
        <v>27</v>
      </c>
      <c r="R157" s="67">
        <v>0</v>
      </c>
      <c r="S157" s="67">
        <v>0</v>
      </c>
      <c r="T157" s="139">
        <f t="shared" si="50"/>
        <v>0</v>
      </c>
      <c r="U157" s="60">
        <f t="shared" si="51"/>
        <v>4078945.94</v>
      </c>
      <c r="V157" s="181">
        <v>25</v>
      </c>
      <c r="W157" s="116">
        <f t="shared" si="48"/>
        <v>31</v>
      </c>
      <c r="X157" s="116">
        <f t="shared" si="53"/>
        <v>269</v>
      </c>
      <c r="Y157" s="38">
        <f t="shared" si="54"/>
        <v>13596.486466666667</v>
      </c>
      <c r="Z157" s="38">
        <f t="shared" si="55"/>
        <v>421491.08046666667</v>
      </c>
      <c r="AA157" s="38">
        <f t="shared" si="56"/>
        <v>4078946</v>
      </c>
      <c r="AB157" s="38">
        <f t="shared" si="57"/>
        <v>421491</v>
      </c>
      <c r="AC157" s="38">
        <f t="shared" si="58"/>
        <v>3657455</v>
      </c>
      <c r="AD157" s="67"/>
      <c r="AE157" s="73"/>
      <c r="AF157" s="73"/>
      <c r="AG157" s="73">
        <f>AB157-'P, Pl y Eq 2020'!AB154</f>
        <v>163158</v>
      </c>
      <c r="AH157" s="73"/>
      <c r="AI157" s="73"/>
      <c r="AJ157" s="180"/>
    </row>
    <row r="158" spans="1:36" s="66" customFormat="1">
      <c r="A158" s="72">
        <v>15200000</v>
      </c>
      <c r="B158" s="73" t="s">
        <v>20</v>
      </c>
      <c r="C158" s="68" t="s">
        <v>995</v>
      </c>
      <c r="D158" s="67">
        <v>1</v>
      </c>
      <c r="E158" s="61" t="s">
        <v>364</v>
      </c>
      <c r="F158" s="177"/>
      <c r="G158" s="177"/>
      <c r="H158" s="177"/>
      <c r="I158" s="177"/>
      <c r="J158" s="198">
        <v>43617</v>
      </c>
      <c r="K158" s="65" t="str">
        <f t="shared" si="59"/>
        <v>SI</v>
      </c>
      <c r="L158" s="139">
        <f t="shared" si="36"/>
        <v>10663066.08</v>
      </c>
      <c r="M158" s="67">
        <v>10663066.08</v>
      </c>
      <c r="N158" s="67">
        <v>10663066.08</v>
      </c>
      <c r="O158" s="139">
        <f t="shared" si="49"/>
        <v>10663066.08</v>
      </c>
      <c r="P158" s="72">
        <v>15921000</v>
      </c>
      <c r="Q158" s="73" t="s">
        <v>27</v>
      </c>
      <c r="R158" s="67">
        <v>0</v>
      </c>
      <c r="S158" s="67">
        <v>0</v>
      </c>
      <c r="T158" s="139">
        <f t="shared" si="50"/>
        <v>0</v>
      </c>
      <c r="U158" s="60">
        <f t="shared" si="51"/>
        <v>10663066.08</v>
      </c>
      <c r="V158" s="181">
        <v>25</v>
      </c>
      <c r="W158" s="116">
        <f t="shared" si="48"/>
        <v>31</v>
      </c>
      <c r="X158" s="116">
        <f t="shared" si="53"/>
        <v>269</v>
      </c>
      <c r="Y158" s="38">
        <f t="shared" si="54"/>
        <v>35543.553599999999</v>
      </c>
      <c r="Z158" s="38">
        <f t="shared" si="55"/>
        <v>1101850.1616</v>
      </c>
      <c r="AA158" s="38">
        <f t="shared" si="56"/>
        <v>10663066</v>
      </c>
      <c r="AB158" s="38">
        <f t="shared" si="57"/>
        <v>1101850</v>
      </c>
      <c r="AC158" s="38">
        <f t="shared" si="58"/>
        <v>9561216</v>
      </c>
      <c r="AD158" s="67"/>
      <c r="AG158" s="73">
        <f>AB158-'P, Pl y Eq 2020'!AB155</f>
        <v>426522</v>
      </c>
      <c r="AH158" s="73"/>
      <c r="AI158" s="73"/>
      <c r="AJ158" s="180"/>
    </row>
    <row r="159" spans="1:36" s="66" customFormat="1">
      <c r="A159" s="72">
        <v>15200000</v>
      </c>
      <c r="B159" s="73" t="s">
        <v>20</v>
      </c>
      <c r="C159" s="68" t="s">
        <v>995</v>
      </c>
      <c r="D159" s="67">
        <v>1</v>
      </c>
      <c r="E159" s="61" t="s">
        <v>364</v>
      </c>
      <c r="F159" s="177"/>
      <c r="G159" s="177"/>
      <c r="H159" s="177"/>
      <c r="I159" s="177"/>
      <c r="J159" s="198">
        <v>43617</v>
      </c>
      <c r="K159" s="65" t="str">
        <f t="shared" si="59"/>
        <v>SI</v>
      </c>
      <c r="L159" s="139">
        <f t="shared" si="36"/>
        <v>4078945.94</v>
      </c>
      <c r="M159" s="67">
        <v>4078945.94</v>
      </c>
      <c r="N159" s="67">
        <v>4078945.94</v>
      </c>
      <c r="O159" s="139">
        <f t="shared" si="49"/>
        <v>4078945.94</v>
      </c>
      <c r="P159" s="72">
        <v>15921000</v>
      </c>
      <c r="Q159" s="73" t="s">
        <v>27</v>
      </c>
      <c r="R159" s="67">
        <v>0</v>
      </c>
      <c r="S159" s="67">
        <v>0</v>
      </c>
      <c r="T159" s="139">
        <f t="shared" si="50"/>
        <v>0</v>
      </c>
      <c r="U159" s="60">
        <f t="shared" si="51"/>
        <v>4078945.94</v>
      </c>
      <c r="V159" s="181">
        <v>25</v>
      </c>
      <c r="W159" s="116">
        <f t="shared" si="48"/>
        <v>31</v>
      </c>
      <c r="X159" s="116">
        <f t="shared" si="53"/>
        <v>269</v>
      </c>
      <c r="Y159" s="38">
        <f t="shared" si="54"/>
        <v>13596.486466666667</v>
      </c>
      <c r="Z159" s="38">
        <f t="shared" si="55"/>
        <v>421491.08046666667</v>
      </c>
      <c r="AA159" s="38">
        <f t="shared" si="56"/>
        <v>4078946</v>
      </c>
      <c r="AB159" s="38">
        <f t="shared" si="57"/>
        <v>421491</v>
      </c>
      <c r="AC159" s="38">
        <f t="shared" si="58"/>
        <v>3657455</v>
      </c>
      <c r="AD159" s="67"/>
      <c r="AE159" s="73"/>
      <c r="AF159" s="73"/>
      <c r="AG159" s="73">
        <f>AB159-'P, Pl y Eq 2020'!AB156</f>
        <v>163158</v>
      </c>
      <c r="AH159" s="73"/>
      <c r="AI159" s="73"/>
      <c r="AJ159" s="180"/>
    </row>
    <row r="160" spans="1:36" s="66" customFormat="1">
      <c r="A160" s="72">
        <v>15200000</v>
      </c>
      <c r="B160" s="73" t="s">
        <v>20</v>
      </c>
      <c r="C160" s="68" t="s">
        <v>995</v>
      </c>
      <c r="D160" s="67">
        <v>1</v>
      </c>
      <c r="E160" s="61" t="s">
        <v>364</v>
      </c>
      <c r="F160" s="177"/>
      <c r="G160" s="177"/>
      <c r="H160" s="177"/>
      <c r="I160" s="177"/>
      <c r="J160" s="198">
        <v>43617</v>
      </c>
      <c r="K160" s="65" t="str">
        <f t="shared" si="59"/>
        <v>SI</v>
      </c>
      <c r="L160" s="139">
        <f t="shared" si="36"/>
        <v>10663066.08</v>
      </c>
      <c r="M160" s="67">
        <v>10663066.08</v>
      </c>
      <c r="N160" s="67">
        <v>10663066.08</v>
      </c>
      <c r="O160" s="139">
        <f t="shared" si="49"/>
        <v>10663066.08</v>
      </c>
      <c r="P160" s="72">
        <v>15921000</v>
      </c>
      <c r="Q160" s="73" t="s">
        <v>27</v>
      </c>
      <c r="R160" s="67">
        <v>0</v>
      </c>
      <c r="S160" s="67">
        <v>0</v>
      </c>
      <c r="T160" s="139">
        <f t="shared" si="50"/>
        <v>0</v>
      </c>
      <c r="U160" s="60">
        <f t="shared" si="51"/>
        <v>10663066.08</v>
      </c>
      <c r="V160" s="181">
        <v>25</v>
      </c>
      <c r="W160" s="116">
        <f t="shared" si="48"/>
        <v>31</v>
      </c>
      <c r="X160" s="116">
        <f t="shared" si="53"/>
        <v>269</v>
      </c>
      <c r="Y160" s="38">
        <f t="shared" si="54"/>
        <v>35543.553599999999</v>
      </c>
      <c r="Z160" s="38">
        <f t="shared" si="55"/>
        <v>1101850.1616</v>
      </c>
      <c r="AA160" s="38">
        <f t="shared" si="56"/>
        <v>10663066</v>
      </c>
      <c r="AB160" s="38">
        <f t="shared" si="57"/>
        <v>1101850</v>
      </c>
      <c r="AC160" s="38">
        <f t="shared" si="58"/>
        <v>9561216</v>
      </c>
      <c r="AD160" s="67"/>
      <c r="AG160" s="73">
        <f>AB160-'P, Pl y Eq 2020'!AB157</f>
        <v>426522</v>
      </c>
      <c r="AH160" s="73"/>
      <c r="AI160" s="73"/>
      <c r="AJ160" s="180"/>
    </row>
    <row r="161" spans="1:36" s="66" customFormat="1">
      <c r="A161" s="72">
        <v>15200000</v>
      </c>
      <c r="B161" s="73" t="s">
        <v>20</v>
      </c>
      <c r="C161" s="68" t="s">
        <v>995</v>
      </c>
      <c r="D161" s="67">
        <v>1</v>
      </c>
      <c r="E161" s="61" t="s">
        <v>364</v>
      </c>
      <c r="F161" s="177"/>
      <c r="G161" s="177"/>
      <c r="H161" s="177"/>
      <c r="I161" s="177"/>
      <c r="J161" s="198">
        <v>43617</v>
      </c>
      <c r="K161" s="65" t="str">
        <f t="shared" si="59"/>
        <v>SI</v>
      </c>
      <c r="L161" s="139">
        <f t="shared" si="36"/>
        <v>4078945.94</v>
      </c>
      <c r="M161" s="67">
        <v>4078945.94</v>
      </c>
      <c r="N161" s="67">
        <v>4078945.94</v>
      </c>
      <c r="O161" s="139">
        <f t="shared" si="49"/>
        <v>4078945.94</v>
      </c>
      <c r="P161" s="72">
        <v>15921000</v>
      </c>
      <c r="Q161" s="73" t="s">
        <v>27</v>
      </c>
      <c r="R161" s="67">
        <v>0</v>
      </c>
      <c r="S161" s="67">
        <v>0</v>
      </c>
      <c r="T161" s="139">
        <f t="shared" si="50"/>
        <v>0</v>
      </c>
      <c r="U161" s="60">
        <f t="shared" si="51"/>
        <v>4078945.94</v>
      </c>
      <c r="V161" s="181">
        <v>25</v>
      </c>
      <c r="W161" s="116">
        <f t="shared" si="48"/>
        <v>31</v>
      </c>
      <c r="X161" s="116">
        <f t="shared" si="53"/>
        <v>269</v>
      </c>
      <c r="Y161" s="38">
        <f t="shared" si="54"/>
        <v>13596.486466666667</v>
      </c>
      <c r="Z161" s="38">
        <f t="shared" si="55"/>
        <v>421491.08046666667</v>
      </c>
      <c r="AA161" s="38">
        <f t="shared" si="56"/>
        <v>4078946</v>
      </c>
      <c r="AB161" s="38">
        <f t="shared" si="57"/>
        <v>421491</v>
      </c>
      <c r="AC161" s="38">
        <f t="shared" si="58"/>
        <v>3657455</v>
      </c>
      <c r="AD161" s="67"/>
      <c r="AE161" s="73"/>
      <c r="AF161" s="73"/>
      <c r="AG161" s="73">
        <f>AB161-'P, Pl y Eq 2020'!AB158</f>
        <v>163158</v>
      </c>
      <c r="AH161" s="73"/>
      <c r="AI161" s="73"/>
      <c r="AJ161" s="180"/>
    </row>
    <row r="162" spans="1:36" s="66" customFormat="1">
      <c r="A162" s="72">
        <v>15200000</v>
      </c>
      <c r="B162" s="73" t="s">
        <v>20</v>
      </c>
      <c r="C162" s="68" t="s">
        <v>995</v>
      </c>
      <c r="D162" s="67">
        <v>1</v>
      </c>
      <c r="E162" s="61" t="s">
        <v>364</v>
      </c>
      <c r="F162" s="177"/>
      <c r="G162" s="177"/>
      <c r="H162" s="177"/>
      <c r="I162" s="177"/>
      <c r="J162" s="198">
        <v>43617</v>
      </c>
      <c r="K162" s="65" t="str">
        <f t="shared" si="59"/>
        <v>SI</v>
      </c>
      <c r="L162" s="139">
        <f t="shared" si="36"/>
        <v>10663066.08</v>
      </c>
      <c r="M162" s="67">
        <v>10663066.08</v>
      </c>
      <c r="N162" s="67">
        <v>10663066.08</v>
      </c>
      <c r="O162" s="139">
        <f t="shared" si="49"/>
        <v>10663066.08</v>
      </c>
      <c r="P162" s="72">
        <v>15921000</v>
      </c>
      <c r="Q162" s="73" t="s">
        <v>27</v>
      </c>
      <c r="R162" s="67">
        <v>0</v>
      </c>
      <c r="S162" s="67">
        <v>0</v>
      </c>
      <c r="T162" s="139">
        <f t="shared" si="50"/>
        <v>0</v>
      </c>
      <c r="U162" s="60">
        <f t="shared" si="51"/>
        <v>10663066.08</v>
      </c>
      <c r="V162" s="181">
        <v>25</v>
      </c>
      <c r="W162" s="116">
        <f t="shared" si="48"/>
        <v>31</v>
      </c>
      <c r="X162" s="116">
        <f t="shared" si="53"/>
        <v>269</v>
      </c>
      <c r="Y162" s="38">
        <f t="shared" si="54"/>
        <v>35543.553599999999</v>
      </c>
      <c r="Z162" s="38">
        <f t="shared" si="55"/>
        <v>1101850.1616</v>
      </c>
      <c r="AA162" s="38">
        <f t="shared" si="56"/>
        <v>10663066</v>
      </c>
      <c r="AB162" s="38">
        <f t="shared" si="57"/>
        <v>1101850</v>
      </c>
      <c r="AC162" s="38">
        <f t="shared" si="58"/>
        <v>9561216</v>
      </c>
      <c r="AD162" s="67"/>
      <c r="AG162" s="73">
        <f>AB162-'P, Pl y Eq 2020'!AB159</f>
        <v>426522</v>
      </c>
      <c r="AH162" s="73"/>
      <c r="AI162" s="73"/>
      <c r="AJ162" s="180"/>
    </row>
    <row r="163" spans="1:36" s="66" customFormat="1">
      <c r="A163" s="72">
        <v>15200000</v>
      </c>
      <c r="B163" s="73" t="s">
        <v>20</v>
      </c>
      <c r="C163" s="68" t="s">
        <v>995</v>
      </c>
      <c r="D163" s="67">
        <v>1</v>
      </c>
      <c r="E163" s="61" t="s">
        <v>364</v>
      </c>
      <c r="F163" s="177"/>
      <c r="G163" s="177"/>
      <c r="H163" s="177"/>
      <c r="I163" s="177"/>
      <c r="J163" s="198">
        <v>43617</v>
      </c>
      <c r="K163" s="65" t="str">
        <f t="shared" si="59"/>
        <v>SI</v>
      </c>
      <c r="L163" s="139">
        <f t="shared" si="36"/>
        <v>4078945.94</v>
      </c>
      <c r="M163" s="67">
        <v>4078945.94</v>
      </c>
      <c r="N163" s="67">
        <v>4078945.94</v>
      </c>
      <c r="O163" s="139">
        <f t="shared" si="49"/>
        <v>4078945.94</v>
      </c>
      <c r="P163" s="72">
        <v>15921000</v>
      </c>
      <c r="Q163" s="73" t="s">
        <v>27</v>
      </c>
      <c r="R163" s="67">
        <v>0</v>
      </c>
      <c r="S163" s="67">
        <v>0</v>
      </c>
      <c r="T163" s="139">
        <f t="shared" si="50"/>
        <v>0</v>
      </c>
      <c r="U163" s="60">
        <f t="shared" si="51"/>
        <v>4078945.94</v>
      </c>
      <c r="V163" s="181">
        <v>25</v>
      </c>
      <c r="W163" s="116">
        <f t="shared" ref="W163:W222" si="60">IF(ROUND(($W$27-J163)/30,0)&gt;(V163*12),(V163*12),(ROUND(($W$27-J163)/30,0)))</f>
        <v>31</v>
      </c>
      <c r="X163" s="116">
        <f t="shared" si="53"/>
        <v>269</v>
      </c>
      <c r="Y163" s="38">
        <f t="shared" si="54"/>
        <v>13596.486466666667</v>
      </c>
      <c r="Z163" s="38">
        <f t="shared" si="55"/>
        <v>421491.08046666667</v>
      </c>
      <c r="AA163" s="38">
        <f t="shared" si="56"/>
        <v>4078946</v>
      </c>
      <c r="AB163" s="38">
        <f t="shared" si="57"/>
        <v>421491</v>
      </c>
      <c r="AC163" s="38">
        <f t="shared" si="58"/>
        <v>3657455</v>
      </c>
      <c r="AD163" s="67"/>
      <c r="AE163" s="73"/>
      <c r="AF163" s="73"/>
      <c r="AG163" s="73">
        <f>AB163-'P, Pl y Eq 2020'!AB160</f>
        <v>163158</v>
      </c>
      <c r="AH163" s="73"/>
      <c r="AI163" s="73"/>
      <c r="AJ163" s="180"/>
    </row>
    <row r="164" spans="1:36" s="66" customFormat="1">
      <c r="A164" s="72">
        <v>15200000</v>
      </c>
      <c r="B164" s="73" t="s">
        <v>20</v>
      </c>
      <c r="C164" s="68" t="s">
        <v>995</v>
      </c>
      <c r="D164" s="67">
        <v>1</v>
      </c>
      <c r="E164" s="61" t="s">
        <v>364</v>
      </c>
      <c r="F164" s="177"/>
      <c r="G164" s="177"/>
      <c r="H164" s="177"/>
      <c r="I164" s="177"/>
      <c r="J164" s="198">
        <v>43617</v>
      </c>
      <c r="K164" s="65" t="str">
        <f t="shared" ref="K164:K195" si="61">IF(L164&gt;($M$25*50),"SI","NO")</f>
        <v>SI</v>
      </c>
      <c r="L164" s="139">
        <f t="shared" si="36"/>
        <v>10663066.08</v>
      </c>
      <c r="M164" s="67">
        <v>10663066.08</v>
      </c>
      <c r="N164" s="67">
        <v>10663066.08</v>
      </c>
      <c r="O164" s="139">
        <f t="shared" si="49"/>
        <v>10663066.08</v>
      </c>
      <c r="P164" s="72">
        <v>15921000</v>
      </c>
      <c r="Q164" s="73" t="s">
        <v>27</v>
      </c>
      <c r="R164" s="67">
        <v>0</v>
      </c>
      <c r="S164" s="67">
        <v>0</v>
      </c>
      <c r="T164" s="139">
        <f t="shared" si="50"/>
        <v>0</v>
      </c>
      <c r="U164" s="60">
        <f t="shared" si="51"/>
        <v>10663066.08</v>
      </c>
      <c r="V164" s="181">
        <v>25</v>
      </c>
      <c r="W164" s="116">
        <f t="shared" si="60"/>
        <v>31</v>
      </c>
      <c r="X164" s="116">
        <f t="shared" si="53"/>
        <v>269</v>
      </c>
      <c r="Y164" s="38">
        <f t="shared" si="54"/>
        <v>35543.553599999999</v>
      </c>
      <c r="Z164" s="38">
        <f t="shared" si="55"/>
        <v>1101850.1616</v>
      </c>
      <c r="AA164" s="38">
        <f t="shared" si="56"/>
        <v>10663066</v>
      </c>
      <c r="AB164" s="38">
        <f t="shared" si="57"/>
        <v>1101850</v>
      </c>
      <c r="AC164" s="38">
        <f t="shared" si="58"/>
        <v>9561216</v>
      </c>
      <c r="AD164" s="67"/>
      <c r="AG164" s="73">
        <f>AB164-'P, Pl y Eq 2020'!AB161</f>
        <v>426522</v>
      </c>
      <c r="AH164" s="73"/>
      <c r="AI164" s="73"/>
      <c r="AJ164" s="180"/>
    </row>
    <row r="165" spans="1:36" s="66" customFormat="1">
      <c r="A165" s="72">
        <v>15200000</v>
      </c>
      <c r="B165" s="73" t="s">
        <v>20</v>
      </c>
      <c r="C165" s="68" t="s">
        <v>995</v>
      </c>
      <c r="D165" s="67">
        <v>1</v>
      </c>
      <c r="E165" s="61" t="s">
        <v>364</v>
      </c>
      <c r="F165" s="177"/>
      <c r="G165" s="177"/>
      <c r="H165" s="177"/>
      <c r="I165" s="177"/>
      <c r="J165" s="198">
        <v>43617</v>
      </c>
      <c r="K165" s="65" t="str">
        <f t="shared" si="61"/>
        <v>SI</v>
      </c>
      <c r="L165" s="139">
        <f t="shared" si="36"/>
        <v>4078945.94</v>
      </c>
      <c r="M165" s="67">
        <v>4078945.94</v>
      </c>
      <c r="N165" s="67">
        <v>4078945.94</v>
      </c>
      <c r="O165" s="139">
        <f t="shared" ref="O165:O201" si="62">IF(K165="SI",N165,0)</f>
        <v>4078945.94</v>
      </c>
      <c r="P165" s="72">
        <v>15921000</v>
      </c>
      <c r="Q165" s="73" t="s">
        <v>27</v>
      </c>
      <c r="R165" s="67">
        <v>0</v>
      </c>
      <c r="S165" s="67">
        <v>0</v>
      </c>
      <c r="T165" s="139">
        <f t="shared" ref="T165:T201" si="63">IF(O165&gt;0,S165,0)</f>
        <v>0</v>
      </c>
      <c r="U165" s="60">
        <f t="shared" ref="U165:U201" si="64">IF(O165&gt;0,N165-S165,0)</f>
        <v>4078945.94</v>
      </c>
      <c r="V165" s="181">
        <v>25</v>
      </c>
      <c r="W165" s="116">
        <f t="shared" si="60"/>
        <v>31</v>
      </c>
      <c r="X165" s="116">
        <f t="shared" si="53"/>
        <v>269</v>
      </c>
      <c r="Y165" s="38">
        <f t="shared" si="54"/>
        <v>13596.486466666667</v>
      </c>
      <c r="Z165" s="38">
        <f t="shared" si="55"/>
        <v>421491.08046666667</v>
      </c>
      <c r="AA165" s="38">
        <f t="shared" si="56"/>
        <v>4078946</v>
      </c>
      <c r="AB165" s="38">
        <f t="shared" si="57"/>
        <v>421491</v>
      </c>
      <c r="AC165" s="38">
        <f t="shared" si="58"/>
        <v>3657455</v>
      </c>
      <c r="AD165" s="67"/>
      <c r="AE165" s="73"/>
      <c r="AF165" s="73"/>
      <c r="AG165" s="73">
        <f>AB165-'P, Pl y Eq 2020'!AB162</f>
        <v>163158</v>
      </c>
      <c r="AH165" s="73"/>
      <c r="AI165" s="73"/>
      <c r="AJ165" s="180"/>
    </row>
    <row r="166" spans="1:36" s="66" customFormat="1">
      <c r="A166" s="72">
        <v>15200000</v>
      </c>
      <c r="B166" s="73" t="s">
        <v>20</v>
      </c>
      <c r="C166" s="68" t="s">
        <v>995</v>
      </c>
      <c r="D166" s="67">
        <v>1</v>
      </c>
      <c r="E166" s="61" t="s">
        <v>364</v>
      </c>
      <c r="F166" s="177"/>
      <c r="G166" s="177"/>
      <c r="H166" s="177"/>
      <c r="I166" s="177"/>
      <c r="J166" s="198">
        <v>43617</v>
      </c>
      <c r="K166" s="65" t="str">
        <f t="shared" si="61"/>
        <v>SI</v>
      </c>
      <c r="L166" s="139">
        <f t="shared" si="36"/>
        <v>10663066.08</v>
      </c>
      <c r="M166" s="67">
        <v>10663066.08</v>
      </c>
      <c r="N166" s="67">
        <v>10663066.08</v>
      </c>
      <c r="O166" s="139">
        <f t="shared" si="62"/>
        <v>10663066.08</v>
      </c>
      <c r="P166" s="72">
        <v>15921000</v>
      </c>
      <c r="Q166" s="73" t="s">
        <v>27</v>
      </c>
      <c r="R166" s="67">
        <v>0</v>
      </c>
      <c r="S166" s="67">
        <v>0</v>
      </c>
      <c r="T166" s="139">
        <f t="shared" si="63"/>
        <v>0</v>
      </c>
      <c r="U166" s="60">
        <f t="shared" si="64"/>
        <v>10663066.08</v>
      </c>
      <c r="V166" s="181">
        <v>25</v>
      </c>
      <c r="W166" s="116">
        <f t="shared" si="60"/>
        <v>31</v>
      </c>
      <c r="X166" s="116">
        <f t="shared" si="53"/>
        <v>269</v>
      </c>
      <c r="Y166" s="38">
        <f t="shared" si="54"/>
        <v>35543.553599999999</v>
      </c>
      <c r="Z166" s="38">
        <f t="shared" si="55"/>
        <v>1101850.1616</v>
      </c>
      <c r="AA166" s="38">
        <f t="shared" si="56"/>
        <v>10663066</v>
      </c>
      <c r="AB166" s="38">
        <f t="shared" si="57"/>
        <v>1101850</v>
      </c>
      <c r="AC166" s="38">
        <f t="shared" si="58"/>
        <v>9561216</v>
      </c>
      <c r="AD166" s="67"/>
      <c r="AG166" s="73">
        <f>AB166-'P, Pl y Eq 2020'!AB163</f>
        <v>426522</v>
      </c>
      <c r="AH166" s="73"/>
      <c r="AI166" s="73"/>
      <c r="AJ166" s="180"/>
    </row>
    <row r="167" spans="1:36" s="66" customFormat="1">
      <c r="A167" s="72">
        <v>15200000</v>
      </c>
      <c r="B167" s="73" t="s">
        <v>20</v>
      </c>
      <c r="C167" s="68" t="s">
        <v>995</v>
      </c>
      <c r="D167" s="67">
        <v>1</v>
      </c>
      <c r="E167" s="61" t="s">
        <v>364</v>
      </c>
      <c r="F167" s="177"/>
      <c r="G167" s="177"/>
      <c r="H167" s="177"/>
      <c r="I167" s="177"/>
      <c r="J167" s="198">
        <v>43617</v>
      </c>
      <c r="K167" s="65" t="str">
        <f t="shared" si="61"/>
        <v>SI</v>
      </c>
      <c r="L167" s="139">
        <f t="shared" si="36"/>
        <v>4078945.94</v>
      </c>
      <c r="M167" s="67">
        <v>4078945.94</v>
      </c>
      <c r="N167" s="67">
        <v>4078945.94</v>
      </c>
      <c r="O167" s="139">
        <f t="shared" si="62"/>
        <v>4078945.94</v>
      </c>
      <c r="P167" s="72">
        <v>15921000</v>
      </c>
      <c r="Q167" s="73" t="s">
        <v>27</v>
      </c>
      <c r="R167" s="67">
        <v>0</v>
      </c>
      <c r="S167" s="67">
        <v>0</v>
      </c>
      <c r="T167" s="139">
        <f t="shared" si="63"/>
        <v>0</v>
      </c>
      <c r="U167" s="60">
        <f t="shared" si="64"/>
        <v>4078945.94</v>
      </c>
      <c r="V167" s="181">
        <v>25</v>
      </c>
      <c r="W167" s="116">
        <f t="shared" si="60"/>
        <v>31</v>
      </c>
      <c r="X167" s="116">
        <f t="shared" si="53"/>
        <v>269</v>
      </c>
      <c r="Y167" s="38">
        <f t="shared" si="54"/>
        <v>13596.486466666667</v>
      </c>
      <c r="Z167" s="38">
        <f t="shared" si="55"/>
        <v>421491.08046666667</v>
      </c>
      <c r="AA167" s="38">
        <f t="shared" si="56"/>
        <v>4078946</v>
      </c>
      <c r="AB167" s="38">
        <f t="shared" si="57"/>
        <v>421491</v>
      </c>
      <c r="AC167" s="38">
        <f t="shared" si="58"/>
        <v>3657455</v>
      </c>
      <c r="AD167" s="67"/>
      <c r="AE167" s="73"/>
      <c r="AF167" s="73"/>
      <c r="AG167" s="73">
        <f>AB167-'P, Pl y Eq 2020'!AB164</f>
        <v>163158</v>
      </c>
      <c r="AH167" s="73"/>
      <c r="AI167" s="73"/>
      <c r="AJ167" s="180"/>
    </row>
    <row r="168" spans="1:36" s="66" customFormat="1">
      <c r="A168" s="72">
        <v>15200000</v>
      </c>
      <c r="B168" s="73" t="s">
        <v>20</v>
      </c>
      <c r="C168" s="68" t="s">
        <v>995</v>
      </c>
      <c r="D168" s="67">
        <v>1</v>
      </c>
      <c r="E168" s="61" t="s">
        <v>364</v>
      </c>
      <c r="F168" s="177"/>
      <c r="G168" s="177"/>
      <c r="H168" s="177"/>
      <c r="I168" s="177"/>
      <c r="J168" s="198">
        <v>43617</v>
      </c>
      <c r="K168" s="65" t="str">
        <f t="shared" si="61"/>
        <v>SI</v>
      </c>
      <c r="L168" s="139">
        <f t="shared" si="36"/>
        <v>10663066.08</v>
      </c>
      <c r="M168" s="67">
        <v>10663066.08</v>
      </c>
      <c r="N168" s="67">
        <v>10663066.08</v>
      </c>
      <c r="O168" s="139">
        <f t="shared" si="62"/>
        <v>10663066.08</v>
      </c>
      <c r="P168" s="72">
        <v>15921000</v>
      </c>
      <c r="Q168" s="73" t="s">
        <v>27</v>
      </c>
      <c r="R168" s="67">
        <v>0</v>
      </c>
      <c r="S168" s="67">
        <v>0</v>
      </c>
      <c r="T168" s="139">
        <f t="shared" si="63"/>
        <v>0</v>
      </c>
      <c r="U168" s="60">
        <f t="shared" si="64"/>
        <v>10663066.08</v>
      </c>
      <c r="V168" s="181">
        <v>25</v>
      </c>
      <c r="W168" s="116">
        <f t="shared" si="60"/>
        <v>31</v>
      </c>
      <c r="X168" s="116">
        <f t="shared" si="53"/>
        <v>269</v>
      </c>
      <c r="Y168" s="38">
        <f t="shared" si="54"/>
        <v>35543.553599999999</v>
      </c>
      <c r="Z168" s="38">
        <f t="shared" si="55"/>
        <v>1101850.1616</v>
      </c>
      <c r="AA168" s="38">
        <f t="shared" si="56"/>
        <v>10663066</v>
      </c>
      <c r="AB168" s="38">
        <f t="shared" si="57"/>
        <v>1101850</v>
      </c>
      <c r="AC168" s="38">
        <f t="shared" si="58"/>
        <v>9561216</v>
      </c>
      <c r="AD168" s="67"/>
      <c r="AG168" s="73">
        <f>AB168-'P, Pl y Eq 2020'!AB165</f>
        <v>426522</v>
      </c>
      <c r="AH168" s="73"/>
      <c r="AI168" s="73"/>
      <c r="AJ168" s="180"/>
    </row>
    <row r="169" spans="1:36" s="66" customFormat="1">
      <c r="A169" s="72">
        <v>15200000</v>
      </c>
      <c r="B169" s="73" t="s">
        <v>20</v>
      </c>
      <c r="C169" s="68" t="s">
        <v>995</v>
      </c>
      <c r="D169" s="67">
        <v>1</v>
      </c>
      <c r="E169" s="61" t="s">
        <v>364</v>
      </c>
      <c r="F169" s="177"/>
      <c r="G169" s="177"/>
      <c r="H169" s="177"/>
      <c r="I169" s="177"/>
      <c r="J169" s="198">
        <v>43617</v>
      </c>
      <c r="K169" s="65" t="str">
        <f t="shared" si="61"/>
        <v>SI</v>
      </c>
      <c r="L169" s="139">
        <f t="shared" si="36"/>
        <v>4078945.94</v>
      </c>
      <c r="M169" s="67">
        <v>4078945.94</v>
      </c>
      <c r="N169" s="67">
        <v>4078945.94</v>
      </c>
      <c r="O169" s="139">
        <f t="shared" si="62"/>
        <v>4078945.94</v>
      </c>
      <c r="P169" s="72">
        <v>15921000</v>
      </c>
      <c r="Q169" s="73" t="s">
        <v>27</v>
      </c>
      <c r="R169" s="67">
        <v>0</v>
      </c>
      <c r="S169" s="67">
        <v>0</v>
      </c>
      <c r="T169" s="139">
        <f t="shared" si="63"/>
        <v>0</v>
      </c>
      <c r="U169" s="60">
        <f t="shared" si="64"/>
        <v>4078945.94</v>
      </c>
      <c r="V169" s="181">
        <v>25</v>
      </c>
      <c r="W169" s="116">
        <f t="shared" si="60"/>
        <v>31</v>
      </c>
      <c r="X169" s="116">
        <f t="shared" si="53"/>
        <v>269</v>
      </c>
      <c r="Y169" s="38">
        <f t="shared" si="54"/>
        <v>13596.486466666667</v>
      </c>
      <c r="Z169" s="38">
        <f t="shared" si="55"/>
        <v>421491.08046666667</v>
      </c>
      <c r="AA169" s="38">
        <f t="shared" si="56"/>
        <v>4078946</v>
      </c>
      <c r="AB169" s="38">
        <f t="shared" si="57"/>
        <v>421491</v>
      </c>
      <c r="AC169" s="38">
        <f t="shared" si="58"/>
        <v>3657455</v>
      </c>
      <c r="AD169" s="67"/>
      <c r="AE169" s="73"/>
      <c r="AF169" s="73"/>
      <c r="AG169" s="73">
        <f>AB169-'P, Pl y Eq 2020'!AB166</f>
        <v>163158</v>
      </c>
      <c r="AH169" s="73"/>
      <c r="AI169" s="73"/>
      <c r="AJ169" s="180"/>
    </row>
    <row r="170" spans="1:36" s="66" customFormat="1">
      <c r="A170" s="72">
        <v>15200000</v>
      </c>
      <c r="B170" s="73" t="s">
        <v>20</v>
      </c>
      <c r="C170" s="68" t="s">
        <v>995</v>
      </c>
      <c r="D170" s="67">
        <v>1</v>
      </c>
      <c r="E170" s="61" t="s">
        <v>364</v>
      </c>
      <c r="F170" s="177"/>
      <c r="G170" s="177"/>
      <c r="H170" s="177"/>
      <c r="I170" s="177"/>
      <c r="J170" s="198">
        <v>43617</v>
      </c>
      <c r="K170" s="65" t="str">
        <f t="shared" si="61"/>
        <v>SI</v>
      </c>
      <c r="L170" s="139">
        <f t="shared" si="36"/>
        <v>10663066.08</v>
      </c>
      <c r="M170" s="67">
        <v>10663066.08</v>
      </c>
      <c r="N170" s="67">
        <v>10663066.08</v>
      </c>
      <c r="O170" s="139">
        <f t="shared" si="62"/>
        <v>10663066.08</v>
      </c>
      <c r="P170" s="72">
        <v>15921000</v>
      </c>
      <c r="Q170" s="73" t="s">
        <v>27</v>
      </c>
      <c r="R170" s="67">
        <v>0</v>
      </c>
      <c r="S170" s="67">
        <v>0</v>
      </c>
      <c r="T170" s="139">
        <f t="shared" si="63"/>
        <v>0</v>
      </c>
      <c r="U170" s="60">
        <f t="shared" si="64"/>
        <v>10663066.08</v>
      </c>
      <c r="V170" s="181">
        <v>25</v>
      </c>
      <c r="W170" s="116">
        <f t="shared" si="60"/>
        <v>31</v>
      </c>
      <c r="X170" s="116">
        <f t="shared" si="53"/>
        <v>269</v>
      </c>
      <c r="Y170" s="38">
        <f t="shared" si="54"/>
        <v>35543.553599999999</v>
      </c>
      <c r="Z170" s="38">
        <f t="shared" si="55"/>
        <v>1101850.1616</v>
      </c>
      <c r="AA170" s="38">
        <f t="shared" si="56"/>
        <v>10663066</v>
      </c>
      <c r="AB170" s="38">
        <f t="shared" si="57"/>
        <v>1101850</v>
      </c>
      <c r="AC170" s="38">
        <f t="shared" si="58"/>
        <v>9561216</v>
      </c>
      <c r="AD170" s="67"/>
      <c r="AG170" s="73">
        <f>AB170-'P, Pl y Eq 2020'!AB167</f>
        <v>426522</v>
      </c>
      <c r="AH170" s="73"/>
      <c r="AI170" s="73"/>
      <c r="AJ170" s="180"/>
    </row>
    <row r="171" spans="1:36" s="66" customFormat="1">
      <c r="A171" s="72">
        <v>15200000</v>
      </c>
      <c r="B171" s="73" t="s">
        <v>20</v>
      </c>
      <c r="C171" s="68" t="s">
        <v>995</v>
      </c>
      <c r="D171" s="67">
        <v>1</v>
      </c>
      <c r="E171" s="61" t="s">
        <v>364</v>
      </c>
      <c r="F171" s="177"/>
      <c r="G171" s="177"/>
      <c r="H171" s="177"/>
      <c r="I171" s="177"/>
      <c r="J171" s="198">
        <v>43617</v>
      </c>
      <c r="K171" s="65" t="str">
        <f t="shared" si="61"/>
        <v>SI</v>
      </c>
      <c r="L171" s="139">
        <f t="shared" si="36"/>
        <v>4078945.94</v>
      </c>
      <c r="M171" s="67">
        <v>4078945.94</v>
      </c>
      <c r="N171" s="67">
        <v>4078945.94</v>
      </c>
      <c r="O171" s="139">
        <f t="shared" si="62"/>
        <v>4078945.94</v>
      </c>
      <c r="P171" s="72">
        <v>15921000</v>
      </c>
      <c r="Q171" s="73" t="s">
        <v>27</v>
      </c>
      <c r="R171" s="67">
        <v>0</v>
      </c>
      <c r="S171" s="67">
        <v>0</v>
      </c>
      <c r="T171" s="139">
        <f t="shared" si="63"/>
        <v>0</v>
      </c>
      <c r="U171" s="60">
        <f t="shared" si="64"/>
        <v>4078945.94</v>
      </c>
      <c r="V171" s="181">
        <v>25</v>
      </c>
      <c r="W171" s="116">
        <f t="shared" si="60"/>
        <v>31</v>
      </c>
      <c r="X171" s="116">
        <f t="shared" si="53"/>
        <v>269</v>
      </c>
      <c r="Y171" s="38">
        <f t="shared" si="54"/>
        <v>13596.486466666667</v>
      </c>
      <c r="Z171" s="38">
        <f t="shared" si="55"/>
        <v>421491.08046666667</v>
      </c>
      <c r="AA171" s="38">
        <f t="shared" si="56"/>
        <v>4078946</v>
      </c>
      <c r="AB171" s="38">
        <f t="shared" si="57"/>
        <v>421491</v>
      </c>
      <c r="AC171" s="38">
        <f t="shared" si="58"/>
        <v>3657455</v>
      </c>
      <c r="AD171" s="67"/>
      <c r="AE171" s="73"/>
      <c r="AF171" s="73"/>
      <c r="AG171" s="73">
        <f>AB171-'P, Pl y Eq 2020'!AB168</f>
        <v>163158</v>
      </c>
      <c r="AH171" s="73"/>
      <c r="AI171" s="73"/>
      <c r="AJ171" s="180"/>
    </row>
    <row r="172" spans="1:36" s="66" customFormat="1">
      <c r="A172" s="72">
        <v>15200000</v>
      </c>
      <c r="B172" s="73" t="s">
        <v>20</v>
      </c>
      <c r="C172" s="68" t="s">
        <v>995</v>
      </c>
      <c r="D172" s="67">
        <v>1</v>
      </c>
      <c r="E172" s="61" t="s">
        <v>364</v>
      </c>
      <c r="F172" s="177"/>
      <c r="G172" s="177"/>
      <c r="H172" s="177"/>
      <c r="I172" s="177"/>
      <c r="J172" s="198">
        <v>43617</v>
      </c>
      <c r="K172" s="65" t="str">
        <f t="shared" si="61"/>
        <v>SI</v>
      </c>
      <c r="L172" s="139">
        <f t="shared" si="36"/>
        <v>10663066.08</v>
      </c>
      <c r="M172" s="67">
        <v>10663066.08</v>
      </c>
      <c r="N172" s="67">
        <v>10663066.08</v>
      </c>
      <c r="O172" s="139">
        <f t="shared" si="62"/>
        <v>10663066.08</v>
      </c>
      <c r="P172" s="72">
        <v>15921000</v>
      </c>
      <c r="Q172" s="73" t="s">
        <v>27</v>
      </c>
      <c r="R172" s="67">
        <v>0</v>
      </c>
      <c r="S172" s="67">
        <v>0</v>
      </c>
      <c r="T172" s="139">
        <f t="shared" si="63"/>
        <v>0</v>
      </c>
      <c r="U172" s="60">
        <f t="shared" si="64"/>
        <v>10663066.08</v>
      </c>
      <c r="V172" s="181">
        <v>25</v>
      </c>
      <c r="W172" s="116">
        <f t="shared" si="60"/>
        <v>31</v>
      </c>
      <c r="X172" s="116">
        <f t="shared" si="53"/>
        <v>269</v>
      </c>
      <c r="Y172" s="38">
        <f t="shared" si="54"/>
        <v>35543.553599999999</v>
      </c>
      <c r="Z172" s="38">
        <f t="shared" si="55"/>
        <v>1101850.1616</v>
      </c>
      <c r="AA172" s="38">
        <f t="shared" si="56"/>
        <v>10663066</v>
      </c>
      <c r="AB172" s="38">
        <f t="shared" si="57"/>
        <v>1101850</v>
      </c>
      <c r="AC172" s="38">
        <f t="shared" si="58"/>
        <v>9561216</v>
      </c>
      <c r="AD172" s="67"/>
      <c r="AG172" s="73">
        <f>AB172-'P, Pl y Eq 2020'!AB169</f>
        <v>426522</v>
      </c>
      <c r="AH172" s="73"/>
      <c r="AI172" s="73"/>
      <c r="AJ172" s="180"/>
    </row>
    <row r="173" spans="1:36" s="66" customFormat="1">
      <c r="A173" s="72">
        <v>15200000</v>
      </c>
      <c r="B173" s="73" t="s">
        <v>20</v>
      </c>
      <c r="C173" s="68" t="s">
        <v>995</v>
      </c>
      <c r="D173" s="67">
        <v>1</v>
      </c>
      <c r="E173" s="61" t="s">
        <v>364</v>
      </c>
      <c r="F173" s="177"/>
      <c r="G173" s="177"/>
      <c r="H173" s="177"/>
      <c r="I173" s="177"/>
      <c r="J173" s="198">
        <v>43617</v>
      </c>
      <c r="K173" s="65" t="str">
        <f t="shared" si="61"/>
        <v>SI</v>
      </c>
      <c r="L173" s="139">
        <f t="shared" si="36"/>
        <v>4078945.94</v>
      </c>
      <c r="M173" s="67">
        <v>4078945.94</v>
      </c>
      <c r="N173" s="67">
        <v>4078945.94</v>
      </c>
      <c r="O173" s="139">
        <f t="shared" si="62"/>
        <v>4078945.94</v>
      </c>
      <c r="P173" s="72">
        <v>15921000</v>
      </c>
      <c r="Q173" s="73" t="s">
        <v>27</v>
      </c>
      <c r="R173" s="67">
        <v>0</v>
      </c>
      <c r="S173" s="67">
        <v>0</v>
      </c>
      <c r="T173" s="139">
        <f t="shared" si="63"/>
        <v>0</v>
      </c>
      <c r="U173" s="60">
        <f t="shared" si="64"/>
        <v>4078945.94</v>
      </c>
      <c r="V173" s="181">
        <v>25</v>
      </c>
      <c r="W173" s="116">
        <f t="shared" si="60"/>
        <v>31</v>
      </c>
      <c r="X173" s="116">
        <f t="shared" si="53"/>
        <v>269</v>
      </c>
      <c r="Y173" s="38">
        <f t="shared" si="54"/>
        <v>13596.486466666667</v>
      </c>
      <c r="Z173" s="38">
        <f t="shared" si="55"/>
        <v>421491.08046666667</v>
      </c>
      <c r="AA173" s="38">
        <f t="shared" si="56"/>
        <v>4078946</v>
      </c>
      <c r="AB173" s="38">
        <f t="shared" si="57"/>
        <v>421491</v>
      </c>
      <c r="AC173" s="38">
        <f t="shared" si="58"/>
        <v>3657455</v>
      </c>
      <c r="AD173" s="67"/>
      <c r="AE173" s="73"/>
      <c r="AF173" s="73"/>
      <c r="AG173" s="73">
        <f>AB173-'P, Pl y Eq 2020'!AB170</f>
        <v>163158</v>
      </c>
      <c r="AH173" s="73"/>
      <c r="AI173" s="73"/>
      <c r="AJ173" s="180"/>
    </row>
    <row r="174" spans="1:36" s="66" customFormat="1">
      <c r="A174" s="72">
        <v>15200000</v>
      </c>
      <c r="B174" s="73" t="s">
        <v>20</v>
      </c>
      <c r="C174" s="68" t="s">
        <v>995</v>
      </c>
      <c r="D174" s="67">
        <v>1</v>
      </c>
      <c r="E174" s="61" t="s">
        <v>364</v>
      </c>
      <c r="F174" s="177"/>
      <c r="G174" s="177"/>
      <c r="H174" s="177"/>
      <c r="I174" s="177"/>
      <c r="J174" s="198">
        <v>43617</v>
      </c>
      <c r="K174" s="65" t="str">
        <f t="shared" si="61"/>
        <v>SI</v>
      </c>
      <c r="L174" s="139">
        <f t="shared" si="36"/>
        <v>10663066.08</v>
      </c>
      <c r="M174" s="67">
        <v>10663066.08</v>
      </c>
      <c r="N174" s="67">
        <v>10663066.08</v>
      </c>
      <c r="O174" s="139">
        <f t="shared" si="62"/>
        <v>10663066.08</v>
      </c>
      <c r="P174" s="72">
        <v>15921000</v>
      </c>
      <c r="Q174" s="73" t="s">
        <v>27</v>
      </c>
      <c r="R174" s="67">
        <v>0</v>
      </c>
      <c r="S174" s="67">
        <v>0</v>
      </c>
      <c r="T174" s="139">
        <f t="shared" si="63"/>
        <v>0</v>
      </c>
      <c r="U174" s="60">
        <f t="shared" si="64"/>
        <v>10663066.08</v>
      </c>
      <c r="V174" s="181">
        <v>25</v>
      </c>
      <c r="W174" s="116">
        <f t="shared" si="60"/>
        <v>31</v>
      </c>
      <c r="X174" s="116">
        <f t="shared" si="53"/>
        <v>269</v>
      </c>
      <c r="Y174" s="38">
        <f t="shared" si="54"/>
        <v>35543.553599999999</v>
      </c>
      <c r="Z174" s="38">
        <f t="shared" si="55"/>
        <v>1101850.1616</v>
      </c>
      <c r="AA174" s="38">
        <f t="shared" si="56"/>
        <v>10663066</v>
      </c>
      <c r="AB174" s="38">
        <f t="shared" si="57"/>
        <v>1101850</v>
      </c>
      <c r="AC174" s="38">
        <f t="shared" si="58"/>
        <v>9561216</v>
      </c>
      <c r="AD174" s="67"/>
      <c r="AG174" s="73">
        <f>AB174-'P, Pl y Eq 2020'!AB171</f>
        <v>426522</v>
      </c>
      <c r="AH174" s="73"/>
      <c r="AI174" s="73"/>
      <c r="AJ174" s="180"/>
    </row>
    <row r="175" spans="1:36" s="66" customFormat="1">
      <c r="A175" s="72">
        <v>15200000</v>
      </c>
      <c r="B175" s="73" t="s">
        <v>20</v>
      </c>
      <c r="C175" s="68" t="s">
        <v>995</v>
      </c>
      <c r="D175" s="67">
        <v>1</v>
      </c>
      <c r="E175" s="61" t="s">
        <v>364</v>
      </c>
      <c r="F175" s="177"/>
      <c r="G175" s="177"/>
      <c r="H175" s="177"/>
      <c r="I175" s="177"/>
      <c r="J175" s="198">
        <v>43617</v>
      </c>
      <c r="K175" s="65" t="str">
        <f t="shared" si="61"/>
        <v>SI</v>
      </c>
      <c r="L175" s="139">
        <f t="shared" si="36"/>
        <v>2330826.25</v>
      </c>
      <c r="M175" s="67">
        <v>2330826.25</v>
      </c>
      <c r="N175" s="67">
        <v>2330826.25</v>
      </c>
      <c r="O175" s="139">
        <f t="shared" si="62"/>
        <v>2330826.25</v>
      </c>
      <c r="P175" s="72">
        <v>15921000</v>
      </c>
      <c r="Q175" s="73" t="s">
        <v>27</v>
      </c>
      <c r="R175" s="67">
        <v>0</v>
      </c>
      <c r="S175" s="67">
        <v>0</v>
      </c>
      <c r="T175" s="139">
        <f t="shared" si="63"/>
        <v>0</v>
      </c>
      <c r="U175" s="60">
        <f t="shared" si="64"/>
        <v>2330826.25</v>
      </c>
      <c r="V175" s="181">
        <v>25</v>
      </c>
      <c r="W175" s="116">
        <f t="shared" si="60"/>
        <v>31</v>
      </c>
      <c r="X175" s="116">
        <f t="shared" si="53"/>
        <v>269</v>
      </c>
      <c r="Y175" s="38">
        <f t="shared" si="54"/>
        <v>7769.4208333333336</v>
      </c>
      <c r="Z175" s="38">
        <f t="shared" si="55"/>
        <v>240852.04583333334</v>
      </c>
      <c r="AA175" s="38">
        <f t="shared" si="56"/>
        <v>2330826</v>
      </c>
      <c r="AB175" s="38">
        <f t="shared" si="57"/>
        <v>240852</v>
      </c>
      <c r="AC175" s="38">
        <f t="shared" si="58"/>
        <v>2089974</v>
      </c>
      <c r="AD175" s="67"/>
      <c r="AE175" s="73"/>
      <c r="AF175" s="73"/>
      <c r="AG175" s="73">
        <f>AB175-'P, Pl y Eq 2020'!AB172</f>
        <v>93233</v>
      </c>
      <c r="AH175" s="73"/>
      <c r="AI175" s="73"/>
      <c r="AJ175" s="180"/>
    </row>
    <row r="176" spans="1:36" s="66" customFormat="1">
      <c r="A176" s="72">
        <v>15200000</v>
      </c>
      <c r="B176" s="73" t="s">
        <v>20</v>
      </c>
      <c r="C176" s="68" t="s">
        <v>995</v>
      </c>
      <c r="D176" s="67">
        <v>1</v>
      </c>
      <c r="E176" s="61" t="s">
        <v>364</v>
      </c>
      <c r="F176" s="177"/>
      <c r="G176" s="177"/>
      <c r="H176" s="177"/>
      <c r="I176" s="177"/>
      <c r="J176" s="198">
        <v>43617</v>
      </c>
      <c r="K176" s="65" t="str">
        <f t="shared" si="61"/>
        <v>SI</v>
      </c>
      <c r="L176" s="139">
        <f t="shared" si="36"/>
        <v>6093180.6100000003</v>
      </c>
      <c r="M176" s="67">
        <v>6093180.6100000003</v>
      </c>
      <c r="N176" s="67">
        <v>6093180.6100000003</v>
      </c>
      <c r="O176" s="139">
        <f t="shared" si="62"/>
        <v>6093180.6100000003</v>
      </c>
      <c r="P176" s="72">
        <v>15921000</v>
      </c>
      <c r="Q176" s="73" t="s">
        <v>27</v>
      </c>
      <c r="R176" s="67">
        <v>0</v>
      </c>
      <c r="S176" s="67">
        <v>0</v>
      </c>
      <c r="T176" s="139">
        <f t="shared" si="63"/>
        <v>0</v>
      </c>
      <c r="U176" s="60">
        <f t="shared" si="64"/>
        <v>6093180.6100000003</v>
      </c>
      <c r="V176" s="181">
        <v>25</v>
      </c>
      <c r="W176" s="116">
        <f t="shared" si="60"/>
        <v>31</v>
      </c>
      <c r="X176" s="116">
        <f t="shared" ref="X176:X239" si="65">(V176*12)-W176</f>
        <v>269</v>
      </c>
      <c r="Y176" s="38">
        <f t="shared" ref="Y176:Y239" si="66">N176/(V176*12)</f>
        <v>20310.602033333333</v>
      </c>
      <c r="Z176" s="38">
        <f t="shared" ref="Z176:Z239" si="67">IF(U176&gt;0,W176*Y176,0)</f>
        <v>629628.66303333326</v>
      </c>
      <c r="AA176" s="38">
        <f t="shared" ref="AA176:AA239" si="68">ROUND(IF(U176&gt;0,N176,0),0)</f>
        <v>6093181</v>
      </c>
      <c r="AB176" s="38">
        <f t="shared" ref="AB176:AB239" si="69">ROUND(IF(U176&gt;0,Z176,0),0)</f>
        <v>629629</v>
      </c>
      <c r="AC176" s="38">
        <f t="shared" ref="AC176:AC239" si="70">AA176-AB176</f>
        <v>5463552</v>
      </c>
      <c r="AD176" s="67"/>
      <c r="AG176" s="73">
        <f>AB176-'P, Pl y Eq 2020'!AB173</f>
        <v>243728</v>
      </c>
      <c r="AH176" s="73"/>
      <c r="AI176" s="73"/>
      <c r="AJ176" s="180"/>
    </row>
    <row r="177" spans="1:36" s="66" customFormat="1">
      <c r="A177" s="72">
        <v>15200000</v>
      </c>
      <c r="B177" s="73" t="s">
        <v>20</v>
      </c>
      <c r="C177" s="68" t="s">
        <v>995</v>
      </c>
      <c r="D177" s="67">
        <v>1</v>
      </c>
      <c r="E177" s="61" t="s">
        <v>364</v>
      </c>
      <c r="F177" s="177"/>
      <c r="G177" s="177"/>
      <c r="H177" s="177"/>
      <c r="I177" s="177"/>
      <c r="J177" s="198">
        <v>43617</v>
      </c>
      <c r="K177" s="65" t="str">
        <f t="shared" si="61"/>
        <v>SI</v>
      </c>
      <c r="L177" s="139">
        <f t="shared" si="36"/>
        <v>2330826.25</v>
      </c>
      <c r="M177" s="67">
        <v>2330826.25</v>
      </c>
      <c r="N177" s="67">
        <v>2330826.25</v>
      </c>
      <c r="O177" s="139">
        <f t="shared" si="62"/>
        <v>2330826.25</v>
      </c>
      <c r="P177" s="72">
        <v>15921000</v>
      </c>
      <c r="Q177" s="73" t="s">
        <v>27</v>
      </c>
      <c r="R177" s="67">
        <v>0</v>
      </c>
      <c r="S177" s="67">
        <v>0</v>
      </c>
      <c r="T177" s="139">
        <f t="shared" si="63"/>
        <v>0</v>
      </c>
      <c r="U177" s="60">
        <f t="shared" si="64"/>
        <v>2330826.25</v>
      </c>
      <c r="V177" s="181">
        <v>25</v>
      </c>
      <c r="W177" s="116">
        <f t="shared" si="60"/>
        <v>31</v>
      </c>
      <c r="X177" s="116">
        <f t="shared" si="65"/>
        <v>269</v>
      </c>
      <c r="Y177" s="38">
        <f t="shared" si="66"/>
        <v>7769.4208333333336</v>
      </c>
      <c r="Z177" s="38">
        <f t="shared" si="67"/>
        <v>240852.04583333334</v>
      </c>
      <c r="AA177" s="38">
        <f t="shared" si="68"/>
        <v>2330826</v>
      </c>
      <c r="AB177" s="38">
        <f t="shared" si="69"/>
        <v>240852</v>
      </c>
      <c r="AC177" s="38">
        <f t="shared" si="70"/>
        <v>2089974</v>
      </c>
      <c r="AD177" s="67"/>
      <c r="AE177" s="73"/>
      <c r="AF177" s="73"/>
      <c r="AG177" s="73">
        <f>AB177-'P, Pl y Eq 2020'!AB174</f>
        <v>93233</v>
      </c>
      <c r="AH177" s="73"/>
      <c r="AI177" s="73"/>
      <c r="AJ177" s="180"/>
    </row>
    <row r="178" spans="1:36" s="66" customFormat="1">
      <c r="A178" s="72">
        <v>15200000</v>
      </c>
      <c r="B178" s="73" t="s">
        <v>20</v>
      </c>
      <c r="C178" s="68" t="s">
        <v>995</v>
      </c>
      <c r="D178" s="67">
        <v>1</v>
      </c>
      <c r="E178" s="61" t="s">
        <v>364</v>
      </c>
      <c r="F178" s="177"/>
      <c r="G178" s="177"/>
      <c r="H178" s="177"/>
      <c r="I178" s="177"/>
      <c r="J178" s="198">
        <v>43617</v>
      </c>
      <c r="K178" s="65" t="str">
        <f t="shared" si="61"/>
        <v>SI</v>
      </c>
      <c r="L178" s="139">
        <f t="shared" si="36"/>
        <v>6093180.6100000003</v>
      </c>
      <c r="M178" s="67">
        <v>6093180.6100000003</v>
      </c>
      <c r="N178" s="67">
        <v>6093180.6100000003</v>
      </c>
      <c r="O178" s="139">
        <f t="shared" si="62"/>
        <v>6093180.6100000003</v>
      </c>
      <c r="P178" s="72">
        <v>15921000</v>
      </c>
      <c r="Q178" s="73" t="s">
        <v>27</v>
      </c>
      <c r="R178" s="67">
        <v>0</v>
      </c>
      <c r="S178" s="67">
        <v>0</v>
      </c>
      <c r="T178" s="139">
        <f t="shared" si="63"/>
        <v>0</v>
      </c>
      <c r="U178" s="60">
        <f t="shared" si="64"/>
        <v>6093180.6100000003</v>
      </c>
      <c r="V178" s="181">
        <v>25</v>
      </c>
      <c r="W178" s="116">
        <f t="shared" si="60"/>
        <v>31</v>
      </c>
      <c r="X178" s="116">
        <f t="shared" si="65"/>
        <v>269</v>
      </c>
      <c r="Y178" s="38">
        <f t="shared" si="66"/>
        <v>20310.602033333333</v>
      </c>
      <c r="Z178" s="38">
        <f t="shared" si="67"/>
        <v>629628.66303333326</v>
      </c>
      <c r="AA178" s="38">
        <f t="shared" si="68"/>
        <v>6093181</v>
      </c>
      <c r="AB178" s="38">
        <f t="shared" si="69"/>
        <v>629629</v>
      </c>
      <c r="AC178" s="38">
        <f t="shared" si="70"/>
        <v>5463552</v>
      </c>
      <c r="AD178" s="67"/>
      <c r="AG178" s="73">
        <f>AB178-'P, Pl y Eq 2020'!AB175</f>
        <v>243728</v>
      </c>
      <c r="AH178" s="73"/>
      <c r="AI178" s="73"/>
      <c r="AJ178" s="180"/>
    </row>
    <row r="179" spans="1:36" s="66" customFormat="1">
      <c r="A179" s="72">
        <v>15200000</v>
      </c>
      <c r="B179" s="73" t="s">
        <v>20</v>
      </c>
      <c r="C179" s="68" t="s">
        <v>995</v>
      </c>
      <c r="D179" s="67">
        <v>1</v>
      </c>
      <c r="E179" s="61" t="s">
        <v>364</v>
      </c>
      <c r="F179" s="177"/>
      <c r="G179" s="177"/>
      <c r="H179" s="177"/>
      <c r="I179" s="177"/>
      <c r="J179" s="198">
        <v>43617</v>
      </c>
      <c r="K179" s="65" t="str">
        <f t="shared" si="61"/>
        <v>SI</v>
      </c>
      <c r="L179" s="139">
        <f t="shared" si="36"/>
        <v>2330826.25</v>
      </c>
      <c r="M179" s="67">
        <v>2330826.25</v>
      </c>
      <c r="N179" s="67">
        <v>2330826.25</v>
      </c>
      <c r="O179" s="139">
        <f t="shared" si="62"/>
        <v>2330826.25</v>
      </c>
      <c r="P179" s="72">
        <v>15921000</v>
      </c>
      <c r="Q179" s="73" t="s">
        <v>27</v>
      </c>
      <c r="R179" s="67">
        <v>0</v>
      </c>
      <c r="S179" s="67">
        <v>0</v>
      </c>
      <c r="T179" s="139">
        <f t="shared" si="63"/>
        <v>0</v>
      </c>
      <c r="U179" s="60">
        <f t="shared" si="64"/>
        <v>2330826.25</v>
      </c>
      <c r="V179" s="181">
        <v>25</v>
      </c>
      <c r="W179" s="116">
        <f t="shared" si="60"/>
        <v>31</v>
      </c>
      <c r="X179" s="116">
        <f t="shared" si="65"/>
        <v>269</v>
      </c>
      <c r="Y179" s="38">
        <f t="shared" si="66"/>
        <v>7769.4208333333336</v>
      </c>
      <c r="Z179" s="38">
        <f t="shared" si="67"/>
        <v>240852.04583333334</v>
      </c>
      <c r="AA179" s="38">
        <f t="shared" si="68"/>
        <v>2330826</v>
      </c>
      <c r="AB179" s="38">
        <f t="shared" si="69"/>
        <v>240852</v>
      </c>
      <c r="AC179" s="38">
        <f t="shared" si="70"/>
        <v>2089974</v>
      </c>
      <c r="AD179" s="67"/>
      <c r="AE179" s="73"/>
      <c r="AF179" s="73"/>
      <c r="AG179" s="73">
        <f>AB179-'P, Pl y Eq 2020'!AB176</f>
        <v>93233</v>
      </c>
      <c r="AH179" s="73"/>
      <c r="AI179" s="73"/>
      <c r="AJ179" s="180"/>
    </row>
    <row r="180" spans="1:36" s="66" customFormat="1">
      <c r="A180" s="72">
        <v>15200000</v>
      </c>
      <c r="B180" s="73" t="s">
        <v>20</v>
      </c>
      <c r="C180" s="68" t="s">
        <v>995</v>
      </c>
      <c r="D180" s="67">
        <v>1</v>
      </c>
      <c r="E180" s="61" t="s">
        <v>364</v>
      </c>
      <c r="F180" s="177"/>
      <c r="G180" s="177"/>
      <c r="H180" s="177"/>
      <c r="I180" s="177"/>
      <c r="J180" s="198">
        <v>43617</v>
      </c>
      <c r="K180" s="65" t="str">
        <f t="shared" si="61"/>
        <v>SI</v>
      </c>
      <c r="L180" s="139">
        <f t="shared" si="36"/>
        <v>6093180.6100000003</v>
      </c>
      <c r="M180" s="67">
        <v>6093180.6100000003</v>
      </c>
      <c r="N180" s="67">
        <v>6093180.6100000003</v>
      </c>
      <c r="O180" s="139">
        <f t="shared" si="62"/>
        <v>6093180.6100000003</v>
      </c>
      <c r="P180" s="72">
        <v>15921000</v>
      </c>
      <c r="Q180" s="73" t="s">
        <v>27</v>
      </c>
      <c r="R180" s="67">
        <v>0</v>
      </c>
      <c r="S180" s="67">
        <v>0</v>
      </c>
      <c r="T180" s="139">
        <f t="shared" si="63"/>
        <v>0</v>
      </c>
      <c r="U180" s="60">
        <f t="shared" si="64"/>
        <v>6093180.6100000003</v>
      </c>
      <c r="V180" s="181">
        <v>25</v>
      </c>
      <c r="W180" s="116">
        <f t="shared" si="60"/>
        <v>31</v>
      </c>
      <c r="X180" s="116">
        <f t="shared" si="65"/>
        <v>269</v>
      </c>
      <c r="Y180" s="38">
        <f t="shared" si="66"/>
        <v>20310.602033333333</v>
      </c>
      <c r="Z180" s="38">
        <f t="shared" si="67"/>
        <v>629628.66303333326</v>
      </c>
      <c r="AA180" s="38">
        <f t="shared" si="68"/>
        <v>6093181</v>
      </c>
      <c r="AB180" s="38">
        <f t="shared" si="69"/>
        <v>629629</v>
      </c>
      <c r="AC180" s="38">
        <f t="shared" si="70"/>
        <v>5463552</v>
      </c>
      <c r="AD180" s="67"/>
      <c r="AG180" s="73">
        <f>AB180-'P, Pl y Eq 2020'!AB177</f>
        <v>243728</v>
      </c>
      <c r="AH180" s="73"/>
      <c r="AI180" s="73"/>
      <c r="AJ180" s="180"/>
    </row>
    <row r="181" spans="1:36" s="66" customFormat="1">
      <c r="A181" s="72">
        <v>15200000</v>
      </c>
      <c r="B181" s="73" t="s">
        <v>20</v>
      </c>
      <c r="C181" s="68" t="s">
        <v>995</v>
      </c>
      <c r="D181" s="67">
        <v>1</v>
      </c>
      <c r="E181" s="61" t="s">
        <v>364</v>
      </c>
      <c r="F181" s="177"/>
      <c r="G181" s="177"/>
      <c r="H181" s="177"/>
      <c r="I181" s="177"/>
      <c r="J181" s="198">
        <v>43617</v>
      </c>
      <c r="K181" s="65" t="str">
        <f t="shared" si="61"/>
        <v>SI</v>
      </c>
      <c r="L181" s="139">
        <f t="shared" si="36"/>
        <v>2330826.21</v>
      </c>
      <c r="M181" s="67">
        <v>2330826.21</v>
      </c>
      <c r="N181" s="67">
        <v>2330826.21</v>
      </c>
      <c r="O181" s="139">
        <f t="shared" si="62"/>
        <v>2330826.21</v>
      </c>
      <c r="P181" s="72">
        <v>15921000</v>
      </c>
      <c r="Q181" s="73" t="s">
        <v>27</v>
      </c>
      <c r="R181" s="67">
        <v>0</v>
      </c>
      <c r="S181" s="67">
        <v>0</v>
      </c>
      <c r="T181" s="139">
        <f t="shared" si="63"/>
        <v>0</v>
      </c>
      <c r="U181" s="60">
        <f t="shared" si="64"/>
        <v>2330826.21</v>
      </c>
      <c r="V181" s="181">
        <v>25</v>
      </c>
      <c r="W181" s="116">
        <f t="shared" si="60"/>
        <v>31</v>
      </c>
      <c r="X181" s="116">
        <f t="shared" si="65"/>
        <v>269</v>
      </c>
      <c r="Y181" s="38">
        <f t="shared" si="66"/>
        <v>7769.4206999999997</v>
      </c>
      <c r="Z181" s="38">
        <f t="shared" si="67"/>
        <v>240852.0417</v>
      </c>
      <c r="AA181" s="38">
        <f t="shared" si="68"/>
        <v>2330826</v>
      </c>
      <c r="AB181" s="38">
        <f t="shared" si="69"/>
        <v>240852</v>
      </c>
      <c r="AC181" s="38">
        <f t="shared" si="70"/>
        <v>2089974</v>
      </c>
      <c r="AD181" s="67"/>
      <c r="AE181" s="73"/>
      <c r="AF181" s="73"/>
      <c r="AG181" s="73">
        <f>AB181-'P, Pl y Eq 2020'!AB178</f>
        <v>93233</v>
      </c>
      <c r="AH181" s="73"/>
      <c r="AI181" s="73"/>
      <c r="AJ181" s="180"/>
    </row>
    <row r="182" spans="1:36" s="66" customFormat="1">
      <c r="A182" s="72">
        <v>15200000</v>
      </c>
      <c r="B182" s="73" t="s">
        <v>20</v>
      </c>
      <c r="C182" s="68" t="s">
        <v>995</v>
      </c>
      <c r="D182" s="67">
        <v>1</v>
      </c>
      <c r="E182" s="61" t="s">
        <v>364</v>
      </c>
      <c r="F182" s="177"/>
      <c r="G182" s="177"/>
      <c r="H182" s="177"/>
      <c r="I182" s="177"/>
      <c r="J182" s="198">
        <v>43617</v>
      </c>
      <c r="K182" s="65" t="str">
        <f t="shared" si="61"/>
        <v>SI</v>
      </c>
      <c r="L182" s="139">
        <f t="shared" si="36"/>
        <v>6093180.6200000001</v>
      </c>
      <c r="M182" s="67">
        <v>6093180.6200000001</v>
      </c>
      <c r="N182" s="67">
        <v>6093180.6200000001</v>
      </c>
      <c r="O182" s="139">
        <f t="shared" si="62"/>
        <v>6093180.6200000001</v>
      </c>
      <c r="P182" s="72">
        <v>15921000</v>
      </c>
      <c r="Q182" s="73" t="s">
        <v>27</v>
      </c>
      <c r="R182" s="67">
        <v>0</v>
      </c>
      <c r="S182" s="67">
        <v>0</v>
      </c>
      <c r="T182" s="139">
        <f t="shared" si="63"/>
        <v>0</v>
      </c>
      <c r="U182" s="60">
        <f t="shared" si="64"/>
        <v>6093180.6200000001</v>
      </c>
      <c r="V182" s="181">
        <v>25</v>
      </c>
      <c r="W182" s="116">
        <f t="shared" si="60"/>
        <v>31</v>
      </c>
      <c r="X182" s="116">
        <f t="shared" si="65"/>
        <v>269</v>
      </c>
      <c r="Y182" s="38">
        <f t="shared" si="66"/>
        <v>20310.602066666666</v>
      </c>
      <c r="Z182" s="38">
        <f t="shared" si="67"/>
        <v>629628.66406666662</v>
      </c>
      <c r="AA182" s="38">
        <f t="shared" si="68"/>
        <v>6093181</v>
      </c>
      <c r="AB182" s="38">
        <f t="shared" si="69"/>
        <v>629629</v>
      </c>
      <c r="AC182" s="38">
        <f t="shared" si="70"/>
        <v>5463552</v>
      </c>
      <c r="AD182" s="67"/>
      <c r="AG182" s="73">
        <f>AB182-'P, Pl y Eq 2020'!AB179</f>
        <v>243728</v>
      </c>
      <c r="AH182" s="73"/>
      <c r="AI182" s="73"/>
      <c r="AJ182" s="180"/>
    </row>
    <row r="183" spans="1:36" s="66" customFormat="1">
      <c r="A183" s="72">
        <v>15200000</v>
      </c>
      <c r="B183" s="73" t="s">
        <v>20</v>
      </c>
      <c r="C183" s="68" t="s">
        <v>995</v>
      </c>
      <c r="D183" s="67">
        <v>1</v>
      </c>
      <c r="E183" s="61" t="s">
        <v>364</v>
      </c>
      <c r="F183" s="177"/>
      <c r="G183" s="177"/>
      <c r="H183" s="177"/>
      <c r="I183" s="177"/>
      <c r="J183" s="198">
        <v>43617</v>
      </c>
      <c r="K183" s="65" t="str">
        <f t="shared" si="61"/>
        <v>SI</v>
      </c>
      <c r="L183" s="139">
        <f t="shared" si="36"/>
        <v>69657840</v>
      </c>
      <c r="M183" s="67">
        <v>69657840</v>
      </c>
      <c r="N183" s="67">
        <v>69657840</v>
      </c>
      <c r="O183" s="139">
        <f t="shared" si="62"/>
        <v>69657840</v>
      </c>
      <c r="P183" s="72">
        <v>15921000</v>
      </c>
      <c r="Q183" s="73" t="s">
        <v>27</v>
      </c>
      <c r="R183" s="67">
        <v>0</v>
      </c>
      <c r="S183" s="67">
        <v>0</v>
      </c>
      <c r="T183" s="139">
        <f t="shared" si="63"/>
        <v>0</v>
      </c>
      <c r="U183" s="60">
        <f t="shared" si="64"/>
        <v>69657840</v>
      </c>
      <c r="V183" s="181">
        <v>25</v>
      </c>
      <c r="W183" s="116">
        <f t="shared" si="60"/>
        <v>31</v>
      </c>
      <c r="X183" s="116">
        <f t="shared" si="65"/>
        <v>269</v>
      </c>
      <c r="Y183" s="38">
        <f t="shared" si="66"/>
        <v>232192.8</v>
      </c>
      <c r="Z183" s="38">
        <f t="shared" si="67"/>
        <v>7197976.7999999998</v>
      </c>
      <c r="AA183" s="38">
        <f t="shared" si="68"/>
        <v>69657840</v>
      </c>
      <c r="AB183" s="38">
        <f t="shared" si="69"/>
        <v>7197977</v>
      </c>
      <c r="AC183" s="38">
        <f t="shared" si="70"/>
        <v>62459863</v>
      </c>
      <c r="AD183" s="67"/>
      <c r="AE183" s="73"/>
      <c r="AF183" s="73"/>
      <c r="AG183" s="73">
        <f>AB183-'P, Pl y Eq 2020'!AB180</f>
        <v>2786314</v>
      </c>
      <c r="AH183" s="73"/>
      <c r="AI183" s="73"/>
      <c r="AJ183" s="180"/>
    </row>
    <row r="184" spans="1:36" s="66" customFormat="1">
      <c r="A184" s="72">
        <v>15200000</v>
      </c>
      <c r="B184" s="73" t="s">
        <v>20</v>
      </c>
      <c r="C184" s="68" t="s">
        <v>995</v>
      </c>
      <c r="D184" s="67">
        <v>1</v>
      </c>
      <c r="E184" s="61" t="s">
        <v>364</v>
      </c>
      <c r="F184" s="177"/>
      <c r="G184" s="177"/>
      <c r="H184" s="177"/>
      <c r="I184" s="177"/>
      <c r="J184" s="198">
        <v>43617</v>
      </c>
      <c r="K184" s="65" t="str">
        <f t="shared" si="61"/>
        <v>SI</v>
      </c>
      <c r="L184" s="139">
        <f t="shared" si="36"/>
        <v>116190896</v>
      </c>
      <c r="M184" s="67">
        <v>116190896</v>
      </c>
      <c r="N184" s="67">
        <v>116190896</v>
      </c>
      <c r="O184" s="139">
        <f t="shared" si="62"/>
        <v>116190896</v>
      </c>
      <c r="P184" s="72">
        <v>15921000</v>
      </c>
      <c r="Q184" s="73" t="s">
        <v>27</v>
      </c>
      <c r="R184" s="67">
        <v>0</v>
      </c>
      <c r="S184" s="67">
        <v>0</v>
      </c>
      <c r="T184" s="139">
        <f t="shared" si="63"/>
        <v>0</v>
      </c>
      <c r="U184" s="60">
        <f t="shared" si="64"/>
        <v>116190896</v>
      </c>
      <c r="V184" s="181">
        <v>25</v>
      </c>
      <c r="W184" s="116">
        <f t="shared" si="60"/>
        <v>31</v>
      </c>
      <c r="X184" s="116">
        <f t="shared" si="65"/>
        <v>269</v>
      </c>
      <c r="Y184" s="38">
        <f t="shared" si="66"/>
        <v>387302.98666666669</v>
      </c>
      <c r="Z184" s="38">
        <f t="shared" si="67"/>
        <v>12006392.586666668</v>
      </c>
      <c r="AA184" s="38">
        <f t="shared" si="68"/>
        <v>116190896</v>
      </c>
      <c r="AB184" s="38">
        <f t="shared" si="69"/>
        <v>12006393</v>
      </c>
      <c r="AC184" s="38">
        <f t="shared" si="70"/>
        <v>104184503</v>
      </c>
      <c r="AD184" s="67"/>
      <c r="AG184" s="73">
        <f>AB184-'P, Pl y Eq 2020'!AB181</f>
        <v>4647636</v>
      </c>
      <c r="AH184" s="73"/>
      <c r="AI184" s="73"/>
      <c r="AJ184" s="180"/>
    </row>
    <row r="185" spans="1:36" s="66" customFormat="1">
      <c r="A185" s="72">
        <v>15200000</v>
      </c>
      <c r="B185" s="73" t="s">
        <v>20</v>
      </c>
      <c r="C185" s="68" t="s">
        <v>995</v>
      </c>
      <c r="D185" s="67">
        <v>1</v>
      </c>
      <c r="E185" s="61" t="s">
        <v>364</v>
      </c>
      <c r="F185" s="177"/>
      <c r="G185" s="177"/>
      <c r="H185" s="177"/>
      <c r="I185" s="177"/>
      <c r="J185" s="198">
        <v>43617</v>
      </c>
      <c r="K185" s="65" t="str">
        <f t="shared" si="61"/>
        <v>SI</v>
      </c>
      <c r="L185" s="139">
        <f t="shared" si="36"/>
        <v>19560030</v>
      </c>
      <c r="M185" s="67">
        <v>19560030</v>
      </c>
      <c r="N185" s="67">
        <v>19560030</v>
      </c>
      <c r="O185" s="139">
        <f t="shared" si="62"/>
        <v>19560030</v>
      </c>
      <c r="P185" s="72">
        <v>15921000</v>
      </c>
      <c r="Q185" s="73" t="s">
        <v>27</v>
      </c>
      <c r="R185" s="67">
        <v>0</v>
      </c>
      <c r="S185" s="67">
        <v>0</v>
      </c>
      <c r="T185" s="139">
        <f t="shared" si="63"/>
        <v>0</v>
      </c>
      <c r="U185" s="60">
        <f t="shared" si="64"/>
        <v>19560030</v>
      </c>
      <c r="V185" s="181">
        <v>25</v>
      </c>
      <c r="W185" s="116">
        <f t="shared" si="60"/>
        <v>31</v>
      </c>
      <c r="X185" s="116">
        <f t="shared" si="65"/>
        <v>269</v>
      </c>
      <c r="Y185" s="38">
        <f t="shared" si="66"/>
        <v>65200.1</v>
      </c>
      <c r="Z185" s="38">
        <f t="shared" si="67"/>
        <v>2021203.0999999999</v>
      </c>
      <c r="AA185" s="38">
        <f t="shared" si="68"/>
        <v>19560030</v>
      </c>
      <c r="AB185" s="38">
        <f t="shared" si="69"/>
        <v>2021203</v>
      </c>
      <c r="AC185" s="38">
        <f t="shared" si="70"/>
        <v>17538827</v>
      </c>
      <c r="AD185" s="67"/>
      <c r="AE185" s="73"/>
      <c r="AF185" s="73"/>
      <c r="AG185" s="73">
        <f>AB185-'P, Pl y Eq 2020'!AB182</f>
        <v>782401</v>
      </c>
      <c r="AH185" s="73"/>
      <c r="AI185" s="73"/>
      <c r="AJ185" s="180"/>
    </row>
    <row r="186" spans="1:36" s="66" customFormat="1">
      <c r="A186" s="72">
        <v>15200000</v>
      </c>
      <c r="B186" s="73" t="s">
        <v>20</v>
      </c>
      <c r="C186" s="68" t="s">
        <v>995</v>
      </c>
      <c r="D186" s="67">
        <v>1</v>
      </c>
      <c r="E186" s="61" t="s">
        <v>364</v>
      </c>
      <c r="F186" s="177"/>
      <c r="G186" s="177"/>
      <c r="H186" s="177"/>
      <c r="I186" s="177"/>
      <c r="J186" s="198">
        <v>43617</v>
      </c>
      <c r="K186" s="65" t="str">
        <f t="shared" si="61"/>
        <v>SI</v>
      </c>
      <c r="L186" s="139">
        <f t="shared" si="36"/>
        <v>24709900.32</v>
      </c>
      <c r="M186" s="67">
        <v>24709900.32</v>
      </c>
      <c r="N186" s="67">
        <v>24709900.32</v>
      </c>
      <c r="O186" s="139">
        <f t="shared" si="62"/>
        <v>24709900.32</v>
      </c>
      <c r="P186" s="72">
        <v>15921000</v>
      </c>
      <c r="Q186" s="73" t="s">
        <v>27</v>
      </c>
      <c r="R186" s="67">
        <v>0</v>
      </c>
      <c r="S186" s="67">
        <v>0</v>
      </c>
      <c r="T186" s="139">
        <f t="shared" si="63"/>
        <v>0</v>
      </c>
      <c r="U186" s="60">
        <f t="shared" si="64"/>
        <v>24709900.32</v>
      </c>
      <c r="V186" s="181">
        <v>25</v>
      </c>
      <c r="W186" s="116">
        <f t="shared" si="60"/>
        <v>31</v>
      </c>
      <c r="X186" s="116">
        <f t="shared" si="65"/>
        <v>269</v>
      </c>
      <c r="Y186" s="38">
        <f t="shared" si="66"/>
        <v>82366.334400000007</v>
      </c>
      <c r="Z186" s="38">
        <f t="shared" si="67"/>
        <v>2553356.3664000002</v>
      </c>
      <c r="AA186" s="38">
        <f t="shared" si="68"/>
        <v>24709900</v>
      </c>
      <c r="AB186" s="38">
        <f t="shared" si="69"/>
        <v>2553356</v>
      </c>
      <c r="AC186" s="38">
        <f t="shared" si="70"/>
        <v>22156544</v>
      </c>
      <c r="AD186" s="67"/>
      <c r="AE186" s="73"/>
      <c r="AF186" s="73"/>
      <c r="AG186" s="73">
        <f>AB186-'P, Pl y Eq 2020'!AB183</f>
        <v>988396</v>
      </c>
      <c r="AH186" s="73"/>
      <c r="AI186" s="73"/>
      <c r="AJ186" s="180"/>
    </row>
    <row r="187" spans="1:36" s="66" customFormat="1">
      <c r="A187" s="72">
        <v>15200000</v>
      </c>
      <c r="B187" s="73" t="s">
        <v>20</v>
      </c>
      <c r="C187" s="68" t="s">
        <v>995</v>
      </c>
      <c r="D187" s="67">
        <v>1</v>
      </c>
      <c r="E187" s="61" t="s">
        <v>364</v>
      </c>
      <c r="F187" s="177"/>
      <c r="G187" s="177"/>
      <c r="H187" s="177"/>
      <c r="I187" s="177"/>
      <c r="J187" s="198">
        <v>43646</v>
      </c>
      <c r="K187" s="65" t="str">
        <f t="shared" si="61"/>
        <v>SI</v>
      </c>
      <c r="L187" s="139">
        <f t="shared" si="36"/>
        <v>418047473.33999997</v>
      </c>
      <c r="M187" s="67">
        <v>418047473.33999997</v>
      </c>
      <c r="N187" s="67">
        <v>418047473.33999997</v>
      </c>
      <c r="O187" s="139">
        <f t="shared" si="62"/>
        <v>418047473.33999997</v>
      </c>
      <c r="P187" s="72">
        <v>15921000</v>
      </c>
      <c r="Q187" s="73" t="s">
        <v>27</v>
      </c>
      <c r="R187" s="67">
        <v>0</v>
      </c>
      <c r="S187" s="67">
        <v>0</v>
      </c>
      <c r="T187" s="139">
        <f t="shared" si="63"/>
        <v>0</v>
      </c>
      <c r="U187" s="60">
        <f t="shared" si="64"/>
        <v>418047473.33999997</v>
      </c>
      <c r="V187" s="181">
        <v>25</v>
      </c>
      <c r="W187" s="116">
        <f>IF(ROUND(($W$27-J187)/30,0)&gt;(V187*12),(V187*12),(ROUND(($W$27-J187)/30,0)))-1</f>
        <v>30</v>
      </c>
      <c r="X187" s="116">
        <f t="shared" si="65"/>
        <v>270</v>
      </c>
      <c r="Y187" s="38">
        <f t="shared" si="66"/>
        <v>1393491.5777999999</v>
      </c>
      <c r="Z187" s="38">
        <f t="shared" si="67"/>
        <v>41804747.333999999</v>
      </c>
      <c r="AA187" s="38">
        <f t="shared" si="68"/>
        <v>418047473</v>
      </c>
      <c r="AB187" s="38">
        <f t="shared" si="69"/>
        <v>41804747</v>
      </c>
      <c r="AC187" s="38">
        <f t="shared" si="70"/>
        <v>376242726</v>
      </c>
      <c r="AD187" s="67"/>
      <c r="AE187" s="73"/>
      <c r="AF187" s="73"/>
      <c r="AG187" s="73">
        <f>AB187-'P, Pl y Eq 2020'!AB184</f>
        <v>16721899</v>
      </c>
      <c r="AH187" s="73"/>
      <c r="AI187" s="73"/>
      <c r="AJ187" s="180"/>
    </row>
    <row r="188" spans="1:36" s="66" customFormat="1">
      <c r="A188" s="72">
        <v>15200000</v>
      </c>
      <c r="B188" s="73" t="s">
        <v>20</v>
      </c>
      <c r="C188" s="68" t="s">
        <v>995</v>
      </c>
      <c r="D188" s="67">
        <v>1</v>
      </c>
      <c r="E188" s="61" t="s">
        <v>364</v>
      </c>
      <c r="F188" s="177"/>
      <c r="G188" s="177"/>
      <c r="H188" s="177"/>
      <c r="I188" s="177"/>
      <c r="J188" s="198">
        <v>43646</v>
      </c>
      <c r="K188" s="65" t="str">
        <f t="shared" si="61"/>
        <v>SI</v>
      </c>
      <c r="L188" s="139">
        <f t="shared" si="36"/>
        <v>121305386.7</v>
      </c>
      <c r="M188" s="67">
        <v>121305386.7</v>
      </c>
      <c r="N188" s="67">
        <v>121305386.7</v>
      </c>
      <c r="O188" s="139">
        <f t="shared" si="62"/>
        <v>121305386.7</v>
      </c>
      <c r="P188" s="72">
        <v>15921000</v>
      </c>
      <c r="Q188" s="73" t="s">
        <v>27</v>
      </c>
      <c r="R188" s="67">
        <v>0</v>
      </c>
      <c r="S188" s="67">
        <v>0</v>
      </c>
      <c r="T188" s="139">
        <f t="shared" si="63"/>
        <v>0</v>
      </c>
      <c r="U188" s="60">
        <f t="shared" si="64"/>
        <v>121305386.7</v>
      </c>
      <c r="V188" s="181">
        <v>25</v>
      </c>
      <c r="W188" s="116">
        <f t="shared" ref="W188:W192" si="71">IF(ROUND(($W$27-J188)/30,0)&gt;(V188*12),(V188*12),(ROUND(($W$27-J188)/30,0)))-1</f>
        <v>30</v>
      </c>
      <c r="X188" s="116">
        <f t="shared" si="65"/>
        <v>270</v>
      </c>
      <c r="Y188" s="38">
        <f t="shared" si="66"/>
        <v>404351.28899999999</v>
      </c>
      <c r="Z188" s="38">
        <f t="shared" si="67"/>
        <v>12130538.67</v>
      </c>
      <c r="AA188" s="38">
        <f t="shared" si="68"/>
        <v>121305387</v>
      </c>
      <c r="AB188" s="38">
        <f t="shared" si="69"/>
        <v>12130539</v>
      </c>
      <c r="AC188" s="38">
        <f t="shared" si="70"/>
        <v>109174848</v>
      </c>
      <c r="AD188" s="67"/>
      <c r="AG188" s="73">
        <f>AB188-'P, Pl y Eq 2020'!AB185</f>
        <v>4852216</v>
      </c>
      <c r="AH188" s="73"/>
      <c r="AI188" s="73"/>
      <c r="AJ188" s="180"/>
    </row>
    <row r="189" spans="1:36" s="66" customFormat="1">
      <c r="A189" s="72">
        <v>15200000</v>
      </c>
      <c r="B189" s="73" t="s">
        <v>20</v>
      </c>
      <c r="C189" s="68" t="s">
        <v>995</v>
      </c>
      <c r="D189" s="67">
        <v>1</v>
      </c>
      <c r="E189" s="61" t="s">
        <v>364</v>
      </c>
      <c r="F189" s="177"/>
      <c r="G189" s="177"/>
      <c r="H189" s="177"/>
      <c r="I189" s="177"/>
      <c r="J189" s="198">
        <v>43646</v>
      </c>
      <c r="K189" s="65" t="str">
        <f t="shared" si="61"/>
        <v>SI</v>
      </c>
      <c r="L189" s="139">
        <f t="shared" si="36"/>
        <v>111621596.09</v>
      </c>
      <c r="M189" s="67">
        <v>111621596.09</v>
      </c>
      <c r="N189" s="67">
        <v>111621596.09</v>
      </c>
      <c r="O189" s="139">
        <f t="shared" si="62"/>
        <v>111621596.09</v>
      </c>
      <c r="P189" s="72">
        <v>15921000</v>
      </c>
      <c r="Q189" s="73" t="s">
        <v>27</v>
      </c>
      <c r="R189" s="67">
        <v>0</v>
      </c>
      <c r="S189" s="67">
        <v>0</v>
      </c>
      <c r="T189" s="139">
        <f t="shared" si="63"/>
        <v>0</v>
      </c>
      <c r="U189" s="60">
        <f t="shared" si="64"/>
        <v>111621596.09</v>
      </c>
      <c r="V189" s="181">
        <v>25</v>
      </c>
      <c r="W189" s="116">
        <f t="shared" si="71"/>
        <v>30</v>
      </c>
      <c r="X189" s="116">
        <f t="shared" si="65"/>
        <v>270</v>
      </c>
      <c r="Y189" s="38">
        <f t="shared" si="66"/>
        <v>372071.98696666671</v>
      </c>
      <c r="Z189" s="38">
        <f t="shared" si="67"/>
        <v>11162159.609000001</v>
      </c>
      <c r="AA189" s="38">
        <f t="shared" si="68"/>
        <v>111621596</v>
      </c>
      <c r="AB189" s="38">
        <f t="shared" si="69"/>
        <v>11162160</v>
      </c>
      <c r="AC189" s="38">
        <f t="shared" si="70"/>
        <v>100459436</v>
      </c>
      <c r="AD189" s="67"/>
      <c r="AE189" s="73"/>
      <c r="AF189" s="73"/>
      <c r="AG189" s="73">
        <f>AB189-'P, Pl y Eq 2020'!AB186</f>
        <v>4464864</v>
      </c>
      <c r="AH189" s="73"/>
      <c r="AI189" s="73"/>
      <c r="AJ189" s="180"/>
    </row>
    <row r="190" spans="1:36" s="66" customFormat="1">
      <c r="A190" s="72">
        <v>15200000</v>
      </c>
      <c r="B190" s="73" t="s">
        <v>20</v>
      </c>
      <c r="C190" s="68" t="s">
        <v>995</v>
      </c>
      <c r="D190" s="67">
        <v>1</v>
      </c>
      <c r="E190" s="61" t="s">
        <v>364</v>
      </c>
      <c r="F190" s="177"/>
      <c r="G190" s="177"/>
      <c r="H190" s="177"/>
      <c r="I190" s="177"/>
      <c r="J190" s="198">
        <v>43646</v>
      </c>
      <c r="K190" s="65" t="str">
        <f t="shared" si="61"/>
        <v>SI</v>
      </c>
      <c r="L190" s="139">
        <f t="shared" si="36"/>
        <v>109048570.15000001</v>
      </c>
      <c r="M190" s="67">
        <v>109048570.15000001</v>
      </c>
      <c r="N190" s="67">
        <v>109048570.15000001</v>
      </c>
      <c r="O190" s="139">
        <f t="shared" si="62"/>
        <v>109048570.15000001</v>
      </c>
      <c r="P190" s="72">
        <v>15921000</v>
      </c>
      <c r="Q190" s="73" t="s">
        <v>27</v>
      </c>
      <c r="R190" s="67">
        <v>0</v>
      </c>
      <c r="S190" s="67">
        <v>0</v>
      </c>
      <c r="T190" s="139">
        <f t="shared" si="63"/>
        <v>0</v>
      </c>
      <c r="U190" s="60">
        <f t="shared" si="64"/>
        <v>109048570.15000001</v>
      </c>
      <c r="V190" s="181">
        <v>25</v>
      </c>
      <c r="W190" s="116">
        <f t="shared" si="71"/>
        <v>30</v>
      </c>
      <c r="X190" s="116">
        <f t="shared" si="65"/>
        <v>270</v>
      </c>
      <c r="Y190" s="38">
        <f t="shared" si="66"/>
        <v>363495.23383333336</v>
      </c>
      <c r="Z190" s="38">
        <f t="shared" si="67"/>
        <v>10904857.015000001</v>
      </c>
      <c r="AA190" s="38">
        <f t="shared" si="68"/>
        <v>109048570</v>
      </c>
      <c r="AB190" s="38">
        <f t="shared" si="69"/>
        <v>10904857</v>
      </c>
      <c r="AC190" s="38">
        <f t="shared" si="70"/>
        <v>98143713</v>
      </c>
      <c r="AD190" s="67"/>
      <c r="AG190" s="73">
        <f>AB190-'P, Pl y Eq 2020'!AB187</f>
        <v>4361943</v>
      </c>
      <c r="AH190" s="73"/>
      <c r="AI190" s="73"/>
      <c r="AJ190" s="180"/>
    </row>
    <row r="191" spans="1:36" s="66" customFormat="1">
      <c r="A191" s="72">
        <v>15200000</v>
      </c>
      <c r="B191" s="73" t="s">
        <v>20</v>
      </c>
      <c r="C191" s="68" t="s">
        <v>995</v>
      </c>
      <c r="D191" s="67">
        <v>1</v>
      </c>
      <c r="E191" s="61" t="s">
        <v>364</v>
      </c>
      <c r="F191" s="177"/>
      <c r="G191" s="177"/>
      <c r="H191" s="177"/>
      <c r="I191" s="177"/>
      <c r="J191" s="198">
        <v>43646</v>
      </c>
      <c r="K191" s="65" t="str">
        <f t="shared" si="61"/>
        <v>SI</v>
      </c>
      <c r="L191" s="139">
        <f t="shared" si="36"/>
        <v>111621560.25</v>
      </c>
      <c r="M191" s="67">
        <v>111621560.25</v>
      </c>
      <c r="N191" s="67">
        <v>111621560.25</v>
      </c>
      <c r="O191" s="139">
        <f t="shared" si="62"/>
        <v>111621560.25</v>
      </c>
      <c r="P191" s="72">
        <v>15921000</v>
      </c>
      <c r="Q191" s="73" t="s">
        <v>27</v>
      </c>
      <c r="R191" s="67">
        <v>0</v>
      </c>
      <c r="S191" s="67">
        <v>0</v>
      </c>
      <c r="T191" s="139">
        <f t="shared" si="63"/>
        <v>0</v>
      </c>
      <c r="U191" s="60">
        <f t="shared" si="64"/>
        <v>111621560.25</v>
      </c>
      <c r="V191" s="181">
        <v>25</v>
      </c>
      <c r="W191" s="116">
        <f t="shared" si="71"/>
        <v>30</v>
      </c>
      <c r="X191" s="116">
        <f t="shared" si="65"/>
        <v>270</v>
      </c>
      <c r="Y191" s="38">
        <f t="shared" si="66"/>
        <v>372071.86749999999</v>
      </c>
      <c r="Z191" s="38">
        <f t="shared" si="67"/>
        <v>11162156.025</v>
      </c>
      <c r="AA191" s="38">
        <f t="shared" si="68"/>
        <v>111621560</v>
      </c>
      <c r="AB191" s="38">
        <f t="shared" si="69"/>
        <v>11162156</v>
      </c>
      <c r="AC191" s="38">
        <f t="shared" si="70"/>
        <v>100459404</v>
      </c>
      <c r="AD191" s="67"/>
      <c r="AE191" s="73"/>
      <c r="AF191" s="73"/>
      <c r="AG191" s="73">
        <f>AB191-'P, Pl y Eq 2020'!AB188</f>
        <v>4464862</v>
      </c>
      <c r="AH191" s="73"/>
      <c r="AI191" s="73"/>
      <c r="AJ191" s="180"/>
    </row>
    <row r="192" spans="1:36" s="66" customFormat="1">
      <c r="A192" s="72">
        <v>15200000</v>
      </c>
      <c r="B192" s="73" t="s">
        <v>20</v>
      </c>
      <c r="C192" s="68" t="s">
        <v>995</v>
      </c>
      <c r="D192" s="67">
        <v>1</v>
      </c>
      <c r="E192" s="61" t="s">
        <v>364</v>
      </c>
      <c r="F192" s="177"/>
      <c r="G192" s="177"/>
      <c r="H192" s="177"/>
      <c r="I192" s="177"/>
      <c r="J192" s="198">
        <v>43646</v>
      </c>
      <c r="K192" s="65" t="str">
        <f t="shared" si="61"/>
        <v>SI</v>
      </c>
      <c r="L192" s="139">
        <f t="shared" si="36"/>
        <v>108548775.15000001</v>
      </c>
      <c r="M192" s="67">
        <v>108548775.15000001</v>
      </c>
      <c r="N192" s="67">
        <v>108548775.15000001</v>
      </c>
      <c r="O192" s="139">
        <f t="shared" si="62"/>
        <v>108548775.15000001</v>
      </c>
      <c r="P192" s="72">
        <v>15921000</v>
      </c>
      <c r="Q192" s="73" t="s">
        <v>27</v>
      </c>
      <c r="R192" s="67">
        <v>0</v>
      </c>
      <c r="S192" s="67">
        <v>0</v>
      </c>
      <c r="T192" s="139">
        <f t="shared" si="63"/>
        <v>0</v>
      </c>
      <c r="U192" s="60">
        <f t="shared" si="64"/>
        <v>108548775.15000001</v>
      </c>
      <c r="V192" s="181">
        <v>25</v>
      </c>
      <c r="W192" s="116">
        <f t="shared" si="71"/>
        <v>30</v>
      </c>
      <c r="X192" s="116">
        <f t="shared" si="65"/>
        <v>270</v>
      </c>
      <c r="Y192" s="38">
        <f t="shared" si="66"/>
        <v>361829.25050000002</v>
      </c>
      <c r="Z192" s="38">
        <f t="shared" si="67"/>
        <v>10854877.515000001</v>
      </c>
      <c r="AA192" s="38">
        <f t="shared" si="68"/>
        <v>108548775</v>
      </c>
      <c r="AB192" s="38">
        <f t="shared" si="69"/>
        <v>10854878</v>
      </c>
      <c r="AC192" s="38">
        <f t="shared" si="70"/>
        <v>97693897</v>
      </c>
      <c r="AD192" s="67"/>
      <c r="AG192" s="73">
        <f>AB192-'P, Pl y Eq 2020'!AB189</f>
        <v>4341951</v>
      </c>
      <c r="AH192" s="73"/>
      <c r="AI192" s="73"/>
      <c r="AJ192" s="180"/>
    </row>
    <row r="193" spans="1:36" s="66" customFormat="1">
      <c r="A193" s="72">
        <v>15200000</v>
      </c>
      <c r="B193" s="73" t="s">
        <v>20</v>
      </c>
      <c r="C193" s="68" t="s">
        <v>995</v>
      </c>
      <c r="D193" s="67">
        <v>1</v>
      </c>
      <c r="E193" s="61" t="s">
        <v>364</v>
      </c>
      <c r="F193" s="177"/>
      <c r="G193" s="177"/>
      <c r="H193" s="177"/>
      <c r="I193" s="177"/>
      <c r="J193" s="198">
        <v>43685</v>
      </c>
      <c r="K193" s="65" t="str">
        <f t="shared" si="61"/>
        <v>SI</v>
      </c>
      <c r="L193" s="139">
        <f t="shared" si="36"/>
        <v>4331600</v>
      </c>
      <c r="M193" s="67">
        <v>4331600</v>
      </c>
      <c r="N193" s="67">
        <v>4331600</v>
      </c>
      <c r="O193" s="139">
        <f t="shared" si="62"/>
        <v>4331600</v>
      </c>
      <c r="P193" s="72">
        <v>15921000</v>
      </c>
      <c r="Q193" s="73" t="s">
        <v>27</v>
      </c>
      <c r="R193" s="67">
        <v>0</v>
      </c>
      <c r="S193" s="67">
        <v>0</v>
      </c>
      <c r="T193" s="139">
        <f t="shared" si="63"/>
        <v>0</v>
      </c>
      <c r="U193" s="175">
        <f t="shared" si="64"/>
        <v>4331600</v>
      </c>
      <c r="V193" s="181">
        <v>15</v>
      </c>
      <c r="W193" s="116">
        <f>IF(ROUND(($W$27-J193)/30,0)&gt;(V193*12),(V193*12),(ROUND(($W$27-J193)/30,0)))-1</f>
        <v>28</v>
      </c>
      <c r="X193" s="116">
        <f t="shared" si="65"/>
        <v>152</v>
      </c>
      <c r="Y193" s="38">
        <f t="shared" si="66"/>
        <v>24064.444444444445</v>
      </c>
      <c r="Z193" s="38">
        <f t="shared" si="67"/>
        <v>673804.4444444445</v>
      </c>
      <c r="AA193" s="38">
        <f t="shared" si="68"/>
        <v>4331600</v>
      </c>
      <c r="AB193" s="38">
        <f t="shared" si="69"/>
        <v>673804</v>
      </c>
      <c r="AC193" s="38">
        <f t="shared" si="70"/>
        <v>3657796</v>
      </c>
      <c r="AD193" s="67"/>
      <c r="AE193" s="73"/>
      <c r="AF193" s="73"/>
      <c r="AG193" s="73">
        <f>AB193-'P, Pl y Eq 2020'!AB190</f>
        <v>288773</v>
      </c>
      <c r="AH193" s="73"/>
      <c r="AI193" s="73"/>
      <c r="AJ193" s="180"/>
    </row>
    <row r="194" spans="1:36" s="66" customFormat="1">
      <c r="A194" s="72">
        <v>15200000</v>
      </c>
      <c r="B194" s="73" t="s">
        <v>20</v>
      </c>
      <c r="C194" s="68" t="s">
        <v>995</v>
      </c>
      <c r="D194" s="67">
        <v>1</v>
      </c>
      <c r="E194" s="61" t="s">
        <v>364</v>
      </c>
      <c r="F194" s="177"/>
      <c r="G194" s="177"/>
      <c r="H194" s="177"/>
      <c r="I194" s="177"/>
      <c r="J194" s="198">
        <v>43699</v>
      </c>
      <c r="K194" s="65" t="str">
        <f t="shared" si="61"/>
        <v>SI</v>
      </c>
      <c r="L194" s="139">
        <f t="shared" si="36"/>
        <v>7392280</v>
      </c>
      <c r="M194" s="67">
        <v>7392280</v>
      </c>
      <c r="N194" s="67">
        <v>7392280</v>
      </c>
      <c r="O194" s="139">
        <f t="shared" si="62"/>
        <v>7392280</v>
      </c>
      <c r="P194" s="72">
        <v>15921000</v>
      </c>
      <c r="Q194" s="73" t="s">
        <v>27</v>
      </c>
      <c r="R194" s="67">
        <v>0</v>
      </c>
      <c r="S194" s="67">
        <v>0</v>
      </c>
      <c r="T194" s="139">
        <f t="shared" si="63"/>
        <v>0</v>
      </c>
      <c r="U194" s="175">
        <f t="shared" si="64"/>
        <v>7392280</v>
      </c>
      <c r="V194" s="181">
        <v>25</v>
      </c>
      <c r="W194" s="116">
        <f>IF(ROUND(($W$27-J194)/30,0)&gt;(V194*12),(V194*12),(ROUND(($W$27-J194)/30,0)))-1</f>
        <v>28</v>
      </c>
      <c r="X194" s="116">
        <f t="shared" si="65"/>
        <v>272</v>
      </c>
      <c r="Y194" s="38">
        <f t="shared" si="66"/>
        <v>24640.933333333334</v>
      </c>
      <c r="Z194" s="38">
        <f t="shared" si="67"/>
        <v>689946.1333333333</v>
      </c>
      <c r="AA194" s="38">
        <f t="shared" si="68"/>
        <v>7392280</v>
      </c>
      <c r="AB194" s="38">
        <f t="shared" si="69"/>
        <v>689946</v>
      </c>
      <c r="AC194" s="38">
        <f t="shared" si="70"/>
        <v>6702334</v>
      </c>
      <c r="AD194" s="67"/>
      <c r="AE194" s="73"/>
      <c r="AF194" s="73"/>
      <c r="AG194" s="73">
        <f>AB194-'P, Pl y Eq 2020'!AB191</f>
        <v>295691</v>
      </c>
      <c r="AH194" s="73"/>
      <c r="AI194" s="73"/>
      <c r="AJ194" s="180"/>
    </row>
    <row r="195" spans="1:36" s="66" customFormat="1">
      <c r="A195" s="72">
        <v>15200000</v>
      </c>
      <c r="B195" s="73" t="s">
        <v>20</v>
      </c>
      <c r="C195" s="68" t="s">
        <v>995</v>
      </c>
      <c r="D195" s="67">
        <v>1</v>
      </c>
      <c r="E195" s="61" t="s">
        <v>364</v>
      </c>
      <c r="F195" s="177"/>
      <c r="G195" s="177"/>
      <c r="H195" s="177"/>
      <c r="I195" s="177"/>
      <c r="J195" s="198">
        <v>43708</v>
      </c>
      <c r="K195" s="65" t="str">
        <f t="shared" si="61"/>
        <v>SI</v>
      </c>
      <c r="L195" s="139">
        <f t="shared" si="36"/>
        <v>12922676.48</v>
      </c>
      <c r="M195" s="67">
        <v>12922676.48</v>
      </c>
      <c r="N195" s="67">
        <v>12922676.48</v>
      </c>
      <c r="O195" s="139">
        <f t="shared" si="62"/>
        <v>12922676.48</v>
      </c>
      <c r="P195" s="72">
        <v>15921000</v>
      </c>
      <c r="Q195" s="73" t="s">
        <v>27</v>
      </c>
      <c r="R195" s="67">
        <v>0</v>
      </c>
      <c r="S195" s="67">
        <v>0</v>
      </c>
      <c r="T195" s="139">
        <f t="shared" si="63"/>
        <v>0</v>
      </c>
      <c r="U195" s="175">
        <f t="shared" si="64"/>
        <v>12922676.48</v>
      </c>
      <c r="V195" s="181">
        <v>25</v>
      </c>
      <c r="W195" s="116">
        <f t="shared" si="60"/>
        <v>28</v>
      </c>
      <c r="X195" s="116">
        <f t="shared" si="65"/>
        <v>272</v>
      </c>
      <c r="Y195" s="38">
        <f t="shared" si="66"/>
        <v>43075.588266666666</v>
      </c>
      <c r="Z195" s="38">
        <f t="shared" si="67"/>
        <v>1206116.4714666666</v>
      </c>
      <c r="AA195" s="38">
        <f t="shared" si="68"/>
        <v>12922676</v>
      </c>
      <c r="AB195" s="38">
        <f t="shared" si="69"/>
        <v>1206116</v>
      </c>
      <c r="AC195" s="38">
        <f t="shared" si="70"/>
        <v>11716560</v>
      </c>
      <c r="AD195" s="67"/>
      <c r="AE195" s="73"/>
      <c r="AF195" s="73"/>
      <c r="AG195" s="73">
        <f>AB195-'P, Pl y Eq 2020'!AB192</f>
        <v>516907</v>
      </c>
      <c r="AH195" s="73"/>
      <c r="AI195" s="73"/>
      <c r="AJ195" s="180"/>
    </row>
    <row r="196" spans="1:36" s="66" customFormat="1">
      <c r="A196" s="72">
        <v>15200000</v>
      </c>
      <c r="B196" s="73" t="s">
        <v>20</v>
      </c>
      <c r="C196" s="68" t="s">
        <v>995</v>
      </c>
      <c r="D196" s="67">
        <v>1</v>
      </c>
      <c r="E196" s="61" t="s">
        <v>364</v>
      </c>
      <c r="F196" s="177"/>
      <c r="G196" s="177"/>
      <c r="H196" s="177"/>
      <c r="I196" s="177"/>
      <c r="J196" s="198">
        <v>43708</v>
      </c>
      <c r="K196" s="65" t="str">
        <f t="shared" ref="K196:K227" si="72">IF(L196&gt;($M$25*50),"SI","NO")</f>
        <v>SI</v>
      </c>
      <c r="L196" s="139">
        <f t="shared" si="36"/>
        <v>11307341.92</v>
      </c>
      <c r="M196" s="67">
        <v>11307341.92</v>
      </c>
      <c r="N196" s="67">
        <v>11307341.92</v>
      </c>
      <c r="O196" s="139">
        <f t="shared" si="62"/>
        <v>11307341.92</v>
      </c>
      <c r="P196" s="72">
        <v>15921000</v>
      </c>
      <c r="Q196" s="73" t="s">
        <v>27</v>
      </c>
      <c r="R196" s="67">
        <v>0</v>
      </c>
      <c r="S196" s="67">
        <v>0</v>
      </c>
      <c r="T196" s="139">
        <f t="shared" si="63"/>
        <v>0</v>
      </c>
      <c r="U196" s="175">
        <f t="shared" si="64"/>
        <v>11307341.92</v>
      </c>
      <c r="V196" s="181">
        <v>25</v>
      </c>
      <c r="W196" s="116">
        <f t="shared" si="60"/>
        <v>28</v>
      </c>
      <c r="X196" s="116">
        <f t="shared" si="65"/>
        <v>272</v>
      </c>
      <c r="Y196" s="38">
        <f t="shared" si="66"/>
        <v>37691.13973333333</v>
      </c>
      <c r="Z196" s="38">
        <f t="shared" si="67"/>
        <v>1055351.9125333333</v>
      </c>
      <c r="AA196" s="38">
        <f t="shared" si="68"/>
        <v>11307342</v>
      </c>
      <c r="AB196" s="38">
        <f t="shared" si="69"/>
        <v>1055352</v>
      </c>
      <c r="AC196" s="38">
        <f t="shared" si="70"/>
        <v>10251990</v>
      </c>
      <c r="AD196" s="67"/>
      <c r="AE196" s="73"/>
      <c r="AF196" s="73"/>
      <c r="AG196" s="73">
        <f>AB196-'P, Pl y Eq 2020'!AB193</f>
        <v>452294</v>
      </c>
      <c r="AH196" s="73"/>
      <c r="AI196" s="73"/>
      <c r="AJ196" s="180"/>
    </row>
    <row r="197" spans="1:36" s="66" customFormat="1">
      <c r="A197" s="72">
        <v>15200000</v>
      </c>
      <c r="B197" s="73" t="s">
        <v>20</v>
      </c>
      <c r="C197" s="68" t="s">
        <v>995</v>
      </c>
      <c r="D197" s="67">
        <v>1</v>
      </c>
      <c r="E197" s="61" t="s">
        <v>364</v>
      </c>
      <c r="F197" s="177"/>
      <c r="G197" s="177"/>
      <c r="H197" s="177"/>
      <c r="I197" s="177"/>
      <c r="J197" s="198">
        <v>43708</v>
      </c>
      <c r="K197" s="65" t="str">
        <f t="shared" si="72"/>
        <v>SI</v>
      </c>
      <c r="L197" s="139">
        <f t="shared" si="36"/>
        <v>11307341.92</v>
      </c>
      <c r="M197" s="67">
        <v>11307341.92</v>
      </c>
      <c r="N197" s="67">
        <v>11307341.92</v>
      </c>
      <c r="O197" s="139">
        <f t="shared" si="62"/>
        <v>11307341.92</v>
      </c>
      <c r="P197" s="72">
        <v>15921000</v>
      </c>
      <c r="Q197" s="73" t="s">
        <v>27</v>
      </c>
      <c r="R197" s="67">
        <v>0</v>
      </c>
      <c r="S197" s="67">
        <v>0</v>
      </c>
      <c r="T197" s="139">
        <f t="shared" si="63"/>
        <v>0</v>
      </c>
      <c r="U197" s="175">
        <f t="shared" si="64"/>
        <v>11307341.92</v>
      </c>
      <c r="V197" s="181">
        <v>25</v>
      </c>
      <c r="W197" s="116">
        <f t="shared" si="60"/>
        <v>28</v>
      </c>
      <c r="X197" s="116">
        <f t="shared" si="65"/>
        <v>272</v>
      </c>
      <c r="Y197" s="38">
        <f t="shared" si="66"/>
        <v>37691.13973333333</v>
      </c>
      <c r="Z197" s="38">
        <f t="shared" si="67"/>
        <v>1055351.9125333333</v>
      </c>
      <c r="AA197" s="38">
        <f t="shared" si="68"/>
        <v>11307342</v>
      </c>
      <c r="AB197" s="38">
        <f t="shared" si="69"/>
        <v>1055352</v>
      </c>
      <c r="AC197" s="38">
        <f t="shared" si="70"/>
        <v>10251990</v>
      </c>
      <c r="AD197" s="67"/>
      <c r="AE197" s="73"/>
      <c r="AF197" s="73"/>
      <c r="AG197" s="73">
        <f>AB197-'P, Pl y Eq 2020'!AB194</f>
        <v>452294</v>
      </c>
      <c r="AH197" s="73"/>
      <c r="AI197" s="73"/>
      <c r="AJ197" s="180"/>
    </row>
    <row r="198" spans="1:36" s="66" customFormat="1">
      <c r="A198" s="72">
        <v>15200000</v>
      </c>
      <c r="B198" s="73" t="s">
        <v>20</v>
      </c>
      <c r="C198" s="68" t="s">
        <v>995</v>
      </c>
      <c r="D198" s="67">
        <v>1</v>
      </c>
      <c r="E198" s="61" t="s">
        <v>364</v>
      </c>
      <c r="F198" s="177"/>
      <c r="G198" s="177"/>
      <c r="H198" s="177"/>
      <c r="I198" s="177"/>
      <c r="J198" s="198">
        <v>43708</v>
      </c>
      <c r="K198" s="65" t="str">
        <f t="shared" si="72"/>
        <v>SI</v>
      </c>
      <c r="L198" s="139">
        <f t="shared" si="36"/>
        <v>11307341.92</v>
      </c>
      <c r="M198" s="67">
        <v>11307341.92</v>
      </c>
      <c r="N198" s="67">
        <v>11307341.92</v>
      </c>
      <c r="O198" s="139">
        <f t="shared" si="62"/>
        <v>11307341.92</v>
      </c>
      <c r="P198" s="72">
        <v>15921000</v>
      </c>
      <c r="Q198" s="73" t="s">
        <v>27</v>
      </c>
      <c r="R198" s="67">
        <v>0</v>
      </c>
      <c r="S198" s="67">
        <v>0</v>
      </c>
      <c r="T198" s="139">
        <f t="shared" si="63"/>
        <v>0</v>
      </c>
      <c r="U198" s="175">
        <f t="shared" si="64"/>
        <v>11307341.92</v>
      </c>
      <c r="V198" s="181">
        <v>25</v>
      </c>
      <c r="W198" s="116">
        <f t="shared" si="60"/>
        <v>28</v>
      </c>
      <c r="X198" s="116">
        <f t="shared" si="65"/>
        <v>272</v>
      </c>
      <c r="Y198" s="38">
        <f t="shared" si="66"/>
        <v>37691.13973333333</v>
      </c>
      <c r="Z198" s="38">
        <f t="shared" si="67"/>
        <v>1055351.9125333333</v>
      </c>
      <c r="AA198" s="38">
        <f t="shared" si="68"/>
        <v>11307342</v>
      </c>
      <c r="AB198" s="38">
        <f t="shared" si="69"/>
        <v>1055352</v>
      </c>
      <c r="AC198" s="38">
        <f t="shared" si="70"/>
        <v>10251990</v>
      </c>
      <c r="AD198" s="67"/>
      <c r="AE198" s="73"/>
      <c r="AF198" s="73"/>
      <c r="AG198" s="73">
        <f>AB198-'P, Pl y Eq 2020'!AB195</f>
        <v>452294</v>
      </c>
      <c r="AH198" s="73"/>
      <c r="AI198" s="73"/>
      <c r="AJ198" s="180"/>
    </row>
    <row r="199" spans="1:36" s="66" customFormat="1">
      <c r="A199" s="72">
        <v>15200000</v>
      </c>
      <c r="B199" s="73" t="s">
        <v>20</v>
      </c>
      <c r="C199" s="68" t="s">
        <v>995</v>
      </c>
      <c r="D199" s="67">
        <v>1</v>
      </c>
      <c r="E199" s="61" t="s">
        <v>364</v>
      </c>
      <c r="F199" s="177"/>
      <c r="G199" s="177"/>
      <c r="H199" s="177"/>
      <c r="I199" s="177"/>
      <c r="J199" s="198">
        <v>43708</v>
      </c>
      <c r="K199" s="65" t="str">
        <f t="shared" si="72"/>
        <v>SI</v>
      </c>
      <c r="L199" s="139">
        <f t="shared" si="36"/>
        <v>11307341.92</v>
      </c>
      <c r="M199" s="67">
        <v>11307341.92</v>
      </c>
      <c r="N199" s="67">
        <v>11307341.92</v>
      </c>
      <c r="O199" s="139">
        <f t="shared" si="62"/>
        <v>11307341.92</v>
      </c>
      <c r="P199" s="72">
        <v>15921000</v>
      </c>
      <c r="Q199" s="73" t="s">
        <v>27</v>
      </c>
      <c r="R199" s="67">
        <v>0</v>
      </c>
      <c r="S199" s="67">
        <v>0</v>
      </c>
      <c r="T199" s="139">
        <f t="shared" si="63"/>
        <v>0</v>
      </c>
      <c r="U199" s="175">
        <f t="shared" si="64"/>
        <v>11307341.92</v>
      </c>
      <c r="V199" s="181">
        <v>25</v>
      </c>
      <c r="W199" s="116">
        <f t="shared" si="60"/>
        <v>28</v>
      </c>
      <c r="X199" s="116">
        <f t="shared" si="65"/>
        <v>272</v>
      </c>
      <c r="Y199" s="38">
        <f t="shared" si="66"/>
        <v>37691.13973333333</v>
      </c>
      <c r="Z199" s="38">
        <f t="shared" si="67"/>
        <v>1055351.9125333333</v>
      </c>
      <c r="AA199" s="38">
        <f t="shared" si="68"/>
        <v>11307342</v>
      </c>
      <c r="AB199" s="38">
        <f t="shared" si="69"/>
        <v>1055352</v>
      </c>
      <c r="AC199" s="38">
        <f t="shared" si="70"/>
        <v>10251990</v>
      </c>
      <c r="AD199" s="67"/>
      <c r="AE199" s="73"/>
      <c r="AF199" s="73"/>
      <c r="AG199" s="73">
        <f>AB199-'P, Pl y Eq 2020'!AB196</f>
        <v>452294</v>
      </c>
      <c r="AH199" s="73"/>
      <c r="AI199" s="73"/>
      <c r="AJ199" s="180"/>
    </row>
    <row r="200" spans="1:36" s="66" customFormat="1">
      <c r="A200" s="72">
        <v>15200000</v>
      </c>
      <c r="B200" s="73" t="s">
        <v>20</v>
      </c>
      <c r="C200" s="68" t="s">
        <v>995</v>
      </c>
      <c r="D200" s="67">
        <v>1</v>
      </c>
      <c r="E200" s="61" t="s">
        <v>364</v>
      </c>
      <c r="F200" s="177"/>
      <c r="G200" s="177"/>
      <c r="H200" s="177"/>
      <c r="I200" s="177"/>
      <c r="J200" s="198">
        <v>43708</v>
      </c>
      <c r="K200" s="65" t="str">
        <f t="shared" si="72"/>
        <v>SI</v>
      </c>
      <c r="L200" s="139">
        <f t="shared" si="36"/>
        <v>11307341.92</v>
      </c>
      <c r="M200" s="67">
        <v>11307341.92</v>
      </c>
      <c r="N200" s="67">
        <v>11307341.92</v>
      </c>
      <c r="O200" s="139">
        <f t="shared" si="62"/>
        <v>11307341.92</v>
      </c>
      <c r="P200" s="72">
        <v>15921000</v>
      </c>
      <c r="Q200" s="73" t="s">
        <v>27</v>
      </c>
      <c r="R200" s="67">
        <v>0</v>
      </c>
      <c r="S200" s="67">
        <v>0</v>
      </c>
      <c r="T200" s="139">
        <f t="shared" si="63"/>
        <v>0</v>
      </c>
      <c r="U200" s="175">
        <f t="shared" si="64"/>
        <v>11307341.92</v>
      </c>
      <c r="V200" s="181">
        <v>25</v>
      </c>
      <c r="W200" s="116">
        <f t="shared" si="60"/>
        <v>28</v>
      </c>
      <c r="X200" s="116">
        <f t="shared" si="65"/>
        <v>272</v>
      </c>
      <c r="Y200" s="38">
        <f t="shared" si="66"/>
        <v>37691.13973333333</v>
      </c>
      <c r="Z200" s="38">
        <f t="shared" si="67"/>
        <v>1055351.9125333333</v>
      </c>
      <c r="AA200" s="38">
        <f t="shared" si="68"/>
        <v>11307342</v>
      </c>
      <c r="AB200" s="38">
        <f t="shared" si="69"/>
        <v>1055352</v>
      </c>
      <c r="AC200" s="38">
        <f t="shared" si="70"/>
        <v>10251990</v>
      </c>
      <c r="AD200" s="67"/>
      <c r="AE200" s="73"/>
      <c r="AF200" s="73"/>
      <c r="AG200" s="73">
        <f>AB200-'P, Pl y Eq 2020'!AB197</f>
        <v>452294</v>
      </c>
      <c r="AH200" s="73"/>
      <c r="AI200" s="73"/>
      <c r="AJ200" s="180"/>
    </row>
    <row r="201" spans="1:36" s="66" customFormat="1">
      <c r="A201" s="72">
        <v>15200000</v>
      </c>
      <c r="B201" s="73" t="s">
        <v>20</v>
      </c>
      <c r="C201" s="68" t="s">
        <v>995</v>
      </c>
      <c r="D201" s="67">
        <v>1</v>
      </c>
      <c r="E201" s="185" t="s">
        <v>364</v>
      </c>
      <c r="F201" s="177"/>
      <c r="G201" s="177"/>
      <c r="H201" s="177"/>
      <c r="I201" s="177"/>
      <c r="J201" s="198">
        <v>43708</v>
      </c>
      <c r="K201" s="182" t="str">
        <f t="shared" si="72"/>
        <v>SI</v>
      </c>
      <c r="L201" s="186">
        <f t="shared" si="36"/>
        <v>11307341.92</v>
      </c>
      <c r="M201" s="67">
        <v>11307341.92</v>
      </c>
      <c r="N201" s="67">
        <v>11307341.92</v>
      </c>
      <c r="O201" s="186">
        <f t="shared" si="62"/>
        <v>11307341.92</v>
      </c>
      <c r="P201" s="72">
        <v>15921000</v>
      </c>
      <c r="Q201" s="73" t="s">
        <v>27</v>
      </c>
      <c r="R201" s="67">
        <v>0</v>
      </c>
      <c r="S201" s="67">
        <v>0</v>
      </c>
      <c r="T201" s="186">
        <f t="shared" si="63"/>
        <v>0</v>
      </c>
      <c r="U201" s="187">
        <f t="shared" si="64"/>
        <v>11307341.92</v>
      </c>
      <c r="V201" s="181">
        <v>25</v>
      </c>
      <c r="W201" s="116">
        <f t="shared" si="60"/>
        <v>28</v>
      </c>
      <c r="X201" s="116">
        <f t="shared" si="65"/>
        <v>272</v>
      </c>
      <c r="Y201" s="38">
        <f t="shared" si="66"/>
        <v>37691.13973333333</v>
      </c>
      <c r="Z201" s="38">
        <f t="shared" si="67"/>
        <v>1055351.9125333333</v>
      </c>
      <c r="AA201" s="38">
        <f t="shared" si="68"/>
        <v>11307342</v>
      </c>
      <c r="AB201" s="38">
        <f t="shared" si="69"/>
        <v>1055352</v>
      </c>
      <c r="AC201" s="38">
        <f t="shared" si="70"/>
        <v>10251990</v>
      </c>
      <c r="AD201" s="67"/>
      <c r="AE201" s="73"/>
      <c r="AF201" s="73"/>
      <c r="AG201" s="73">
        <f>AB201-'P, Pl y Eq 2020'!AB198</f>
        <v>452294</v>
      </c>
      <c r="AH201" s="73"/>
      <c r="AI201" s="73"/>
      <c r="AJ201" s="180"/>
    </row>
    <row r="202" spans="1:36" s="66" customFormat="1">
      <c r="A202" s="72">
        <v>15200000</v>
      </c>
      <c r="B202" s="73" t="s">
        <v>20</v>
      </c>
      <c r="C202" s="200" t="s">
        <v>995</v>
      </c>
      <c r="D202" s="202">
        <v>1</v>
      </c>
      <c r="E202" s="188" t="s">
        <v>364</v>
      </c>
      <c r="F202" s="203"/>
      <c r="G202" s="203"/>
      <c r="H202" s="203"/>
      <c r="I202" s="203"/>
      <c r="J202" s="204">
        <v>43691</v>
      </c>
      <c r="K202" s="211" t="str">
        <f t="shared" si="72"/>
        <v>SI</v>
      </c>
      <c r="L202" s="189">
        <f>M202/D202</f>
        <v>30886408.059999999</v>
      </c>
      <c r="M202" s="202">
        <f>21462307.06+1673048+4755000+139951+77350+650000+2128752</f>
        <v>30886408.059999999</v>
      </c>
      <c r="N202" s="202">
        <f>21462307.06+1673048+4755000+139951+77350+650000+2128752</f>
        <v>30886408.059999999</v>
      </c>
      <c r="O202" s="189">
        <f>IF(K202="SI",N202,0)</f>
        <v>30886408.059999999</v>
      </c>
      <c r="P202" s="155">
        <v>15921000</v>
      </c>
      <c r="Q202" s="151" t="s">
        <v>27</v>
      </c>
      <c r="R202" s="202">
        <v>0</v>
      </c>
      <c r="S202" s="202">
        <v>0</v>
      </c>
      <c r="T202" s="189">
        <f>IF(O202&gt;0,S202,0)</f>
        <v>0</v>
      </c>
      <c r="U202" s="190">
        <f>IF(O202&gt;0,N202-S202,0)</f>
        <v>30886408.059999999</v>
      </c>
      <c r="V202" s="181">
        <v>25</v>
      </c>
      <c r="W202" s="116">
        <f>IF(ROUND(($W$27-J202)/30,0)&gt;(V202*12),(V202*12),(ROUND(($W$27-J202)/30,0)))-1</f>
        <v>28</v>
      </c>
      <c r="X202" s="116">
        <f t="shared" si="65"/>
        <v>272</v>
      </c>
      <c r="Y202" s="38">
        <f t="shared" si="66"/>
        <v>102954.69353333332</v>
      </c>
      <c r="Z202" s="38">
        <f t="shared" si="67"/>
        <v>2882731.4189333329</v>
      </c>
      <c r="AA202" s="38">
        <f t="shared" si="68"/>
        <v>30886408</v>
      </c>
      <c r="AB202" s="38">
        <f t="shared" si="69"/>
        <v>2882731</v>
      </c>
      <c r="AC202" s="38">
        <f t="shared" si="70"/>
        <v>28003677</v>
      </c>
      <c r="AD202" s="67"/>
      <c r="AE202" s="73"/>
      <c r="AF202" s="73"/>
      <c r="AG202" s="73">
        <f>AB202-'P, Pl y Eq 2020'!AB199</f>
        <v>1235456</v>
      </c>
      <c r="AH202" s="73"/>
      <c r="AI202" s="73"/>
      <c r="AJ202" s="180"/>
    </row>
    <row r="203" spans="1:36" s="66" customFormat="1">
      <c r="A203" s="72">
        <v>15200000</v>
      </c>
      <c r="B203" s="73" t="s">
        <v>20</v>
      </c>
      <c r="C203" s="206" t="s">
        <v>995</v>
      </c>
      <c r="D203" s="205">
        <v>1</v>
      </c>
      <c r="E203" s="61" t="s">
        <v>364</v>
      </c>
      <c r="F203" s="207"/>
      <c r="G203" s="207"/>
      <c r="H203" s="207"/>
      <c r="I203" s="207"/>
      <c r="J203" s="178">
        <v>43711</v>
      </c>
      <c r="K203" s="65" t="str">
        <f t="shared" si="72"/>
        <v>NO</v>
      </c>
      <c r="L203" s="139">
        <f t="shared" ref="L203:L211" si="73">M203/D203</f>
        <v>0</v>
      </c>
      <c r="M203" s="205">
        <f>1673048*0</f>
        <v>0</v>
      </c>
      <c r="N203" s="205">
        <f>1673048*0</f>
        <v>0</v>
      </c>
      <c r="O203" s="139">
        <f t="shared" ref="O203:O211" si="74">IF(K203="SI",N203,0)</f>
        <v>0</v>
      </c>
      <c r="P203" s="212">
        <v>15921000</v>
      </c>
      <c r="Q203" s="213" t="s">
        <v>27</v>
      </c>
      <c r="R203" s="205">
        <v>0</v>
      </c>
      <c r="S203" s="205">
        <v>0</v>
      </c>
      <c r="T203" s="139">
        <f t="shared" ref="T203:T211" si="75">IF(O203&gt;0,S203,0)</f>
        <v>0</v>
      </c>
      <c r="U203" s="191">
        <f t="shared" ref="U203:U211" si="76">IF(O203&gt;0,N203-S203,0)</f>
        <v>0</v>
      </c>
      <c r="V203" s="181">
        <v>25</v>
      </c>
      <c r="W203" s="116">
        <f t="shared" si="60"/>
        <v>28</v>
      </c>
      <c r="X203" s="116">
        <f t="shared" si="65"/>
        <v>272</v>
      </c>
      <c r="Y203" s="38">
        <f t="shared" si="66"/>
        <v>0</v>
      </c>
      <c r="Z203" s="38">
        <f t="shared" si="67"/>
        <v>0</v>
      </c>
      <c r="AA203" s="38">
        <f t="shared" si="68"/>
        <v>0</v>
      </c>
      <c r="AB203" s="38">
        <f t="shared" si="69"/>
        <v>0</v>
      </c>
      <c r="AC203" s="38">
        <f t="shared" si="70"/>
        <v>0</v>
      </c>
      <c r="AD203" s="67"/>
      <c r="AG203" s="73">
        <f>AB203-'P, Pl y Eq 2020'!AB200</f>
        <v>0</v>
      </c>
      <c r="AH203" s="73"/>
      <c r="AI203" s="73"/>
      <c r="AJ203" s="180"/>
    </row>
    <row r="204" spans="1:36" s="66" customFormat="1">
      <c r="A204" s="72">
        <v>15200000</v>
      </c>
      <c r="B204" s="73" t="s">
        <v>20</v>
      </c>
      <c r="C204" s="206" t="s">
        <v>995</v>
      </c>
      <c r="D204" s="205">
        <v>1</v>
      </c>
      <c r="E204" s="61" t="s">
        <v>364</v>
      </c>
      <c r="F204" s="207"/>
      <c r="G204" s="207"/>
      <c r="H204" s="207"/>
      <c r="I204" s="207"/>
      <c r="J204" s="178">
        <v>43712</v>
      </c>
      <c r="K204" s="65" t="str">
        <f t="shared" si="72"/>
        <v>NO</v>
      </c>
      <c r="L204" s="139">
        <f t="shared" si="73"/>
        <v>0</v>
      </c>
      <c r="M204" s="205">
        <f>4755000*0</f>
        <v>0</v>
      </c>
      <c r="N204" s="205">
        <f>4755000*0</f>
        <v>0</v>
      </c>
      <c r="O204" s="139">
        <f t="shared" si="74"/>
        <v>0</v>
      </c>
      <c r="P204" s="212">
        <v>15921000</v>
      </c>
      <c r="Q204" s="213" t="s">
        <v>27</v>
      </c>
      <c r="R204" s="205">
        <v>0</v>
      </c>
      <c r="S204" s="205">
        <v>0</v>
      </c>
      <c r="T204" s="139">
        <f t="shared" si="75"/>
        <v>0</v>
      </c>
      <c r="U204" s="191">
        <f t="shared" si="76"/>
        <v>0</v>
      </c>
      <c r="V204" s="181">
        <v>25</v>
      </c>
      <c r="W204" s="116">
        <f t="shared" si="60"/>
        <v>28</v>
      </c>
      <c r="X204" s="116">
        <f t="shared" si="65"/>
        <v>272</v>
      </c>
      <c r="Y204" s="38">
        <f t="shared" si="66"/>
        <v>0</v>
      </c>
      <c r="Z204" s="38">
        <f t="shared" si="67"/>
        <v>0</v>
      </c>
      <c r="AA204" s="38">
        <f t="shared" si="68"/>
        <v>0</v>
      </c>
      <c r="AB204" s="38">
        <f t="shared" si="69"/>
        <v>0</v>
      </c>
      <c r="AC204" s="38">
        <f t="shared" si="70"/>
        <v>0</v>
      </c>
      <c r="AD204" s="67"/>
      <c r="AG204" s="73">
        <f>AB204-'P, Pl y Eq 2020'!AB201</f>
        <v>0</v>
      </c>
      <c r="AH204" s="73"/>
      <c r="AI204" s="73"/>
      <c r="AJ204" s="180"/>
    </row>
    <row r="205" spans="1:36" s="66" customFormat="1">
      <c r="A205" s="72">
        <v>15200000</v>
      </c>
      <c r="B205" s="73" t="s">
        <v>20</v>
      </c>
      <c r="C205" s="206" t="s">
        <v>995</v>
      </c>
      <c r="D205" s="205">
        <v>1</v>
      </c>
      <c r="E205" s="61" t="s">
        <v>364</v>
      </c>
      <c r="F205" s="207"/>
      <c r="G205" s="207"/>
      <c r="H205" s="207"/>
      <c r="I205" s="207"/>
      <c r="J205" s="178">
        <v>43719</v>
      </c>
      <c r="K205" s="65" t="str">
        <f t="shared" si="72"/>
        <v>NO</v>
      </c>
      <c r="L205" s="139">
        <f t="shared" si="73"/>
        <v>0</v>
      </c>
      <c r="M205" s="205">
        <f>139951*0</f>
        <v>0</v>
      </c>
      <c r="N205" s="205">
        <f>139951*0</f>
        <v>0</v>
      </c>
      <c r="O205" s="139">
        <f t="shared" si="74"/>
        <v>0</v>
      </c>
      <c r="P205" s="212">
        <v>15921000</v>
      </c>
      <c r="Q205" s="213" t="s">
        <v>27</v>
      </c>
      <c r="R205" s="205">
        <v>0</v>
      </c>
      <c r="S205" s="205">
        <v>0</v>
      </c>
      <c r="T205" s="139">
        <f t="shared" si="75"/>
        <v>0</v>
      </c>
      <c r="U205" s="191">
        <f t="shared" si="76"/>
        <v>0</v>
      </c>
      <c r="V205" s="181">
        <v>25</v>
      </c>
      <c r="W205" s="116">
        <f t="shared" si="60"/>
        <v>28</v>
      </c>
      <c r="X205" s="116">
        <f t="shared" si="65"/>
        <v>272</v>
      </c>
      <c r="Y205" s="38">
        <f t="shared" si="66"/>
        <v>0</v>
      </c>
      <c r="Z205" s="38">
        <f t="shared" si="67"/>
        <v>0</v>
      </c>
      <c r="AA205" s="38">
        <f t="shared" si="68"/>
        <v>0</v>
      </c>
      <c r="AB205" s="38">
        <f t="shared" si="69"/>
        <v>0</v>
      </c>
      <c r="AC205" s="38">
        <f t="shared" si="70"/>
        <v>0</v>
      </c>
      <c r="AD205" s="67"/>
      <c r="AG205" s="73">
        <f>AB205-'P, Pl y Eq 2020'!AB202</f>
        <v>0</v>
      </c>
      <c r="AH205" s="73"/>
      <c r="AI205" s="73"/>
      <c r="AJ205" s="180"/>
    </row>
    <row r="206" spans="1:36" s="66" customFormat="1">
      <c r="A206" s="72">
        <v>15200000</v>
      </c>
      <c r="B206" s="73" t="s">
        <v>20</v>
      </c>
      <c r="C206" s="206" t="s">
        <v>995</v>
      </c>
      <c r="D206" s="205">
        <v>1</v>
      </c>
      <c r="E206" s="61" t="s">
        <v>364</v>
      </c>
      <c r="F206" s="207"/>
      <c r="G206" s="207"/>
      <c r="H206" s="207"/>
      <c r="I206" s="207"/>
      <c r="J206" s="178">
        <v>43719</v>
      </c>
      <c r="K206" s="65" t="str">
        <f t="shared" si="72"/>
        <v>NO</v>
      </c>
      <c r="L206" s="139">
        <f t="shared" si="73"/>
        <v>0</v>
      </c>
      <c r="M206" s="205">
        <f>77350*0</f>
        <v>0</v>
      </c>
      <c r="N206" s="205">
        <f>77350*0</f>
        <v>0</v>
      </c>
      <c r="O206" s="139">
        <f t="shared" si="74"/>
        <v>0</v>
      </c>
      <c r="P206" s="212">
        <v>15921000</v>
      </c>
      <c r="Q206" s="213" t="s">
        <v>27</v>
      </c>
      <c r="R206" s="205">
        <v>0</v>
      </c>
      <c r="S206" s="205">
        <v>0</v>
      </c>
      <c r="T206" s="139">
        <f t="shared" si="75"/>
        <v>0</v>
      </c>
      <c r="U206" s="191">
        <f t="shared" si="76"/>
        <v>0</v>
      </c>
      <c r="V206" s="181">
        <v>25</v>
      </c>
      <c r="W206" s="116">
        <f t="shared" si="60"/>
        <v>28</v>
      </c>
      <c r="X206" s="116">
        <f t="shared" si="65"/>
        <v>272</v>
      </c>
      <c r="Y206" s="38">
        <f t="shared" si="66"/>
        <v>0</v>
      </c>
      <c r="Z206" s="38">
        <f t="shared" si="67"/>
        <v>0</v>
      </c>
      <c r="AA206" s="38">
        <f t="shared" si="68"/>
        <v>0</v>
      </c>
      <c r="AB206" s="38">
        <f t="shared" si="69"/>
        <v>0</v>
      </c>
      <c r="AC206" s="38">
        <f t="shared" si="70"/>
        <v>0</v>
      </c>
      <c r="AD206" s="67"/>
      <c r="AG206" s="73">
        <f>AB206-'P, Pl y Eq 2020'!AB203</f>
        <v>0</v>
      </c>
      <c r="AH206" s="73"/>
      <c r="AI206" s="73"/>
      <c r="AJ206" s="180"/>
    </row>
    <row r="207" spans="1:36" s="66" customFormat="1">
      <c r="A207" s="72">
        <v>15200000</v>
      </c>
      <c r="B207" s="73" t="s">
        <v>20</v>
      </c>
      <c r="C207" s="206" t="s">
        <v>995</v>
      </c>
      <c r="D207" s="205">
        <v>1</v>
      </c>
      <c r="E207" s="61" t="s">
        <v>364</v>
      </c>
      <c r="F207" s="207"/>
      <c r="G207" s="207"/>
      <c r="H207" s="207"/>
      <c r="I207" s="207"/>
      <c r="J207" s="178">
        <v>43727</v>
      </c>
      <c r="K207" s="65" t="str">
        <f t="shared" si="72"/>
        <v>NO</v>
      </c>
      <c r="L207" s="139">
        <f t="shared" si="73"/>
        <v>0</v>
      </c>
      <c r="M207" s="205">
        <f>650000*0</f>
        <v>0</v>
      </c>
      <c r="N207" s="205">
        <f>650000*0</f>
        <v>0</v>
      </c>
      <c r="O207" s="139">
        <f t="shared" si="74"/>
        <v>0</v>
      </c>
      <c r="P207" s="212">
        <v>15921000</v>
      </c>
      <c r="Q207" s="213" t="s">
        <v>27</v>
      </c>
      <c r="R207" s="205">
        <v>0</v>
      </c>
      <c r="S207" s="205">
        <v>0</v>
      </c>
      <c r="T207" s="139">
        <f t="shared" si="75"/>
        <v>0</v>
      </c>
      <c r="U207" s="191">
        <f t="shared" si="76"/>
        <v>0</v>
      </c>
      <c r="V207" s="181">
        <v>25</v>
      </c>
      <c r="W207" s="116">
        <f>IF(ROUND(($W$27-J207)/30,0)&gt;(V207*12),(V207*12),(ROUND(($W$27-J207)/30,0)))</f>
        <v>28</v>
      </c>
      <c r="X207" s="116">
        <f t="shared" si="65"/>
        <v>272</v>
      </c>
      <c r="Y207" s="38">
        <f t="shared" si="66"/>
        <v>0</v>
      </c>
      <c r="Z207" s="38">
        <f t="shared" si="67"/>
        <v>0</v>
      </c>
      <c r="AA207" s="38">
        <f t="shared" si="68"/>
        <v>0</v>
      </c>
      <c r="AB207" s="38">
        <f t="shared" si="69"/>
        <v>0</v>
      </c>
      <c r="AC207" s="38">
        <f t="shared" si="70"/>
        <v>0</v>
      </c>
      <c r="AD207" s="67"/>
      <c r="AG207" s="73">
        <f>AB207-'P, Pl y Eq 2020'!AB204</f>
        <v>0</v>
      </c>
      <c r="AH207" s="73"/>
      <c r="AI207" s="73"/>
      <c r="AJ207" s="180"/>
    </row>
    <row r="208" spans="1:36" s="66" customFormat="1">
      <c r="A208" s="72">
        <v>15200000</v>
      </c>
      <c r="B208" s="73" t="s">
        <v>20</v>
      </c>
      <c r="C208" s="201" t="s">
        <v>995</v>
      </c>
      <c r="D208" s="208">
        <v>1</v>
      </c>
      <c r="E208" s="192" t="s">
        <v>364</v>
      </c>
      <c r="F208" s="209"/>
      <c r="G208" s="209"/>
      <c r="H208" s="209"/>
      <c r="I208" s="209"/>
      <c r="J208" s="210">
        <v>43727</v>
      </c>
      <c r="K208" s="214" t="str">
        <f t="shared" si="72"/>
        <v>NO</v>
      </c>
      <c r="L208" s="193">
        <f t="shared" si="73"/>
        <v>0</v>
      </c>
      <c r="M208" s="208">
        <f>2128752*0</f>
        <v>0</v>
      </c>
      <c r="N208" s="208">
        <f>2128752*0</f>
        <v>0</v>
      </c>
      <c r="O208" s="193">
        <f t="shared" si="74"/>
        <v>0</v>
      </c>
      <c r="P208" s="162">
        <v>15921000</v>
      </c>
      <c r="Q208" s="158" t="s">
        <v>27</v>
      </c>
      <c r="R208" s="208">
        <v>0</v>
      </c>
      <c r="S208" s="208">
        <v>0</v>
      </c>
      <c r="T208" s="193">
        <f t="shared" si="75"/>
        <v>0</v>
      </c>
      <c r="U208" s="194">
        <f t="shared" si="76"/>
        <v>0</v>
      </c>
      <c r="V208" s="181">
        <v>25</v>
      </c>
      <c r="W208" s="116">
        <f>IF(ROUND(($W$27-J208)/30,0)&gt;(V208*12),(V208*12),(ROUND(($W$27-J208)/30,0)))</f>
        <v>28</v>
      </c>
      <c r="X208" s="116">
        <f t="shared" si="65"/>
        <v>272</v>
      </c>
      <c r="Y208" s="38">
        <f t="shared" si="66"/>
        <v>0</v>
      </c>
      <c r="Z208" s="38">
        <f t="shared" si="67"/>
        <v>0</v>
      </c>
      <c r="AA208" s="38">
        <f t="shared" si="68"/>
        <v>0</v>
      </c>
      <c r="AB208" s="38">
        <f t="shared" si="69"/>
        <v>0</v>
      </c>
      <c r="AC208" s="38">
        <f t="shared" si="70"/>
        <v>0</v>
      </c>
      <c r="AD208" s="67"/>
      <c r="AG208" s="73">
        <f>AB208-'P, Pl y Eq 2020'!AB205</f>
        <v>0</v>
      </c>
      <c r="AH208" s="73"/>
      <c r="AI208" s="73"/>
      <c r="AJ208" s="180"/>
    </row>
    <row r="209" spans="1:36" s="66" customFormat="1">
      <c r="A209" s="72">
        <v>15200000</v>
      </c>
      <c r="B209" s="73" t="s">
        <v>20</v>
      </c>
      <c r="C209" s="68" t="s">
        <v>995</v>
      </c>
      <c r="D209" s="67">
        <v>1</v>
      </c>
      <c r="E209" s="195" t="s">
        <v>364</v>
      </c>
      <c r="F209" s="177"/>
      <c r="G209" s="177"/>
      <c r="H209" s="177"/>
      <c r="I209" s="177"/>
      <c r="J209" s="178">
        <v>43721</v>
      </c>
      <c r="K209" s="184" t="str">
        <f t="shared" si="72"/>
        <v>SI</v>
      </c>
      <c r="L209" s="196">
        <f>M209/D209</f>
        <v>4510100</v>
      </c>
      <c r="M209" s="67">
        <v>4510100</v>
      </c>
      <c r="N209" s="67">
        <v>4510100</v>
      </c>
      <c r="O209" s="196">
        <f>IF(K209="SI",N209,0)</f>
        <v>4510100</v>
      </c>
      <c r="P209" s="72">
        <v>15921000</v>
      </c>
      <c r="Q209" s="73" t="s">
        <v>27</v>
      </c>
      <c r="R209" s="67">
        <v>0</v>
      </c>
      <c r="S209" s="67">
        <v>0</v>
      </c>
      <c r="T209" s="196">
        <f>IF(O209&gt;0,S209,0)</f>
        <v>0</v>
      </c>
      <c r="U209" s="197">
        <f>IF(O209&gt;0,N209-S209,0)</f>
        <v>4510100</v>
      </c>
      <c r="V209" s="181">
        <v>25</v>
      </c>
      <c r="W209" s="116">
        <f>IF(ROUND(($W$27-J209)/30,0)&gt;(V209*12),(V209*12),(ROUND(($W$27-J209)/30,0)))-1</f>
        <v>27</v>
      </c>
      <c r="X209" s="116">
        <f t="shared" si="65"/>
        <v>273</v>
      </c>
      <c r="Y209" s="38">
        <f t="shared" si="66"/>
        <v>15033.666666666666</v>
      </c>
      <c r="Z209" s="38">
        <f t="shared" si="67"/>
        <v>405909</v>
      </c>
      <c r="AA209" s="38">
        <f t="shared" si="68"/>
        <v>4510100</v>
      </c>
      <c r="AB209" s="38">
        <f t="shared" si="69"/>
        <v>405909</v>
      </c>
      <c r="AC209" s="38">
        <f t="shared" si="70"/>
        <v>4104191</v>
      </c>
      <c r="AD209" s="67"/>
      <c r="AE209" s="73"/>
      <c r="AF209" s="73"/>
      <c r="AG209" s="73">
        <f>AB209-'P, Pl y Eq 2020'!AB206</f>
        <v>180404</v>
      </c>
      <c r="AH209" s="73"/>
      <c r="AI209" s="73"/>
      <c r="AJ209" s="180"/>
    </row>
    <row r="210" spans="1:36" s="66" customFormat="1">
      <c r="A210" s="72">
        <v>15200000</v>
      </c>
      <c r="B210" s="73" t="s">
        <v>20</v>
      </c>
      <c r="C210" s="68" t="s">
        <v>995</v>
      </c>
      <c r="D210" s="67">
        <v>1</v>
      </c>
      <c r="E210" s="61" t="s">
        <v>364</v>
      </c>
      <c r="F210" s="177"/>
      <c r="G210" s="177"/>
      <c r="H210" s="177"/>
      <c r="I210" s="177"/>
      <c r="J210" s="178">
        <v>43733</v>
      </c>
      <c r="K210" s="65" t="str">
        <f t="shared" si="72"/>
        <v>SI</v>
      </c>
      <c r="L210" s="139">
        <f t="shared" si="73"/>
        <v>4685268</v>
      </c>
      <c r="M210" s="67">
        <v>4685268</v>
      </c>
      <c r="N210" s="67">
        <v>4685268</v>
      </c>
      <c r="O210" s="139">
        <f t="shared" si="74"/>
        <v>4685268</v>
      </c>
      <c r="P210" s="72">
        <v>15921000</v>
      </c>
      <c r="Q210" s="73" t="s">
        <v>27</v>
      </c>
      <c r="R210" s="67">
        <v>0</v>
      </c>
      <c r="S210" s="67">
        <v>0</v>
      </c>
      <c r="T210" s="139">
        <f t="shared" si="75"/>
        <v>0</v>
      </c>
      <c r="U210" s="175">
        <f t="shared" si="76"/>
        <v>4685268</v>
      </c>
      <c r="V210" s="181">
        <v>20</v>
      </c>
      <c r="W210" s="116">
        <f>IF(ROUND(($W$27-J210)/30,0)&gt;(V210*12),(V210*12),(ROUND(($W$27-J210)/30,0)))-1</f>
        <v>27</v>
      </c>
      <c r="X210" s="116">
        <f t="shared" si="65"/>
        <v>213</v>
      </c>
      <c r="Y210" s="38">
        <f t="shared" si="66"/>
        <v>19521.95</v>
      </c>
      <c r="Z210" s="38">
        <f t="shared" si="67"/>
        <v>527092.65</v>
      </c>
      <c r="AA210" s="38">
        <f t="shared" si="68"/>
        <v>4685268</v>
      </c>
      <c r="AB210" s="38">
        <f t="shared" si="69"/>
        <v>527093</v>
      </c>
      <c r="AC210" s="38">
        <f t="shared" si="70"/>
        <v>4158175</v>
      </c>
      <c r="AD210" s="67"/>
      <c r="AE210" s="73"/>
      <c r="AF210" s="73"/>
      <c r="AG210" s="73">
        <f>AB210-'P, Pl y Eq 2020'!AB207</f>
        <v>234264</v>
      </c>
      <c r="AH210" s="73"/>
      <c r="AI210" s="73"/>
      <c r="AJ210" s="180"/>
    </row>
    <row r="211" spans="1:36" s="66" customFormat="1">
      <c r="A211" s="72">
        <v>15200000</v>
      </c>
      <c r="B211" s="73" t="s">
        <v>20</v>
      </c>
      <c r="C211" s="68" t="s">
        <v>995</v>
      </c>
      <c r="D211" s="67">
        <v>1</v>
      </c>
      <c r="E211" s="61" t="s">
        <v>364</v>
      </c>
      <c r="F211" s="177"/>
      <c r="G211" s="177"/>
      <c r="H211" s="177"/>
      <c r="I211" s="177"/>
      <c r="J211" s="178">
        <v>43738</v>
      </c>
      <c r="K211" s="65" t="str">
        <f t="shared" si="72"/>
        <v>SI</v>
      </c>
      <c r="L211" s="139">
        <f t="shared" si="73"/>
        <v>301423390.14999998</v>
      </c>
      <c r="M211" s="67">
        <f>298367790.15+3055600</f>
        <v>301423390.14999998</v>
      </c>
      <c r="N211" s="67">
        <f>298367790.15+3055600</f>
        <v>301423390.14999998</v>
      </c>
      <c r="O211" s="139">
        <f t="shared" si="74"/>
        <v>301423390.14999998</v>
      </c>
      <c r="P211" s="72">
        <v>15921000</v>
      </c>
      <c r="Q211" s="73" t="s">
        <v>27</v>
      </c>
      <c r="R211" s="67">
        <v>0</v>
      </c>
      <c r="S211" s="67">
        <v>0</v>
      </c>
      <c r="T211" s="139">
        <f t="shared" si="75"/>
        <v>0</v>
      </c>
      <c r="U211" s="175">
        <f t="shared" si="76"/>
        <v>301423390.14999998</v>
      </c>
      <c r="V211" s="181">
        <v>20</v>
      </c>
      <c r="W211" s="116">
        <f t="shared" si="60"/>
        <v>27</v>
      </c>
      <c r="X211" s="116">
        <f t="shared" si="65"/>
        <v>213</v>
      </c>
      <c r="Y211" s="38">
        <f t="shared" si="66"/>
        <v>1255930.7922916666</v>
      </c>
      <c r="Z211" s="38">
        <f t="shared" si="67"/>
        <v>33910131.391874999</v>
      </c>
      <c r="AA211" s="38">
        <f t="shared" si="68"/>
        <v>301423390</v>
      </c>
      <c r="AB211" s="38">
        <f t="shared" si="69"/>
        <v>33910131</v>
      </c>
      <c r="AC211" s="38">
        <f t="shared" si="70"/>
        <v>267513259</v>
      </c>
      <c r="AD211" s="67"/>
      <c r="AE211" s="73"/>
      <c r="AF211" s="73"/>
      <c r="AG211" s="73">
        <f>AB211-'P, Pl y Eq 2020'!AB208</f>
        <v>15071169</v>
      </c>
      <c r="AH211" s="73"/>
      <c r="AI211" s="73"/>
      <c r="AJ211" s="180"/>
    </row>
    <row r="212" spans="1:36" s="66" customFormat="1">
      <c r="A212" s="72">
        <v>15200000</v>
      </c>
      <c r="B212" s="73" t="s">
        <v>20</v>
      </c>
      <c r="C212" s="176" t="s">
        <v>995</v>
      </c>
      <c r="D212" s="67">
        <v>1</v>
      </c>
      <c r="E212" s="61" t="s">
        <v>364</v>
      </c>
      <c r="F212" s="177"/>
      <c r="G212" s="177"/>
      <c r="H212" s="177"/>
      <c r="I212" s="177"/>
      <c r="J212" s="178">
        <v>43770</v>
      </c>
      <c r="K212" s="65" t="str">
        <f t="shared" si="72"/>
        <v>SI</v>
      </c>
      <c r="L212" s="139">
        <f t="shared" si="36"/>
        <v>9477200</v>
      </c>
      <c r="M212" s="67">
        <v>9477200</v>
      </c>
      <c r="N212" s="67">
        <v>9477200</v>
      </c>
      <c r="O212" s="139">
        <f t="shared" si="37"/>
        <v>9477200</v>
      </c>
      <c r="P212" s="72">
        <v>15921000</v>
      </c>
      <c r="Q212" s="73" t="s">
        <v>27</v>
      </c>
      <c r="R212" s="67">
        <v>0</v>
      </c>
      <c r="S212" s="67">
        <v>0</v>
      </c>
      <c r="T212" s="139">
        <f t="shared" si="38"/>
        <v>0</v>
      </c>
      <c r="U212" s="38">
        <f t="shared" si="39"/>
        <v>9477200</v>
      </c>
      <c r="V212" s="179">
        <v>20</v>
      </c>
      <c r="W212" s="116">
        <f t="shared" si="60"/>
        <v>26</v>
      </c>
      <c r="X212" s="116">
        <f t="shared" si="65"/>
        <v>214</v>
      </c>
      <c r="Y212" s="38">
        <f t="shared" si="66"/>
        <v>39488.333333333336</v>
      </c>
      <c r="Z212" s="38">
        <f t="shared" si="67"/>
        <v>1026696.6666666667</v>
      </c>
      <c r="AA212" s="38">
        <f t="shared" si="68"/>
        <v>9477200</v>
      </c>
      <c r="AB212" s="38">
        <f t="shared" si="69"/>
        <v>1026697</v>
      </c>
      <c r="AC212" s="38">
        <f t="shared" si="70"/>
        <v>8450503</v>
      </c>
      <c r="AD212" s="67"/>
      <c r="AE212" s="73"/>
      <c r="AF212" s="73"/>
      <c r="AG212" s="73">
        <f>AB212-'P, Pl y Eq 2020'!AB209</f>
        <v>473860</v>
      </c>
      <c r="AH212" s="180"/>
      <c r="AI212" s="67"/>
      <c r="AJ212" s="180"/>
    </row>
    <row r="213" spans="1:36" s="66" customFormat="1">
      <c r="A213" s="72">
        <v>15200000</v>
      </c>
      <c r="B213" s="73" t="s">
        <v>20</v>
      </c>
      <c r="C213" s="176" t="s">
        <v>995</v>
      </c>
      <c r="D213" s="67">
        <v>1</v>
      </c>
      <c r="E213" s="61" t="s">
        <v>364</v>
      </c>
      <c r="F213" s="177"/>
      <c r="G213" s="177"/>
      <c r="H213" s="177"/>
      <c r="I213" s="177"/>
      <c r="J213" s="178">
        <v>43770</v>
      </c>
      <c r="K213" s="65" t="str">
        <f t="shared" si="72"/>
        <v>SI</v>
      </c>
      <c r="L213" s="139">
        <f t="shared" si="36"/>
        <v>4510100</v>
      </c>
      <c r="M213" s="67">
        <v>4510100</v>
      </c>
      <c r="N213" s="67">
        <v>4510100</v>
      </c>
      <c r="O213" s="139">
        <f t="shared" si="37"/>
        <v>4510100</v>
      </c>
      <c r="P213" s="72">
        <v>15921000</v>
      </c>
      <c r="Q213" s="73" t="s">
        <v>27</v>
      </c>
      <c r="R213" s="67">
        <v>0</v>
      </c>
      <c r="S213" s="67">
        <v>0</v>
      </c>
      <c r="T213" s="139">
        <f t="shared" si="38"/>
        <v>0</v>
      </c>
      <c r="U213" s="38">
        <f t="shared" si="39"/>
        <v>4510100</v>
      </c>
      <c r="V213" s="179">
        <v>25</v>
      </c>
      <c r="W213" s="116">
        <f t="shared" si="60"/>
        <v>26</v>
      </c>
      <c r="X213" s="116">
        <f t="shared" si="65"/>
        <v>274</v>
      </c>
      <c r="Y213" s="38">
        <f t="shared" si="66"/>
        <v>15033.666666666666</v>
      </c>
      <c r="Z213" s="38">
        <f t="shared" si="67"/>
        <v>390875.33333333331</v>
      </c>
      <c r="AA213" s="38">
        <f t="shared" si="68"/>
        <v>4510100</v>
      </c>
      <c r="AB213" s="38">
        <f t="shared" si="69"/>
        <v>390875</v>
      </c>
      <c r="AC213" s="38">
        <f t="shared" si="70"/>
        <v>4119225</v>
      </c>
      <c r="AD213" s="67"/>
      <c r="AE213" s="73"/>
      <c r="AF213" s="73"/>
      <c r="AG213" s="73">
        <f>AB213-'P, Pl y Eq 2020'!AB210</f>
        <v>180404</v>
      </c>
      <c r="AH213" s="180"/>
      <c r="AI213" s="67"/>
      <c r="AJ213" s="180"/>
    </row>
    <row r="214" spans="1:36" s="66" customFormat="1">
      <c r="A214" s="72">
        <v>15200000</v>
      </c>
      <c r="B214" s="73" t="s">
        <v>20</v>
      </c>
      <c r="C214" s="176" t="s">
        <v>995</v>
      </c>
      <c r="D214" s="67">
        <v>1</v>
      </c>
      <c r="E214" s="61" t="s">
        <v>364</v>
      </c>
      <c r="F214" s="177"/>
      <c r="G214" s="177"/>
      <c r="H214" s="177"/>
      <c r="I214" s="177"/>
      <c r="J214" s="178">
        <v>43770</v>
      </c>
      <c r="K214" s="65" t="str">
        <f t="shared" si="72"/>
        <v>SI</v>
      </c>
      <c r="L214" s="139">
        <f t="shared" si="36"/>
        <v>150054990</v>
      </c>
      <c r="M214" s="67">
        <v>150054990</v>
      </c>
      <c r="N214" s="67">
        <v>150054990</v>
      </c>
      <c r="O214" s="139">
        <f t="shared" si="37"/>
        <v>150054990</v>
      </c>
      <c r="P214" s="72">
        <v>15921000</v>
      </c>
      <c r="Q214" s="73" t="s">
        <v>27</v>
      </c>
      <c r="R214" s="67">
        <v>0</v>
      </c>
      <c r="S214" s="67">
        <v>0</v>
      </c>
      <c r="T214" s="139">
        <f t="shared" si="38"/>
        <v>0</v>
      </c>
      <c r="U214" s="38">
        <f t="shared" si="39"/>
        <v>150054990</v>
      </c>
      <c r="V214" s="179">
        <v>20</v>
      </c>
      <c r="W214" s="116">
        <f t="shared" si="60"/>
        <v>26</v>
      </c>
      <c r="X214" s="116">
        <f t="shared" si="65"/>
        <v>214</v>
      </c>
      <c r="Y214" s="38">
        <f t="shared" si="66"/>
        <v>625229.125</v>
      </c>
      <c r="Z214" s="38">
        <f t="shared" si="67"/>
        <v>16255957.25</v>
      </c>
      <c r="AA214" s="38">
        <f t="shared" si="68"/>
        <v>150054990</v>
      </c>
      <c r="AB214" s="38">
        <f t="shared" si="69"/>
        <v>16255957</v>
      </c>
      <c r="AC214" s="38">
        <f t="shared" si="70"/>
        <v>133799033</v>
      </c>
      <c r="AD214" s="67"/>
      <c r="AE214" s="73"/>
      <c r="AF214" s="73"/>
      <c r="AG214" s="73">
        <f>AB214-'P, Pl y Eq 2020'!AB211</f>
        <v>7502749</v>
      </c>
      <c r="AH214" s="180"/>
      <c r="AI214" s="67"/>
      <c r="AJ214" s="180"/>
    </row>
    <row r="215" spans="1:36" s="66" customFormat="1">
      <c r="A215" s="72">
        <v>15200000</v>
      </c>
      <c r="B215" s="73" t="s">
        <v>20</v>
      </c>
      <c r="C215" s="176" t="s">
        <v>995</v>
      </c>
      <c r="D215" s="67">
        <v>1</v>
      </c>
      <c r="E215" s="61" t="s">
        <v>364</v>
      </c>
      <c r="F215" s="177"/>
      <c r="G215" s="177"/>
      <c r="H215" s="177"/>
      <c r="I215" s="177"/>
      <c r="J215" s="178">
        <v>43739</v>
      </c>
      <c r="K215" s="65" t="str">
        <f t="shared" si="72"/>
        <v>SI</v>
      </c>
      <c r="L215" s="139">
        <f t="shared" si="36"/>
        <v>38841600</v>
      </c>
      <c r="M215" s="67">
        <v>38841600</v>
      </c>
      <c r="N215" s="67">
        <v>38841600</v>
      </c>
      <c r="O215" s="139">
        <f t="shared" si="37"/>
        <v>38841600</v>
      </c>
      <c r="P215" s="72">
        <v>15921000</v>
      </c>
      <c r="Q215" s="73" t="s">
        <v>27</v>
      </c>
      <c r="R215" s="67">
        <v>0</v>
      </c>
      <c r="S215" s="67">
        <v>0</v>
      </c>
      <c r="T215" s="139">
        <f t="shared" si="38"/>
        <v>0</v>
      </c>
      <c r="U215" s="38">
        <f t="shared" si="39"/>
        <v>38841600</v>
      </c>
      <c r="V215" s="179">
        <v>25</v>
      </c>
      <c r="W215" s="116">
        <f t="shared" si="60"/>
        <v>27</v>
      </c>
      <c r="X215" s="116">
        <f t="shared" si="65"/>
        <v>273</v>
      </c>
      <c r="Y215" s="38">
        <f t="shared" si="66"/>
        <v>129472</v>
      </c>
      <c r="Z215" s="38">
        <f t="shared" si="67"/>
        <v>3495744</v>
      </c>
      <c r="AA215" s="38">
        <f t="shared" si="68"/>
        <v>38841600</v>
      </c>
      <c r="AB215" s="38">
        <f t="shared" si="69"/>
        <v>3495744</v>
      </c>
      <c r="AC215" s="38">
        <f t="shared" si="70"/>
        <v>35345856</v>
      </c>
      <c r="AD215" s="67"/>
      <c r="AE215" s="73"/>
      <c r="AF215" s="73"/>
      <c r="AG215" s="73">
        <f>AB215-'P, Pl y Eq 2020'!AB212</f>
        <v>1553664</v>
      </c>
      <c r="AH215" s="180"/>
      <c r="AI215" s="67"/>
      <c r="AJ215" s="180"/>
    </row>
    <row r="216" spans="1:36" s="66" customFormat="1">
      <c r="A216" s="72">
        <v>15200000</v>
      </c>
      <c r="B216" s="73" t="s">
        <v>20</v>
      </c>
      <c r="C216" s="176" t="s">
        <v>995</v>
      </c>
      <c r="D216" s="67">
        <v>1</v>
      </c>
      <c r="E216" s="61" t="s">
        <v>364</v>
      </c>
      <c r="F216" s="177"/>
      <c r="G216" s="177"/>
      <c r="H216" s="177"/>
      <c r="I216" s="177"/>
      <c r="J216" s="178">
        <v>43769</v>
      </c>
      <c r="K216" s="65" t="str">
        <f t="shared" si="72"/>
        <v>SI</v>
      </c>
      <c r="L216" s="139">
        <f t="shared" si="36"/>
        <v>14640285.6</v>
      </c>
      <c r="M216" s="67">
        <v>14640285.6</v>
      </c>
      <c r="N216" s="67">
        <v>14640285.6</v>
      </c>
      <c r="O216" s="139">
        <f t="shared" si="37"/>
        <v>14640285.6</v>
      </c>
      <c r="P216" s="72">
        <v>15921000</v>
      </c>
      <c r="Q216" s="73" t="s">
        <v>27</v>
      </c>
      <c r="R216" s="67">
        <v>0</v>
      </c>
      <c r="S216" s="67">
        <v>0</v>
      </c>
      <c r="T216" s="139">
        <f t="shared" si="38"/>
        <v>0</v>
      </c>
      <c r="U216" s="38">
        <f t="shared" si="39"/>
        <v>14640285.6</v>
      </c>
      <c r="V216" s="179">
        <v>25</v>
      </c>
      <c r="W216" s="116">
        <f t="shared" si="60"/>
        <v>26</v>
      </c>
      <c r="X216" s="116">
        <f t="shared" si="65"/>
        <v>274</v>
      </c>
      <c r="Y216" s="38">
        <f t="shared" si="66"/>
        <v>48800.951999999997</v>
      </c>
      <c r="Z216" s="38">
        <f t="shared" si="67"/>
        <v>1268824.7519999999</v>
      </c>
      <c r="AA216" s="38">
        <f t="shared" si="68"/>
        <v>14640286</v>
      </c>
      <c r="AB216" s="38">
        <f t="shared" si="69"/>
        <v>1268825</v>
      </c>
      <c r="AC216" s="38">
        <f t="shared" si="70"/>
        <v>13371461</v>
      </c>
      <c r="AD216" s="67"/>
      <c r="AE216" s="73"/>
      <c r="AF216" s="73"/>
      <c r="AG216" s="73">
        <f>AB216-'P, Pl y Eq 2020'!AB213</f>
        <v>585612</v>
      </c>
      <c r="AH216" s="180"/>
      <c r="AI216" s="67"/>
      <c r="AJ216" s="180"/>
    </row>
    <row r="217" spans="1:36" s="66" customFormat="1">
      <c r="A217" s="72">
        <v>15200000</v>
      </c>
      <c r="B217" s="73" t="s">
        <v>20</v>
      </c>
      <c r="C217" s="176" t="s">
        <v>995</v>
      </c>
      <c r="D217" s="67">
        <v>1</v>
      </c>
      <c r="E217" s="61" t="s">
        <v>364</v>
      </c>
      <c r="F217" s="177"/>
      <c r="G217" s="177"/>
      <c r="H217" s="177"/>
      <c r="I217" s="177"/>
      <c r="J217" s="178">
        <v>43769</v>
      </c>
      <c r="K217" s="65" t="str">
        <f t="shared" si="72"/>
        <v>SI</v>
      </c>
      <c r="L217" s="139">
        <f t="shared" si="36"/>
        <v>14640285.6</v>
      </c>
      <c r="M217" s="67">
        <v>14640285.6</v>
      </c>
      <c r="N217" s="67">
        <v>14640285.6</v>
      </c>
      <c r="O217" s="139">
        <f t="shared" si="37"/>
        <v>14640285.6</v>
      </c>
      <c r="P217" s="72">
        <v>15921000</v>
      </c>
      <c r="Q217" s="73" t="s">
        <v>27</v>
      </c>
      <c r="R217" s="67">
        <v>0</v>
      </c>
      <c r="S217" s="67">
        <v>0</v>
      </c>
      <c r="T217" s="139">
        <f t="shared" si="38"/>
        <v>0</v>
      </c>
      <c r="U217" s="38">
        <f t="shared" si="39"/>
        <v>14640285.6</v>
      </c>
      <c r="V217" s="179">
        <v>25</v>
      </c>
      <c r="W217" s="116">
        <f t="shared" si="60"/>
        <v>26</v>
      </c>
      <c r="X217" s="116">
        <f t="shared" si="65"/>
        <v>274</v>
      </c>
      <c r="Y217" s="38">
        <f t="shared" si="66"/>
        <v>48800.951999999997</v>
      </c>
      <c r="Z217" s="38">
        <f t="shared" si="67"/>
        <v>1268824.7519999999</v>
      </c>
      <c r="AA217" s="38">
        <f t="shared" si="68"/>
        <v>14640286</v>
      </c>
      <c r="AB217" s="38">
        <f t="shared" si="69"/>
        <v>1268825</v>
      </c>
      <c r="AC217" s="38">
        <f t="shared" si="70"/>
        <v>13371461</v>
      </c>
      <c r="AD217" s="67"/>
      <c r="AE217" s="73"/>
      <c r="AF217" s="73"/>
      <c r="AG217" s="73">
        <f>AB217-'P, Pl y Eq 2020'!AB214</f>
        <v>585612</v>
      </c>
      <c r="AH217" s="180"/>
      <c r="AI217" s="67"/>
      <c r="AJ217" s="180"/>
    </row>
    <row r="218" spans="1:36" s="66" customFormat="1">
      <c r="A218" s="72">
        <v>15200000</v>
      </c>
      <c r="B218" s="73" t="s">
        <v>20</v>
      </c>
      <c r="C218" s="176" t="s">
        <v>995</v>
      </c>
      <c r="D218" s="67">
        <v>1</v>
      </c>
      <c r="E218" s="61" t="s">
        <v>364</v>
      </c>
      <c r="F218" s="177"/>
      <c r="G218" s="177"/>
      <c r="H218" s="177"/>
      <c r="I218" s="177"/>
      <c r="J218" s="178">
        <v>43769</v>
      </c>
      <c r="K218" s="65" t="str">
        <f t="shared" si="72"/>
        <v>SI</v>
      </c>
      <c r="L218" s="139">
        <f t="shared" si="36"/>
        <v>14640285.6</v>
      </c>
      <c r="M218" s="67">
        <v>14640285.6</v>
      </c>
      <c r="N218" s="67">
        <v>14640285.6</v>
      </c>
      <c r="O218" s="139">
        <f t="shared" si="37"/>
        <v>14640285.6</v>
      </c>
      <c r="P218" s="72">
        <v>15921000</v>
      </c>
      <c r="Q218" s="73" t="s">
        <v>27</v>
      </c>
      <c r="R218" s="67">
        <v>0</v>
      </c>
      <c r="S218" s="67">
        <v>0</v>
      </c>
      <c r="T218" s="139">
        <f t="shared" si="38"/>
        <v>0</v>
      </c>
      <c r="U218" s="38">
        <f t="shared" si="39"/>
        <v>14640285.6</v>
      </c>
      <c r="V218" s="179">
        <v>25</v>
      </c>
      <c r="W218" s="116">
        <f t="shared" si="60"/>
        <v>26</v>
      </c>
      <c r="X218" s="116">
        <f t="shared" si="65"/>
        <v>274</v>
      </c>
      <c r="Y218" s="38">
        <f t="shared" si="66"/>
        <v>48800.951999999997</v>
      </c>
      <c r="Z218" s="38">
        <f t="shared" si="67"/>
        <v>1268824.7519999999</v>
      </c>
      <c r="AA218" s="38">
        <f t="shared" si="68"/>
        <v>14640286</v>
      </c>
      <c r="AB218" s="38">
        <f t="shared" si="69"/>
        <v>1268825</v>
      </c>
      <c r="AC218" s="38">
        <f t="shared" si="70"/>
        <v>13371461</v>
      </c>
      <c r="AD218" s="67"/>
      <c r="AE218" s="73"/>
      <c r="AF218" s="73"/>
      <c r="AG218" s="73">
        <f>AB218-'P, Pl y Eq 2020'!AB215</f>
        <v>585612</v>
      </c>
      <c r="AH218" s="180"/>
      <c r="AI218" s="67"/>
      <c r="AJ218" s="180"/>
    </row>
    <row r="219" spans="1:36" s="66" customFormat="1">
      <c r="A219" s="72">
        <v>15200000</v>
      </c>
      <c r="B219" s="73" t="s">
        <v>20</v>
      </c>
      <c r="C219" s="176" t="s">
        <v>995</v>
      </c>
      <c r="D219" s="67">
        <v>1</v>
      </c>
      <c r="E219" s="61" t="s">
        <v>364</v>
      </c>
      <c r="F219" s="177"/>
      <c r="G219" s="177"/>
      <c r="H219" s="177"/>
      <c r="I219" s="177"/>
      <c r="J219" s="178">
        <v>43769</v>
      </c>
      <c r="K219" s="65" t="str">
        <f t="shared" si="72"/>
        <v>SI</v>
      </c>
      <c r="L219" s="139">
        <f t="shared" si="36"/>
        <v>14640285.6</v>
      </c>
      <c r="M219" s="67">
        <v>14640285.6</v>
      </c>
      <c r="N219" s="67">
        <v>14640285.6</v>
      </c>
      <c r="O219" s="139">
        <f t="shared" si="37"/>
        <v>14640285.6</v>
      </c>
      <c r="P219" s="72">
        <v>15921000</v>
      </c>
      <c r="Q219" s="73" t="s">
        <v>27</v>
      </c>
      <c r="R219" s="67">
        <v>0</v>
      </c>
      <c r="S219" s="67">
        <v>0</v>
      </c>
      <c r="T219" s="139">
        <f t="shared" si="38"/>
        <v>0</v>
      </c>
      <c r="U219" s="38">
        <f t="shared" si="39"/>
        <v>14640285.6</v>
      </c>
      <c r="V219" s="179">
        <v>25</v>
      </c>
      <c r="W219" s="116">
        <f t="shared" si="60"/>
        <v>26</v>
      </c>
      <c r="X219" s="116">
        <f t="shared" si="65"/>
        <v>274</v>
      </c>
      <c r="Y219" s="38">
        <f t="shared" si="66"/>
        <v>48800.951999999997</v>
      </c>
      <c r="Z219" s="38">
        <f t="shared" si="67"/>
        <v>1268824.7519999999</v>
      </c>
      <c r="AA219" s="38">
        <f t="shared" si="68"/>
        <v>14640286</v>
      </c>
      <c r="AB219" s="38">
        <f t="shared" si="69"/>
        <v>1268825</v>
      </c>
      <c r="AC219" s="38">
        <f t="shared" si="70"/>
        <v>13371461</v>
      </c>
      <c r="AD219" s="67"/>
      <c r="AE219" s="73"/>
      <c r="AF219" s="73"/>
      <c r="AG219" s="73">
        <f>AB219-'P, Pl y Eq 2020'!AB216</f>
        <v>585612</v>
      </c>
      <c r="AH219" s="180"/>
      <c r="AI219" s="67"/>
      <c r="AJ219" s="180"/>
    </row>
    <row r="220" spans="1:36" s="66" customFormat="1">
      <c r="A220" s="72">
        <v>15200000</v>
      </c>
      <c r="B220" s="73" t="s">
        <v>20</v>
      </c>
      <c r="C220" s="176" t="s">
        <v>995</v>
      </c>
      <c r="D220" s="67">
        <v>1</v>
      </c>
      <c r="E220" s="61" t="s">
        <v>364</v>
      </c>
      <c r="F220" s="177"/>
      <c r="G220" s="177"/>
      <c r="H220" s="177"/>
      <c r="I220" s="177"/>
      <c r="J220" s="178">
        <v>43769</v>
      </c>
      <c r="K220" s="65" t="str">
        <f t="shared" si="72"/>
        <v>SI</v>
      </c>
      <c r="L220" s="139">
        <f t="shared" si="36"/>
        <v>7320143.2999999998</v>
      </c>
      <c r="M220" s="67">
        <v>7320143.2999999998</v>
      </c>
      <c r="N220" s="67">
        <v>7320143.2999999998</v>
      </c>
      <c r="O220" s="139">
        <f t="shared" si="37"/>
        <v>7320143.2999999998</v>
      </c>
      <c r="P220" s="72">
        <v>15921000</v>
      </c>
      <c r="Q220" s="73" t="s">
        <v>27</v>
      </c>
      <c r="R220" s="67">
        <v>0</v>
      </c>
      <c r="S220" s="67">
        <v>0</v>
      </c>
      <c r="T220" s="139">
        <f t="shared" si="38"/>
        <v>0</v>
      </c>
      <c r="U220" s="38">
        <f t="shared" si="39"/>
        <v>7320143.2999999998</v>
      </c>
      <c r="V220" s="179">
        <v>25</v>
      </c>
      <c r="W220" s="116">
        <f t="shared" si="60"/>
        <v>26</v>
      </c>
      <c r="X220" s="116">
        <f t="shared" si="65"/>
        <v>274</v>
      </c>
      <c r="Y220" s="38">
        <f t="shared" si="66"/>
        <v>24400.477666666666</v>
      </c>
      <c r="Z220" s="38">
        <f t="shared" si="67"/>
        <v>634412.41933333327</v>
      </c>
      <c r="AA220" s="38">
        <f t="shared" si="68"/>
        <v>7320143</v>
      </c>
      <c r="AB220" s="38">
        <f t="shared" si="69"/>
        <v>634412</v>
      </c>
      <c r="AC220" s="38">
        <f t="shared" si="70"/>
        <v>6685731</v>
      </c>
      <c r="AD220" s="67"/>
      <c r="AE220" s="73"/>
      <c r="AF220" s="73"/>
      <c r="AG220" s="73">
        <f>AB220-'P, Pl y Eq 2020'!AB217</f>
        <v>292805</v>
      </c>
      <c r="AH220" s="180"/>
      <c r="AI220" s="67"/>
      <c r="AJ220" s="180"/>
    </row>
    <row r="221" spans="1:36" s="66" customFormat="1">
      <c r="A221" s="72">
        <v>15200000</v>
      </c>
      <c r="B221" s="73" t="s">
        <v>20</v>
      </c>
      <c r="C221" s="176" t="s">
        <v>995</v>
      </c>
      <c r="D221" s="67">
        <v>1</v>
      </c>
      <c r="E221" s="61" t="s">
        <v>364</v>
      </c>
      <c r="F221" s="177"/>
      <c r="G221" s="177"/>
      <c r="H221" s="177"/>
      <c r="I221" s="177"/>
      <c r="J221" s="178">
        <v>43769</v>
      </c>
      <c r="K221" s="65" t="str">
        <f t="shared" si="72"/>
        <v>SI</v>
      </c>
      <c r="L221" s="139">
        <f t="shared" si="36"/>
        <v>7320143.0700000003</v>
      </c>
      <c r="M221" s="67">
        <v>7320143.0700000003</v>
      </c>
      <c r="N221" s="67">
        <v>7320143.0700000003</v>
      </c>
      <c r="O221" s="139">
        <f t="shared" si="37"/>
        <v>7320143.0700000003</v>
      </c>
      <c r="P221" s="72">
        <v>15921000</v>
      </c>
      <c r="Q221" s="73" t="s">
        <v>27</v>
      </c>
      <c r="R221" s="67">
        <v>0</v>
      </c>
      <c r="S221" s="67">
        <v>0</v>
      </c>
      <c r="T221" s="139">
        <f t="shared" si="38"/>
        <v>0</v>
      </c>
      <c r="U221" s="38">
        <f t="shared" si="39"/>
        <v>7320143.0700000003</v>
      </c>
      <c r="V221" s="179">
        <v>25</v>
      </c>
      <c r="W221" s="116">
        <f t="shared" si="60"/>
        <v>26</v>
      </c>
      <c r="X221" s="116">
        <f t="shared" si="65"/>
        <v>274</v>
      </c>
      <c r="Y221" s="38">
        <f t="shared" si="66"/>
        <v>24400.476900000001</v>
      </c>
      <c r="Z221" s="38">
        <f t="shared" si="67"/>
        <v>634412.39939999999</v>
      </c>
      <c r="AA221" s="38">
        <f t="shared" si="68"/>
        <v>7320143</v>
      </c>
      <c r="AB221" s="38">
        <f t="shared" si="69"/>
        <v>634412</v>
      </c>
      <c r="AC221" s="38">
        <f t="shared" si="70"/>
        <v>6685731</v>
      </c>
      <c r="AD221" s="67"/>
      <c r="AE221" s="73"/>
      <c r="AF221" s="73"/>
      <c r="AG221" s="73">
        <f>AB221-'P, Pl y Eq 2020'!AB218</f>
        <v>292805</v>
      </c>
      <c r="AH221" s="180"/>
      <c r="AI221" s="67"/>
      <c r="AJ221" s="180"/>
    </row>
    <row r="222" spans="1:36" s="66" customFormat="1">
      <c r="A222" s="72">
        <v>15200000</v>
      </c>
      <c r="B222" s="73" t="s">
        <v>20</v>
      </c>
      <c r="C222" s="176" t="s">
        <v>995</v>
      </c>
      <c r="D222" s="67">
        <v>1</v>
      </c>
      <c r="E222" s="61" t="s">
        <v>364</v>
      </c>
      <c r="F222" s="177"/>
      <c r="G222" s="177"/>
      <c r="H222" s="177"/>
      <c r="I222" s="177"/>
      <c r="J222" s="178">
        <v>43800</v>
      </c>
      <c r="K222" s="65" t="str">
        <f t="shared" si="72"/>
        <v>SI</v>
      </c>
      <c r="L222" s="139">
        <f t="shared" si="36"/>
        <v>25800000</v>
      </c>
      <c r="M222" s="67">
        <v>25800000</v>
      </c>
      <c r="N222" s="67">
        <v>25800000</v>
      </c>
      <c r="O222" s="139">
        <f t="shared" si="37"/>
        <v>25800000</v>
      </c>
      <c r="P222" s="72">
        <v>15921000</v>
      </c>
      <c r="Q222" s="73" t="s">
        <v>27</v>
      </c>
      <c r="R222" s="67">
        <v>0</v>
      </c>
      <c r="S222" s="67">
        <v>0</v>
      </c>
      <c r="T222" s="139">
        <f t="shared" si="38"/>
        <v>0</v>
      </c>
      <c r="U222" s="38">
        <f t="shared" si="39"/>
        <v>25800000</v>
      </c>
      <c r="V222" s="179">
        <v>10</v>
      </c>
      <c r="W222" s="116">
        <f t="shared" si="60"/>
        <v>25</v>
      </c>
      <c r="X222" s="116">
        <f t="shared" si="65"/>
        <v>95</v>
      </c>
      <c r="Y222" s="38">
        <f t="shared" si="66"/>
        <v>215000</v>
      </c>
      <c r="Z222" s="38">
        <f t="shared" si="67"/>
        <v>5375000</v>
      </c>
      <c r="AA222" s="38">
        <f t="shared" si="68"/>
        <v>25800000</v>
      </c>
      <c r="AB222" s="38">
        <f t="shared" si="69"/>
        <v>5375000</v>
      </c>
      <c r="AC222" s="38">
        <f t="shared" si="70"/>
        <v>20425000</v>
      </c>
      <c r="AD222" s="67"/>
      <c r="AE222" s="73"/>
      <c r="AF222" s="73"/>
      <c r="AG222" s="73">
        <f>AB222-'P, Pl y Eq 2020'!AB219</f>
        <v>2580000</v>
      </c>
      <c r="AH222" s="180"/>
      <c r="AI222" s="67"/>
      <c r="AJ222" s="180"/>
    </row>
    <row r="223" spans="1:36" s="66" customFormat="1">
      <c r="A223" s="72">
        <v>15200000</v>
      </c>
      <c r="B223" s="73" t="s">
        <v>20</v>
      </c>
      <c r="C223" s="176" t="s">
        <v>995</v>
      </c>
      <c r="D223" s="67">
        <v>1</v>
      </c>
      <c r="E223" s="61" t="s">
        <v>364</v>
      </c>
      <c r="F223" s="177"/>
      <c r="G223" s="177"/>
      <c r="H223" s="177"/>
      <c r="I223" s="177"/>
      <c r="J223" s="178">
        <v>43792</v>
      </c>
      <c r="K223" s="65" t="str">
        <f t="shared" si="72"/>
        <v>SI</v>
      </c>
      <c r="L223" s="139">
        <f t="shared" si="36"/>
        <v>32209720</v>
      </c>
      <c r="M223" s="67">
        <v>32209720</v>
      </c>
      <c r="N223" s="67">
        <v>32209720</v>
      </c>
      <c r="O223" s="139">
        <f t="shared" si="37"/>
        <v>32209720</v>
      </c>
      <c r="P223" s="72">
        <v>15921000</v>
      </c>
      <c r="Q223" s="73" t="s">
        <v>27</v>
      </c>
      <c r="R223" s="67">
        <v>0</v>
      </c>
      <c r="S223" s="67">
        <v>0</v>
      </c>
      <c r="T223" s="139">
        <f t="shared" si="38"/>
        <v>0</v>
      </c>
      <c r="U223" s="38">
        <f t="shared" si="39"/>
        <v>32209720</v>
      </c>
      <c r="V223" s="179">
        <v>25</v>
      </c>
      <c r="W223" s="116">
        <f>IF(ROUND(($W$27-J223)/30,0)&gt;(V223*12),(V223*12),(ROUND(($W$27-J223)/30,0)))-1</f>
        <v>25</v>
      </c>
      <c r="X223" s="116">
        <f t="shared" si="65"/>
        <v>275</v>
      </c>
      <c r="Y223" s="38">
        <f t="shared" si="66"/>
        <v>107365.73333333334</v>
      </c>
      <c r="Z223" s="38">
        <f t="shared" si="67"/>
        <v>2684143.3333333335</v>
      </c>
      <c r="AA223" s="38">
        <f t="shared" si="68"/>
        <v>32209720</v>
      </c>
      <c r="AB223" s="38">
        <f t="shared" si="69"/>
        <v>2684143</v>
      </c>
      <c r="AC223" s="38">
        <f t="shared" si="70"/>
        <v>29525577</v>
      </c>
      <c r="AD223" s="67"/>
      <c r="AE223" s="73"/>
      <c r="AF223" s="73"/>
      <c r="AG223" s="73">
        <f>AB223-'P, Pl y Eq 2020'!AB220</f>
        <v>1288388</v>
      </c>
      <c r="AH223" s="180"/>
      <c r="AI223" s="67"/>
      <c r="AJ223" s="180"/>
    </row>
    <row r="224" spans="1:36" s="66" customFormat="1">
      <c r="A224" s="72">
        <v>15200000</v>
      </c>
      <c r="B224" s="73" t="s">
        <v>20</v>
      </c>
      <c r="C224" s="176" t="s">
        <v>995</v>
      </c>
      <c r="D224" s="67">
        <v>1</v>
      </c>
      <c r="E224" s="61" t="s">
        <v>364</v>
      </c>
      <c r="F224" s="177"/>
      <c r="G224" s="177"/>
      <c r="H224" s="177"/>
      <c r="I224" s="177"/>
      <c r="J224" s="178">
        <v>43792</v>
      </c>
      <c r="K224" s="65" t="str">
        <f t="shared" si="72"/>
        <v>SI</v>
      </c>
      <c r="L224" s="139">
        <f t="shared" ref="L224:L259" si="77">M224/D224</f>
        <v>19066920</v>
      </c>
      <c r="M224" s="67">
        <v>19066920</v>
      </c>
      <c r="N224" s="67">
        <v>19066920</v>
      </c>
      <c r="O224" s="139">
        <f t="shared" ref="O224:O259" si="78">IF(K224="SI",N224,0)</f>
        <v>19066920</v>
      </c>
      <c r="P224" s="72">
        <v>15921000</v>
      </c>
      <c r="Q224" s="73" t="s">
        <v>27</v>
      </c>
      <c r="R224" s="67">
        <v>0</v>
      </c>
      <c r="S224" s="67">
        <v>0</v>
      </c>
      <c r="T224" s="139">
        <f t="shared" ref="T224:T259" si="79">IF(O224&gt;0,S224,0)</f>
        <v>0</v>
      </c>
      <c r="U224" s="38">
        <f t="shared" ref="U224:U285" si="80">IF(O224&gt;0,N224-S224,0)</f>
        <v>19066920</v>
      </c>
      <c r="V224" s="179">
        <v>25</v>
      </c>
      <c r="W224" s="116">
        <f>IF(ROUND(($W$27-J224)/30,0)&gt;(V224*12),(V224*12),(ROUND(($W$27-J224)/30,0)))-1</f>
        <v>25</v>
      </c>
      <c r="X224" s="116">
        <f t="shared" si="65"/>
        <v>275</v>
      </c>
      <c r="Y224" s="38">
        <f t="shared" si="66"/>
        <v>63556.4</v>
      </c>
      <c r="Z224" s="38">
        <f t="shared" si="67"/>
        <v>1588910</v>
      </c>
      <c r="AA224" s="38">
        <f t="shared" si="68"/>
        <v>19066920</v>
      </c>
      <c r="AB224" s="38">
        <f t="shared" si="69"/>
        <v>1588910</v>
      </c>
      <c r="AC224" s="38">
        <f t="shared" si="70"/>
        <v>17478010</v>
      </c>
      <c r="AD224" s="67"/>
      <c r="AE224" s="73"/>
      <c r="AF224" s="73"/>
      <c r="AG224" s="73">
        <f>AB224-'P, Pl y Eq 2020'!AB221</f>
        <v>762677</v>
      </c>
      <c r="AH224" s="180"/>
      <c r="AI224" s="67"/>
      <c r="AJ224" s="180"/>
    </row>
    <row r="225" spans="1:36" s="66" customFormat="1">
      <c r="A225" s="72">
        <v>15200000</v>
      </c>
      <c r="B225" s="73" t="s">
        <v>20</v>
      </c>
      <c r="C225" s="176" t="s">
        <v>995</v>
      </c>
      <c r="D225" s="67">
        <v>1</v>
      </c>
      <c r="E225" s="61" t="s">
        <v>364</v>
      </c>
      <c r="F225" s="177"/>
      <c r="G225" s="177"/>
      <c r="H225" s="177"/>
      <c r="I225" s="177"/>
      <c r="J225" s="178">
        <v>43819</v>
      </c>
      <c r="K225" s="65" t="str">
        <f t="shared" si="72"/>
        <v>SI</v>
      </c>
      <c r="L225" s="139">
        <f t="shared" si="77"/>
        <v>17226000</v>
      </c>
      <c r="M225" s="67">
        <v>17226000</v>
      </c>
      <c r="N225" s="67">
        <v>17226000</v>
      </c>
      <c r="O225" s="139">
        <f t="shared" si="78"/>
        <v>17226000</v>
      </c>
      <c r="P225" s="72">
        <v>15921000</v>
      </c>
      <c r="Q225" s="73" t="s">
        <v>27</v>
      </c>
      <c r="R225" s="67">
        <v>0</v>
      </c>
      <c r="S225" s="67">
        <v>0</v>
      </c>
      <c r="T225" s="139">
        <f t="shared" si="79"/>
        <v>0</v>
      </c>
      <c r="U225" s="38">
        <f t="shared" si="80"/>
        <v>17226000</v>
      </c>
      <c r="V225" s="179">
        <v>25</v>
      </c>
      <c r="W225" s="116">
        <f>IF(ROUND(($W$27-J225)/30,0)&gt;(V225*12),(V225*12),(ROUND(($W$27-J225)/30,0)))-1</f>
        <v>24</v>
      </c>
      <c r="X225" s="116">
        <f t="shared" si="65"/>
        <v>276</v>
      </c>
      <c r="Y225" s="38">
        <f t="shared" si="66"/>
        <v>57420</v>
      </c>
      <c r="Z225" s="38">
        <f t="shared" si="67"/>
        <v>1378080</v>
      </c>
      <c r="AA225" s="38">
        <f t="shared" si="68"/>
        <v>17226000</v>
      </c>
      <c r="AB225" s="38">
        <f t="shared" si="69"/>
        <v>1378080</v>
      </c>
      <c r="AC225" s="38">
        <f t="shared" si="70"/>
        <v>15847920</v>
      </c>
      <c r="AD225" s="67"/>
      <c r="AE225" s="73"/>
      <c r="AF225" s="73"/>
      <c r="AG225" s="73">
        <f>AB225-'P, Pl y Eq 2020'!AB222</f>
        <v>689040</v>
      </c>
      <c r="AH225" s="180"/>
      <c r="AI225" s="67"/>
      <c r="AJ225" s="180"/>
    </row>
    <row r="226" spans="1:36" s="66" customFormat="1">
      <c r="A226" s="72">
        <v>15200000</v>
      </c>
      <c r="B226" s="73" t="s">
        <v>20</v>
      </c>
      <c r="C226" s="176" t="s">
        <v>995</v>
      </c>
      <c r="D226" s="67">
        <v>1</v>
      </c>
      <c r="E226" s="61" t="s">
        <v>364</v>
      </c>
      <c r="F226" s="177"/>
      <c r="G226" s="177"/>
      <c r="H226" s="177"/>
      <c r="I226" s="177"/>
      <c r="J226" s="178">
        <v>43819</v>
      </c>
      <c r="K226" s="65" t="str">
        <f t="shared" si="72"/>
        <v>SI</v>
      </c>
      <c r="L226" s="139">
        <f t="shared" si="77"/>
        <v>28710000</v>
      </c>
      <c r="M226" s="67">
        <v>28710000</v>
      </c>
      <c r="N226" s="67">
        <v>28710000</v>
      </c>
      <c r="O226" s="139">
        <f t="shared" si="78"/>
        <v>28710000</v>
      </c>
      <c r="P226" s="72">
        <v>15921000</v>
      </c>
      <c r="Q226" s="73" t="s">
        <v>27</v>
      </c>
      <c r="R226" s="67">
        <v>0</v>
      </c>
      <c r="S226" s="67">
        <v>0</v>
      </c>
      <c r="T226" s="139">
        <f t="shared" si="79"/>
        <v>0</v>
      </c>
      <c r="U226" s="38">
        <f t="shared" si="80"/>
        <v>28710000</v>
      </c>
      <c r="V226" s="179">
        <v>25</v>
      </c>
      <c r="W226" s="116">
        <f t="shared" ref="W226:W227" si="81">IF(ROUND(($W$27-J226)/30,0)&gt;(V226*12),(V226*12),(ROUND(($W$27-J226)/30,0)))-1</f>
        <v>24</v>
      </c>
      <c r="X226" s="116">
        <f t="shared" si="65"/>
        <v>276</v>
      </c>
      <c r="Y226" s="38">
        <f t="shared" si="66"/>
        <v>95700</v>
      </c>
      <c r="Z226" s="38">
        <f t="shared" si="67"/>
        <v>2296800</v>
      </c>
      <c r="AA226" s="38">
        <f t="shared" si="68"/>
        <v>28710000</v>
      </c>
      <c r="AB226" s="38">
        <f t="shared" si="69"/>
        <v>2296800</v>
      </c>
      <c r="AC226" s="38">
        <f t="shared" si="70"/>
        <v>26413200</v>
      </c>
      <c r="AD226" s="67"/>
      <c r="AE226" s="73"/>
      <c r="AF226" s="73"/>
      <c r="AG226" s="73">
        <f>AB226-'P, Pl y Eq 2020'!AB223</f>
        <v>1148400</v>
      </c>
      <c r="AH226" s="180"/>
      <c r="AI226" s="67"/>
      <c r="AJ226" s="180"/>
    </row>
    <row r="227" spans="1:36" s="66" customFormat="1">
      <c r="A227" s="72">
        <v>15200000</v>
      </c>
      <c r="B227" s="73" t="s">
        <v>20</v>
      </c>
      <c r="C227" s="176" t="s">
        <v>995</v>
      </c>
      <c r="D227" s="67">
        <v>1</v>
      </c>
      <c r="E227" s="61" t="s">
        <v>364</v>
      </c>
      <c r="F227" s="177"/>
      <c r="G227" s="177"/>
      <c r="H227" s="177"/>
      <c r="I227" s="177"/>
      <c r="J227" s="178">
        <v>43817</v>
      </c>
      <c r="K227" s="65" t="str">
        <f t="shared" si="72"/>
        <v>SI</v>
      </c>
      <c r="L227" s="139">
        <f t="shared" si="77"/>
        <v>8092000</v>
      </c>
      <c r="M227" s="67">
        <v>8092000</v>
      </c>
      <c r="N227" s="67">
        <v>8092000</v>
      </c>
      <c r="O227" s="139">
        <f t="shared" si="78"/>
        <v>8092000</v>
      </c>
      <c r="P227" s="72">
        <v>15921000</v>
      </c>
      <c r="Q227" s="73" t="s">
        <v>27</v>
      </c>
      <c r="R227" s="67">
        <v>0</v>
      </c>
      <c r="S227" s="67">
        <v>0</v>
      </c>
      <c r="T227" s="139">
        <f t="shared" si="79"/>
        <v>0</v>
      </c>
      <c r="U227" s="38">
        <f t="shared" si="80"/>
        <v>8092000</v>
      </c>
      <c r="V227" s="179">
        <v>25</v>
      </c>
      <c r="W227" s="116">
        <f t="shared" si="81"/>
        <v>24</v>
      </c>
      <c r="X227" s="116">
        <f t="shared" si="65"/>
        <v>276</v>
      </c>
      <c r="Y227" s="38">
        <f t="shared" si="66"/>
        <v>26973.333333333332</v>
      </c>
      <c r="Z227" s="38">
        <f t="shared" si="67"/>
        <v>647360</v>
      </c>
      <c r="AA227" s="38">
        <f t="shared" si="68"/>
        <v>8092000</v>
      </c>
      <c r="AB227" s="38">
        <f t="shared" si="69"/>
        <v>647360</v>
      </c>
      <c r="AC227" s="38">
        <f t="shared" si="70"/>
        <v>7444640</v>
      </c>
      <c r="AD227" s="67"/>
      <c r="AE227" s="73"/>
      <c r="AF227" s="73"/>
      <c r="AG227" s="73">
        <f>AB227-'P, Pl y Eq 2020'!AB224</f>
        <v>323680</v>
      </c>
      <c r="AH227" s="180"/>
      <c r="AI227" s="67"/>
      <c r="AJ227" s="180"/>
    </row>
    <row r="228" spans="1:36" s="66" customFormat="1">
      <c r="A228" s="72">
        <v>15200000</v>
      </c>
      <c r="B228" s="73" t="s">
        <v>20</v>
      </c>
      <c r="C228" s="176" t="s">
        <v>995</v>
      </c>
      <c r="D228" s="67">
        <v>1</v>
      </c>
      <c r="E228" s="61" t="s">
        <v>364</v>
      </c>
      <c r="F228" s="177"/>
      <c r="G228" s="177"/>
      <c r="H228" s="177"/>
      <c r="I228" s="177"/>
      <c r="J228" s="178">
        <v>43830</v>
      </c>
      <c r="K228" s="65" t="str">
        <f t="shared" ref="K228:K241" si="82">IF(L228&gt;($M$25*50),"SI","NO")</f>
        <v>SI</v>
      </c>
      <c r="L228" s="139">
        <f t="shared" si="77"/>
        <v>1863024.78</v>
      </c>
      <c r="M228" s="67">
        <v>1863024.78</v>
      </c>
      <c r="N228" s="67">
        <v>1863024.78</v>
      </c>
      <c r="O228" s="139">
        <f t="shared" si="78"/>
        <v>1863024.78</v>
      </c>
      <c r="P228" s="72">
        <v>15921000</v>
      </c>
      <c r="Q228" s="73" t="s">
        <v>27</v>
      </c>
      <c r="R228" s="67">
        <v>0</v>
      </c>
      <c r="S228" s="67">
        <v>0</v>
      </c>
      <c r="T228" s="139">
        <f t="shared" si="79"/>
        <v>0</v>
      </c>
      <c r="U228" s="38">
        <f t="shared" si="80"/>
        <v>1863024.78</v>
      </c>
      <c r="V228" s="179">
        <v>20</v>
      </c>
      <c r="W228" s="116">
        <f t="shared" ref="W228:W259" si="83">IF(ROUND(($W$27-J228)/30,0)&gt;(V228*12),(V228*12),(ROUND(($W$27-J228)/30,0)))</f>
        <v>24</v>
      </c>
      <c r="X228" s="116">
        <f t="shared" si="65"/>
        <v>216</v>
      </c>
      <c r="Y228" s="38">
        <f t="shared" si="66"/>
        <v>7762.6032500000001</v>
      </c>
      <c r="Z228" s="38">
        <f t="shared" si="67"/>
        <v>186302.478</v>
      </c>
      <c r="AA228" s="38">
        <f t="shared" si="68"/>
        <v>1863025</v>
      </c>
      <c r="AB228" s="38">
        <f t="shared" si="69"/>
        <v>186302</v>
      </c>
      <c r="AC228" s="38">
        <f t="shared" si="70"/>
        <v>1676723</v>
      </c>
      <c r="AD228" s="67"/>
      <c r="AE228" s="73"/>
      <c r="AF228" s="73"/>
      <c r="AG228" s="73">
        <f>AB228-'P, Pl y Eq 2020'!AB225</f>
        <v>93151</v>
      </c>
      <c r="AH228" s="180"/>
      <c r="AI228" s="67"/>
      <c r="AJ228" s="180"/>
    </row>
    <row r="229" spans="1:36" s="66" customFormat="1">
      <c r="A229" s="72">
        <v>15200000</v>
      </c>
      <c r="B229" s="73" t="s">
        <v>20</v>
      </c>
      <c r="C229" s="176" t="s">
        <v>995</v>
      </c>
      <c r="D229" s="67">
        <v>1</v>
      </c>
      <c r="E229" s="61" t="s">
        <v>364</v>
      </c>
      <c r="F229" s="177"/>
      <c r="G229" s="177"/>
      <c r="H229" s="177"/>
      <c r="I229" s="177"/>
      <c r="J229" s="178">
        <v>43830</v>
      </c>
      <c r="K229" s="65" t="str">
        <f t="shared" si="82"/>
        <v>SI</v>
      </c>
      <c r="L229" s="139">
        <f t="shared" si="77"/>
        <v>1863024.79</v>
      </c>
      <c r="M229" s="67">
        <v>1863024.79</v>
      </c>
      <c r="N229" s="67">
        <v>1863024.79</v>
      </c>
      <c r="O229" s="139">
        <f t="shared" si="78"/>
        <v>1863024.79</v>
      </c>
      <c r="P229" s="72">
        <v>15921000</v>
      </c>
      <c r="Q229" s="73" t="s">
        <v>27</v>
      </c>
      <c r="R229" s="67">
        <v>0</v>
      </c>
      <c r="S229" s="67">
        <v>0</v>
      </c>
      <c r="T229" s="139">
        <f t="shared" si="79"/>
        <v>0</v>
      </c>
      <c r="U229" s="38">
        <f t="shared" si="80"/>
        <v>1863024.79</v>
      </c>
      <c r="V229" s="179">
        <v>20</v>
      </c>
      <c r="W229" s="116">
        <f t="shared" si="83"/>
        <v>24</v>
      </c>
      <c r="X229" s="116">
        <f t="shared" si="65"/>
        <v>216</v>
      </c>
      <c r="Y229" s="38">
        <f t="shared" si="66"/>
        <v>7762.6032916666672</v>
      </c>
      <c r="Z229" s="38">
        <f t="shared" si="67"/>
        <v>186302.47900000002</v>
      </c>
      <c r="AA229" s="38">
        <f t="shared" si="68"/>
        <v>1863025</v>
      </c>
      <c r="AB229" s="38">
        <f t="shared" si="69"/>
        <v>186302</v>
      </c>
      <c r="AC229" s="38">
        <f t="shared" si="70"/>
        <v>1676723</v>
      </c>
      <c r="AD229" s="67"/>
      <c r="AE229" s="73"/>
      <c r="AF229" s="73"/>
      <c r="AG229" s="73">
        <f>AB229-'P, Pl y Eq 2020'!AB226</f>
        <v>93151</v>
      </c>
      <c r="AH229" s="180"/>
      <c r="AI229" s="67"/>
      <c r="AJ229" s="180"/>
    </row>
    <row r="230" spans="1:36" s="66" customFormat="1">
      <c r="A230" s="72">
        <v>15200000</v>
      </c>
      <c r="B230" s="73" t="s">
        <v>20</v>
      </c>
      <c r="C230" s="176" t="s">
        <v>995</v>
      </c>
      <c r="D230" s="67">
        <v>1</v>
      </c>
      <c r="E230" s="61" t="s">
        <v>364</v>
      </c>
      <c r="F230" s="177"/>
      <c r="G230" s="177"/>
      <c r="H230" s="177"/>
      <c r="I230" s="177"/>
      <c r="J230" s="178">
        <v>43830</v>
      </c>
      <c r="K230" s="65" t="str">
        <f t="shared" si="82"/>
        <v>SI</v>
      </c>
      <c r="L230" s="139">
        <f t="shared" si="77"/>
        <v>1863024.79</v>
      </c>
      <c r="M230" s="67">
        <v>1863024.79</v>
      </c>
      <c r="N230" s="67">
        <v>1863024.79</v>
      </c>
      <c r="O230" s="139">
        <f t="shared" si="78"/>
        <v>1863024.79</v>
      </c>
      <c r="P230" s="72">
        <v>15921000</v>
      </c>
      <c r="Q230" s="73" t="s">
        <v>27</v>
      </c>
      <c r="R230" s="67">
        <v>0</v>
      </c>
      <c r="S230" s="67">
        <v>0</v>
      </c>
      <c r="T230" s="139">
        <f t="shared" si="79"/>
        <v>0</v>
      </c>
      <c r="U230" s="38">
        <f t="shared" si="80"/>
        <v>1863024.79</v>
      </c>
      <c r="V230" s="179">
        <v>20</v>
      </c>
      <c r="W230" s="116">
        <f t="shared" si="83"/>
        <v>24</v>
      </c>
      <c r="X230" s="116">
        <f t="shared" si="65"/>
        <v>216</v>
      </c>
      <c r="Y230" s="38">
        <f t="shared" si="66"/>
        <v>7762.6032916666672</v>
      </c>
      <c r="Z230" s="38">
        <f t="shared" si="67"/>
        <v>186302.47900000002</v>
      </c>
      <c r="AA230" s="38">
        <f t="shared" si="68"/>
        <v>1863025</v>
      </c>
      <c r="AB230" s="38">
        <f t="shared" si="69"/>
        <v>186302</v>
      </c>
      <c r="AC230" s="38">
        <f t="shared" si="70"/>
        <v>1676723</v>
      </c>
      <c r="AD230" s="67"/>
      <c r="AE230" s="73"/>
      <c r="AF230" s="73"/>
      <c r="AG230" s="73">
        <f>AB230-'P, Pl y Eq 2020'!AB227</f>
        <v>93151</v>
      </c>
      <c r="AH230" s="180"/>
      <c r="AI230" s="67"/>
      <c r="AJ230" s="180"/>
    </row>
    <row r="231" spans="1:36" s="66" customFormat="1">
      <c r="A231" s="72">
        <v>15200000</v>
      </c>
      <c r="B231" s="73" t="s">
        <v>20</v>
      </c>
      <c r="C231" s="176" t="s">
        <v>995</v>
      </c>
      <c r="D231" s="67">
        <v>1</v>
      </c>
      <c r="E231" s="61" t="s">
        <v>364</v>
      </c>
      <c r="F231" s="177"/>
      <c r="G231" s="177"/>
      <c r="H231" s="177"/>
      <c r="I231" s="177"/>
      <c r="J231" s="178">
        <v>43830</v>
      </c>
      <c r="K231" s="65" t="str">
        <f t="shared" si="82"/>
        <v>SI</v>
      </c>
      <c r="L231" s="139">
        <f t="shared" si="77"/>
        <v>1863024.79</v>
      </c>
      <c r="M231" s="67">
        <v>1863024.79</v>
      </c>
      <c r="N231" s="67">
        <v>1863024.79</v>
      </c>
      <c r="O231" s="139">
        <f t="shared" si="78"/>
        <v>1863024.79</v>
      </c>
      <c r="P231" s="72">
        <v>15921000</v>
      </c>
      <c r="Q231" s="73" t="s">
        <v>27</v>
      </c>
      <c r="R231" s="67">
        <v>0</v>
      </c>
      <c r="S231" s="67">
        <v>0</v>
      </c>
      <c r="T231" s="139">
        <f t="shared" si="79"/>
        <v>0</v>
      </c>
      <c r="U231" s="38">
        <f t="shared" si="80"/>
        <v>1863024.79</v>
      </c>
      <c r="V231" s="179">
        <v>20</v>
      </c>
      <c r="W231" s="116">
        <f t="shared" si="83"/>
        <v>24</v>
      </c>
      <c r="X231" s="116">
        <f t="shared" si="65"/>
        <v>216</v>
      </c>
      <c r="Y231" s="38">
        <f t="shared" si="66"/>
        <v>7762.6032916666672</v>
      </c>
      <c r="Z231" s="38">
        <f t="shared" si="67"/>
        <v>186302.47900000002</v>
      </c>
      <c r="AA231" s="38">
        <f t="shared" si="68"/>
        <v>1863025</v>
      </c>
      <c r="AB231" s="38">
        <f t="shared" si="69"/>
        <v>186302</v>
      </c>
      <c r="AC231" s="38">
        <f t="shared" si="70"/>
        <v>1676723</v>
      </c>
      <c r="AD231" s="67"/>
      <c r="AE231" s="73"/>
      <c r="AF231" s="73"/>
      <c r="AG231" s="73">
        <f>AB231-'P, Pl y Eq 2020'!AB228</f>
        <v>93151</v>
      </c>
      <c r="AH231" s="180"/>
      <c r="AI231" s="67"/>
      <c r="AJ231" s="180"/>
    </row>
    <row r="232" spans="1:36" s="66" customFormat="1">
      <c r="A232" s="72">
        <v>15200000</v>
      </c>
      <c r="B232" s="73" t="s">
        <v>20</v>
      </c>
      <c r="C232" s="176" t="s">
        <v>995</v>
      </c>
      <c r="D232" s="67">
        <v>1</v>
      </c>
      <c r="E232" s="61" t="s">
        <v>364</v>
      </c>
      <c r="F232" s="177"/>
      <c r="G232" s="177"/>
      <c r="H232" s="177"/>
      <c r="I232" s="177"/>
      <c r="J232" s="178">
        <v>43830</v>
      </c>
      <c r="K232" s="65" t="str">
        <f t="shared" si="82"/>
        <v>SI</v>
      </c>
      <c r="L232" s="139">
        <f t="shared" si="77"/>
        <v>1863024.79</v>
      </c>
      <c r="M232" s="67">
        <v>1863024.79</v>
      </c>
      <c r="N232" s="67">
        <v>1863024.79</v>
      </c>
      <c r="O232" s="139">
        <f t="shared" si="78"/>
        <v>1863024.79</v>
      </c>
      <c r="P232" s="72">
        <v>15921000</v>
      </c>
      <c r="Q232" s="73" t="s">
        <v>27</v>
      </c>
      <c r="R232" s="67">
        <v>0</v>
      </c>
      <c r="S232" s="67">
        <v>0</v>
      </c>
      <c r="T232" s="139">
        <f t="shared" si="79"/>
        <v>0</v>
      </c>
      <c r="U232" s="38">
        <f t="shared" si="80"/>
        <v>1863024.79</v>
      </c>
      <c r="V232" s="179">
        <v>20</v>
      </c>
      <c r="W232" s="116">
        <f t="shared" si="83"/>
        <v>24</v>
      </c>
      <c r="X232" s="116">
        <f t="shared" si="65"/>
        <v>216</v>
      </c>
      <c r="Y232" s="38">
        <f t="shared" si="66"/>
        <v>7762.6032916666672</v>
      </c>
      <c r="Z232" s="38">
        <f t="shared" si="67"/>
        <v>186302.47900000002</v>
      </c>
      <c r="AA232" s="38">
        <f t="shared" si="68"/>
        <v>1863025</v>
      </c>
      <c r="AB232" s="38">
        <f t="shared" si="69"/>
        <v>186302</v>
      </c>
      <c r="AC232" s="38">
        <f t="shared" si="70"/>
        <v>1676723</v>
      </c>
      <c r="AD232" s="67"/>
      <c r="AE232" s="73"/>
      <c r="AF232" s="73"/>
      <c r="AG232" s="73">
        <f>AB232-'P, Pl y Eq 2020'!AB229</f>
        <v>93151</v>
      </c>
      <c r="AH232" s="180"/>
      <c r="AI232" s="67"/>
      <c r="AJ232" s="180"/>
    </row>
    <row r="233" spans="1:36" s="66" customFormat="1">
      <c r="A233" s="72">
        <v>15200000</v>
      </c>
      <c r="B233" s="73" t="s">
        <v>20</v>
      </c>
      <c r="C233" s="176" t="s">
        <v>995</v>
      </c>
      <c r="D233" s="67">
        <v>1</v>
      </c>
      <c r="E233" s="61" t="s">
        <v>364</v>
      </c>
      <c r="F233" s="177"/>
      <c r="G233" s="177"/>
      <c r="H233" s="177"/>
      <c r="I233" s="177"/>
      <c r="J233" s="178">
        <v>43830</v>
      </c>
      <c r="K233" s="65" t="str">
        <f t="shared" si="82"/>
        <v>SI</v>
      </c>
      <c r="L233" s="139">
        <f t="shared" si="77"/>
        <v>1863024.79</v>
      </c>
      <c r="M233" s="67">
        <v>1863024.79</v>
      </c>
      <c r="N233" s="67">
        <v>1863024.79</v>
      </c>
      <c r="O233" s="139">
        <f t="shared" si="78"/>
        <v>1863024.79</v>
      </c>
      <c r="P233" s="72">
        <v>15921000</v>
      </c>
      <c r="Q233" s="73" t="s">
        <v>27</v>
      </c>
      <c r="R233" s="67">
        <v>0</v>
      </c>
      <c r="S233" s="67">
        <v>0</v>
      </c>
      <c r="T233" s="139">
        <f t="shared" si="79"/>
        <v>0</v>
      </c>
      <c r="U233" s="38">
        <f t="shared" si="80"/>
        <v>1863024.79</v>
      </c>
      <c r="V233" s="179">
        <v>20</v>
      </c>
      <c r="W233" s="116">
        <f t="shared" si="83"/>
        <v>24</v>
      </c>
      <c r="X233" s="116">
        <f t="shared" si="65"/>
        <v>216</v>
      </c>
      <c r="Y233" s="38">
        <f t="shared" si="66"/>
        <v>7762.6032916666672</v>
      </c>
      <c r="Z233" s="38">
        <f t="shared" si="67"/>
        <v>186302.47900000002</v>
      </c>
      <c r="AA233" s="38">
        <f t="shared" si="68"/>
        <v>1863025</v>
      </c>
      <c r="AB233" s="38">
        <f t="shared" si="69"/>
        <v>186302</v>
      </c>
      <c r="AC233" s="38">
        <f t="shared" si="70"/>
        <v>1676723</v>
      </c>
      <c r="AD233" s="67"/>
      <c r="AE233" s="73"/>
      <c r="AF233" s="73"/>
      <c r="AG233" s="73">
        <f>AB233-'P, Pl y Eq 2020'!AB230</f>
        <v>93151</v>
      </c>
      <c r="AH233" s="180"/>
      <c r="AI233" s="67"/>
      <c r="AJ233" s="180"/>
    </row>
    <row r="234" spans="1:36" s="66" customFormat="1">
      <c r="A234" s="72">
        <v>15200000</v>
      </c>
      <c r="B234" s="73" t="s">
        <v>20</v>
      </c>
      <c r="C234" s="176" t="s">
        <v>995</v>
      </c>
      <c r="D234" s="67">
        <v>1</v>
      </c>
      <c r="E234" s="61" t="s">
        <v>364</v>
      </c>
      <c r="F234" s="177"/>
      <c r="G234" s="177"/>
      <c r="H234" s="177"/>
      <c r="I234" s="177"/>
      <c r="J234" s="178">
        <v>43830</v>
      </c>
      <c r="K234" s="65" t="str">
        <f t="shared" si="82"/>
        <v>SI</v>
      </c>
      <c r="L234" s="139">
        <f t="shared" si="77"/>
        <v>1863024.79</v>
      </c>
      <c r="M234" s="67">
        <v>1863024.79</v>
      </c>
      <c r="N234" s="67">
        <v>1863024.79</v>
      </c>
      <c r="O234" s="139">
        <f t="shared" si="78"/>
        <v>1863024.79</v>
      </c>
      <c r="P234" s="72">
        <v>15921000</v>
      </c>
      <c r="Q234" s="73" t="s">
        <v>27</v>
      </c>
      <c r="R234" s="67">
        <v>0</v>
      </c>
      <c r="S234" s="67">
        <v>0</v>
      </c>
      <c r="T234" s="139">
        <f t="shared" si="79"/>
        <v>0</v>
      </c>
      <c r="U234" s="38">
        <f t="shared" si="80"/>
        <v>1863024.79</v>
      </c>
      <c r="V234" s="179">
        <v>20</v>
      </c>
      <c r="W234" s="116">
        <f t="shared" si="83"/>
        <v>24</v>
      </c>
      <c r="X234" s="116">
        <f t="shared" si="65"/>
        <v>216</v>
      </c>
      <c r="Y234" s="38">
        <f t="shared" si="66"/>
        <v>7762.6032916666672</v>
      </c>
      <c r="Z234" s="38">
        <f t="shared" si="67"/>
        <v>186302.47900000002</v>
      </c>
      <c r="AA234" s="38">
        <f t="shared" si="68"/>
        <v>1863025</v>
      </c>
      <c r="AB234" s="38">
        <f t="shared" si="69"/>
        <v>186302</v>
      </c>
      <c r="AC234" s="38">
        <f t="shared" si="70"/>
        <v>1676723</v>
      </c>
      <c r="AD234" s="67"/>
      <c r="AE234" s="73"/>
      <c r="AF234" s="73"/>
      <c r="AG234" s="73">
        <f>AB234-'P, Pl y Eq 2020'!AB231</f>
        <v>93151</v>
      </c>
      <c r="AH234" s="180"/>
      <c r="AI234" s="67"/>
      <c r="AJ234" s="180"/>
    </row>
    <row r="235" spans="1:36" s="66" customFormat="1">
      <c r="A235" s="72">
        <v>15200000</v>
      </c>
      <c r="B235" s="73" t="s">
        <v>20</v>
      </c>
      <c r="C235" s="176" t="s">
        <v>995</v>
      </c>
      <c r="D235" s="67">
        <v>1</v>
      </c>
      <c r="E235" s="61" t="s">
        <v>364</v>
      </c>
      <c r="F235" s="177"/>
      <c r="G235" s="177"/>
      <c r="H235" s="177"/>
      <c r="I235" s="177"/>
      <c r="J235" s="178">
        <v>43830</v>
      </c>
      <c r="K235" s="65" t="str">
        <f t="shared" si="82"/>
        <v>SI</v>
      </c>
      <c r="L235" s="139">
        <f t="shared" si="77"/>
        <v>1863024.79</v>
      </c>
      <c r="M235" s="67">
        <v>1863024.79</v>
      </c>
      <c r="N235" s="67">
        <v>1863024.79</v>
      </c>
      <c r="O235" s="139">
        <f t="shared" si="78"/>
        <v>1863024.79</v>
      </c>
      <c r="P235" s="72">
        <v>15921000</v>
      </c>
      <c r="Q235" s="73" t="s">
        <v>27</v>
      </c>
      <c r="R235" s="67">
        <v>0</v>
      </c>
      <c r="S235" s="67">
        <v>0</v>
      </c>
      <c r="T235" s="139">
        <f t="shared" si="79"/>
        <v>0</v>
      </c>
      <c r="U235" s="38">
        <f t="shared" si="80"/>
        <v>1863024.79</v>
      </c>
      <c r="V235" s="179">
        <v>20</v>
      </c>
      <c r="W235" s="116">
        <f t="shared" si="83"/>
        <v>24</v>
      </c>
      <c r="X235" s="116">
        <f t="shared" si="65"/>
        <v>216</v>
      </c>
      <c r="Y235" s="38">
        <f t="shared" si="66"/>
        <v>7762.6032916666672</v>
      </c>
      <c r="Z235" s="38">
        <f t="shared" si="67"/>
        <v>186302.47900000002</v>
      </c>
      <c r="AA235" s="38">
        <f t="shared" si="68"/>
        <v>1863025</v>
      </c>
      <c r="AB235" s="38">
        <f t="shared" si="69"/>
        <v>186302</v>
      </c>
      <c r="AC235" s="38">
        <f t="shared" si="70"/>
        <v>1676723</v>
      </c>
      <c r="AD235" s="67"/>
      <c r="AE235" s="73"/>
      <c r="AF235" s="73"/>
      <c r="AG235" s="73">
        <f>AB235-'P, Pl y Eq 2020'!AB232</f>
        <v>93151</v>
      </c>
      <c r="AH235" s="180"/>
      <c r="AI235" s="67"/>
      <c r="AJ235" s="180"/>
    </row>
    <row r="236" spans="1:36" s="66" customFormat="1">
      <c r="A236" s="72">
        <v>15200000</v>
      </c>
      <c r="B236" s="73" t="s">
        <v>20</v>
      </c>
      <c r="C236" s="176" t="s">
        <v>995</v>
      </c>
      <c r="D236" s="67">
        <v>1</v>
      </c>
      <c r="E236" s="61" t="s">
        <v>364</v>
      </c>
      <c r="F236" s="177"/>
      <c r="G236" s="177"/>
      <c r="H236" s="177"/>
      <c r="I236" s="177"/>
      <c r="J236" s="178">
        <v>43830</v>
      </c>
      <c r="K236" s="65" t="str">
        <f t="shared" si="82"/>
        <v>SI</v>
      </c>
      <c r="L236" s="139">
        <f t="shared" si="77"/>
        <v>1863024.79</v>
      </c>
      <c r="M236" s="67">
        <v>1863024.79</v>
      </c>
      <c r="N236" s="67">
        <v>1863024.79</v>
      </c>
      <c r="O236" s="139">
        <f t="shared" si="78"/>
        <v>1863024.79</v>
      </c>
      <c r="P236" s="72">
        <v>15921000</v>
      </c>
      <c r="Q236" s="73" t="s">
        <v>27</v>
      </c>
      <c r="R236" s="67">
        <v>0</v>
      </c>
      <c r="S236" s="67">
        <v>0</v>
      </c>
      <c r="T236" s="139">
        <f t="shared" si="79"/>
        <v>0</v>
      </c>
      <c r="U236" s="38">
        <f t="shared" si="80"/>
        <v>1863024.79</v>
      </c>
      <c r="V236" s="179">
        <v>20</v>
      </c>
      <c r="W236" s="116">
        <f t="shared" si="83"/>
        <v>24</v>
      </c>
      <c r="X236" s="116">
        <f t="shared" si="65"/>
        <v>216</v>
      </c>
      <c r="Y236" s="38">
        <f t="shared" si="66"/>
        <v>7762.6032916666672</v>
      </c>
      <c r="Z236" s="38">
        <f t="shared" si="67"/>
        <v>186302.47900000002</v>
      </c>
      <c r="AA236" s="38">
        <f t="shared" si="68"/>
        <v>1863025</v>
      </c>
      <c r="AB236" s="38">
        <f t="shared" si="69"/>
        <v>186302</v>
      </c>
      <c r="AC236" s="38">
        <f t="shared" si="70"/>
        <v>1676723</v>
      </c>
      <c r="AD236" s="67"/>
      <c r="AE236" s="73"/>
      <c r="AF236" s="73"/>
      <c r="AG236" s="73">
        <f>AB236-'P, Pl y Eq 2020'!AB233</f>
        <v>93151</v>
      </c>
      <c r="AH236" s="180"/>
      <c r="AI236" s="67"/>
      <c r="AJ236" s="180"/>
    </row>
    <row r="237" spans="1:36" s="66" customFormat="1">
      <c r="A237" s="72">
        <v>15200000</v>
      </c>
      <c r="B237" s="73" t="s">
        <v>20</v>
      </c>
      <c r="C237" s="176" t="s">
        <v>995</v>
      </c>
      <c r="D237" s="67">
        <v>1</v>
      </c>
      <c r="E237" s="61" t="s">
        <v>364</v>
      </c>
      <c r="F237" s="177"/>
      <c r="G237" s="177"/>
      <c r="H237" s="177"/>
      <c r="I237" s="177"/>
      <c r="J237" s="178">
        <v>43830</v>
      </c>
      <c r="K237" s="65" t="str">
        <f t="shared" si="82"/>
        <v>SI</v>
      </c>
      <c r="L237" s="139">
        <f t="shared" si="77"/>
        <v>1863024.69</v>
      </c>
      <c r="M237" s="67">
        <v>1863024.69</v>
      </c>
      <c r="N237" s="67">
        <v>1863024.69</v>
      </c>
      <c r="O237" s="139">
        <f t="shared" si="78"/>
        <v>1863024.69</v>
      </c>
      <c r="P237" s="72">
        <v>15921000</v>
      </c>
      <c r="Q237" s="73" t="s">
        <v>27</v>
      </c>
      <c r="R237" s="67">
        <v>0</v>
      </c>
      <c r="S237" s="67">
        <v>0</v>
      </c>
      <c r="T237" s="139">
        <f t="shared" si="79"/>
        <v>0</v>
      </c>
      <c r="U237" s="38">
        <f t="shared" si="80"/>
        <v>1863024.69</v>
      </c>
      <c r="V237" s="179">
        <v>20</v>
      </c>
      <c r="W237" s="116">
        <f t="shared" si="83"/>
        <v>24</v>
      </c>
      <c r="X237" s="116">
        <f t="shared" si="65"/>
        <v>216</v>
      </c>
      <c r="Y237" s="38">
        <f t="shared" si="66"/>
        <v>7762.6028749999996</v>
      </c>
      <c r="Z237" s="38">
        <f t="shared" si="67"/>
        <v>186302.46899999998</v>
      </c>
      <c r="AA237" s="38">
        <f t="shared" si="68"/>
        <v>1863025</v>
      </c>
      <c r="AB237" s="38">
        <f t="shared" si="69"/>
        <v>186302</v>
      </c>
      <c r="AC237" s="38">
        <f t="shared" si="70"/>
        <v>1676723</v>
      </c>
      <c r="AD237" s="67"/>
      <c r="AE237" s="73"/>
      <c r="AF237" s="73"/>
      <c r="AG237" s="73">
        <f>AB237-'P, Pl y Eq 2020'!AB234</f>
        <v>93151</v>
      </c>
      <c r="AH237" s="180"/>
      <c r="AI237" s="67"/>
      <c r="AJ237" s="180"/>
    </row>
    <row r="238" spans="1:36" s="66" customFormat="1">
      <c r="A238" s="72">
        <v>15200000</v>
      </c>
      <c r="B238" s="73" t="s">
        <v>20</v>
      </c>
      <c r="C238" s="176" t="s">
        <v>995</v>
      </c>
      <c r="D238" s="67">
        <v>1</v>
      </c>
      <c r="E238" s="61" t="s">
        <v>364</v>
      </c>
      <c r="F238" s="177"/>
      <c r="G238" s="177"/>
      <c r="H238" s="177"/>
      <c r="I238" s="177"/>
      <c r="J238" s="178">
        <v>43830</v>
      </c>
      <c r="K238" s="65" t="str">
        <f t="shared" si="82"/>
        <v>SI</v>
      </c>
      <c r="L238" s="139">
        <f t="shared" si="77"/>
        <v>128430635.14</v>
      </c>
      <c r="M238" s="67">
        <v>128430635.14</v>
      </c>
      <c r="N238" s="67">
        <v>128430635.14</v>
      </c>
      <c r="O238" s="139">
        <f t="shared" si="78"/>
        <v>128430635.14</v>
      </c>
      <c r="P238" s="72">
        <v>15921000</v>
      </c>
      <c r="Q238" s="73" t="s">
        <v>27</v>
      </c>
      <c r="R238" s="67">
        <v>0</v>
      </c>
      <c r="S238" s="67">
        <v>0</v>
      </c>
      <c r="T238" s="139">
        <f t="shared" si="79"/>
        <v>0</v>
      </c>
      <c r="U238" s="38">
        <f t="shared" si="80"/>
        <v>128430635.14</v>
      </c>
      <c r="V238" s="179">
        <v>25</v>
      </c>
      <c r="W238" s="116">
        <f t="shared" si="83"/>
        <v>24</v>
      </c>
      <c r="X238" s="116">
        <f t="shared" si="65"/>
        <v>276</v>
      </c>
      <c r="Y238" s="38">
        <f t="shared" si="66"/>
        <v>428102.11713333335</v>
      </c>
      <c r="Z238" s="38">
        <f t="shared" si="67"/>
        <v>10274450.8112</v>
      </c>
      <c r="AA238" s="38">
        <f t="shared" si="68"/>
        <v>128430635</v>
      </c>
      <c r="AB238" s="38">
        <f t="shared" si="69"/>
        <v>10274451</v>
      </c>
      <c r="AC238" s="38">
        <f t="shared" si="70"/>
        <v>118156184</v>
      </c>
      <c r="AD238" s="67"/>
      <c r="AE238" s="73"/>
      <c r="AF238" s="73"/>
      <c r="AG238" s="73">
        <f>AB238-'P, Pl y Eq 2020'!AB235</f>
        <v>5137226</v>
      </c>
      <c r="AH238" s="180"/>
      <c r="AI238" s="67"/>
      <c r="AJ238" s="180"/>
    </row>
    <row r="239" spans="1:36" s="66" customFormat="1">
      <c r="A239" s="72">
        <v>15200000</v>
      </c>
      <c r="B239" s="73" t="s">
        <v>20</v>
      </c>
      <c r="C239" s="176" t="s">
        <v>995</v>
      </c>
      <c r="D239" s="67">
        <v>1</v>
      </c>
      <c r="E239" s="61" t="s">
        <v>364</v>
      </c>
      <c r="F239" s="177"/>
      <c r="G239" s="177"/>
      <c r="H239" s="177"/>
      <c r="I239" s="177"/>
      <c r="J239" s="178">
        <v>43830</v>
      </c>
      <c r="K239" s="65" t="str">
        <f t="shared" si="82"/>
        <v>SI</v>
      </c>
      <c r="L239" s="139">
        <f t="shared" si="77"/>
        <v>27616026</v>
      </c>
      <c r="M239" s="67">
        <v>27616026</v>
      </c>
      <c r="N239" s="67">
        <v>27616026</v>
      </c>
      <c r="O239" s="139">
        <f t="shared" si="78"/>
        <v>27616026</v>
      </c>
      <c r="P239" s="72">
        <v>15921000</v>
      </c>
      <c r="Q239" s="73" t="s">
        <v>27</v>
      </c>
      <c r="R239" s="67">
        <v>0</v>
      </c>
      <c r="S239" s="67">
        <v>0</v>
      </c>
      <c r="T239" s="139">
        <f t="shared" si="79"/>
        <v>0</v>
      </c>
      <c r="U239" s="38">
        <f t="shared" si="80"/>
        <v>27616026</v>
      </c>
      <c r="V239" s="179">
        <v>25</v>
      </c>
      <c r="W239" s="116">
        <f t="shared" si="83"/>
        <v>24</v>
      </c>
      <c r="X239" s="116">
        <f t="shared" si="65"/>
        <v>276</v>
      </c>
      <c r="Y239" s="38">
        <f t="shared" si="66"/>
        <v>92053.42</v>
      </c>
      <c r="Z239" s="38">
        <f t="shared" si="67"/>
        <v>2209282.08</v>
      </c>
      <c r="AA239" s="38">
        <f t="shared" si="68"/>
        <v>27616026</v>
      </c>
      <c r="AB239" s="38">
        <f t="shared" si="69"/>
        <v>2209282</v>
      </c>
      <c r="AC239" s="38">
        <f t="shared" si="70"/>
        <v>25406744</v>
      </c>
      <c r="AD239" s="67"/>
      <c r="AE239" s="73"/>
      <c r="AF239" s="73"/>
      <c r="AG239" s="73">
        <f>AB239-'P, Pl y Eq 2020'!AB236</f>
        <v>1104641</v>
      </c>
      <c r="AH239" s="180"/>
      <c r="AI239" s="67"/>
      <c r="AJ239" s="180"/>
    </row>
    <row r="240" spans="1:36" s="66" customFormat="1">
      <c r="A240" s="72">
        <v>15200000</v>
      </c>
      <c r="B240" s="73" t="s">
        <v>20</v>
      </c>
      <c r="C240" s="176" t="s">
        <v>995</v>
      </c>
      <c r="D240" s="67">
        <v>1</v>
      </c>
      <c r="E240" s="61" t="s">
        <v>364</v>
      </c>
      <c r="F240" s="177"/>
      <c r="G240" s="177"/>
      <c r="H240" s="177"/>
      <c r="I240" s="177"/>
      <c r="J240" s="178">
        <v>43830</v>
      </c>
      <c r="K240" s="65" t="str">
        <f t="shared" si="82"/>
        <v>SI</v>
      </c>
      <c r="L240" s="139">
        <f t="shared" si="77"/>
        <v>342868581.23000002</v>
      </c>
      <c r="M240" s="67">
        <v>342868581.23000002</v>
      </c>
      <c r="N240" s="67">
        <v>342868581.23000002</v>
      </c>
      <c r="O240" s="139">
        <f t="shared" si="78"/>
        <v>342868581.23000002</v>
      </c>
      <c r="P240" s="72">
        <v>15921000</v>
      </c>
      <c r="Q240" s="73" t="s">
        <v>27</v>
      </c>
      <c r="R240" s="67">
        <v>0</v>
      </c>
      <c r="S240" s="67">
        <v>0</v>
      </c>
      <c r="T240" s="139">
        <f t="shared" si="79"/>
        <v>0</v>
      </c>
      <c r="U240" s="38">
        <f t="shared" si="80"/>
        <v>342868581.23000002</v>
      </c>
      <c r="V240" s="179">
        <v>25</v>
      </c>
      <c r="W240" s="116">
        <f t="shared" si="83"/>
        <v>24</v>
      </c>
      <c r="X240" s="116">
        <f t="shared" ref="X240:X259" si="84">(V240*12)-W240</f>
        <v>276</v>
      </c>
      <c r="Y240" s="38">
        <f t="shared" ref="Y240:Y259" si="85">N240/(V240*12)</f>
        <v>1142895.2707666666</v>
      </c>
      <c r="Z240" s="38">
        <f t="shared" ref="Z240:Z259" si="86">IF(U240&gt;0,W240*Y240,0)</f>
        <v>27429486.498399999</v>
      </c>
      <c r="AA240" s="38">
        <f t="shared" ref="AA240:AA259" si="87">ROUND(IF(U240&gt;0,N240,0),0)</f>
        <v>342868581</v>
      </c>
      <c r="AB240" s="38">
        <f t="shared" ref="AB240:AB259" si="88">ROUND(IF(U240&gt;0,Z240,0),0)</f>
        <v>27429486</v>
      </c>
      <c r="AC240" s="38">
        <f t="shared" ref="AC240:AC259" si="89">AA240-AB240</f>
        <v>315439095</v>
      </c>
      <c r="AD240" s="67"/>
      <c r="AE240" s="73"/>
      <c r="AF240" s="73"/>
      <c r="AG240" s="73">
        <f>AB240-'P, Pl y Eq 2020'!AB237</f>
        <v>13714743</v>
      </c>
      <c r="AH240" s="180"/>
      <c r="AI240" s="67"/>
      <c r="AJ240" s="180"/>
    </row>
    <row r="241" spans="1:36" s="66" customFormat="1">
      <c r="A241" s="72">
        <v>15200000</v>
      </c>
      <c r="B241" s="73" t="s">
        <v>20</v>
      </c>
      <c r="C241" s="176" t="s">
        <v>995</v>
      </c>
      <c r="D241" s="67">
        <v>1</v>
      </c>
      <c r="E241" s="61" t="s">
        <v>364</v>
      </c>
      <c r="F241" s="177"/>
      <c r="G241" s="177"/>
      <c r="H241" s="177"/>
      <c r="I241" s="177"/>
      <c r="J241" s="178">
        <v>43830</v>
      </c>
      <c r="K241" s="65" t="str">
        <f t="shared" si="82"/>
        <v>SI</v>
      </c>
      <c r="L241" s="139">
        <f t="shared" si="77"/>
        <v>242153315.53999999</v>
      </c>
      <c r="M241" s="67">
        <v>242153315.53999999</v>
      </c>
      <c r="N241" s="67">
        <v>242153315.53999999</v>
      </c>
      <c r="O241" s="139">
        <f t="shared" si="78"/>
        <v>242153315.53999999</v>
      </c>
      <c r="P241" s="72">
        <v>15921000</v>
      </c>
      <c r="Q241" s="73" t="s">
        <v>27</v>
      </c>
      <c r="R241" s="67">
        <v>0</v>
      </c>
      <c r="S241" s="67">
        <v>0</v>
      </c>
      <c r="T241" s="139">
        <f t="shared" si="79"/>
        <v>0</v>
      </c>
      <c r="U241" s="38">
        <f t="shared" si="80"/>
        <v>242153315.53999999</v>
      </c>
      <c r="V241" s="179">
        <v>25</v>
      </c>
      <c r="W241" s="116">
        <f t="shared" si="83"/>
        <v>24</v>
      </c>
      <c r="X241" s="116">
        <f t="shared" si="84"/>
        <v>276</v>
      </c>
      <c r="Y241" s="38">
        <f t="shared" si="85"/>
        <v>807177.71846666664</v>
      </c>
      <c r="Z241" s="38">
        <f t="shared" si="86"/>
        <v>19372265.2432</v>
      </c>
      <c r="AA241" s="38">
        <f t="shared" si="87"/>
        <v>242153316</v>
      </c>
      <c r="AB241" s="38">
        <f t="shared" si="88"/>
        <v>19372265</v>
      </c>
      <c r="AC241" s="38">
        <f t="shared" si="89"/>
        <v>222781051</v>
      </c>
      <c r="AD241" s="67"/>
      <c r="AE241" s="73"/>
      <c r="AF241" s="73"/>
      <c r="AG241" s="73">
        <f>AB241-'P, Pl y Eq 2020'!AB238</f>
        <v>9686132</v>
      </c>
      <c r="AH241" s="180"/>
      <c r="AI241" s="67"/>
      <c r="AJ241" s="180"/>
    </row>
    <row r="242" spans="1:36" s="72" customFormat="1">
      <c r="A242" s="72">
        <v>15200000</v>
      </c>
      <c r="B242" s="73" t="s">
        <v>20</v>
      </c>
      <c r="C242" s="68" t="s">
        <v>995</v>
      </c>
      <c r="D242" s="67">
        <v>1</v>
      </c>
      <c r="E242" s="61" t="s">
        <v>364</v>
      </c>
      <c r="F242" s="177"/>
      <c r="G242" s="177"/>
      <c r="H242" s="177"/>
      <c r="J242" s="258">
        <v>44196</v>
      </c>
      <c r="K242" s="65" t="str">
        <f t="shared" ref="K242:K259" si="90">IF(L242&gt;($M$26*50),"SI","NO")</f>
        <v>SI</v>
      </c>
      <c r="L242" s="139">
        <f t="shared" si="77"/>
        <v>51765000</v>
      </c>
      <c r="M242" s="67">
        <v>51765000</v>
      </c>
      <c r="N242" s="67">
        <v>51765000</v>
      </c>
      <c r="O242" s="139">
        <f t="shared" si="78"/>
        <v>51765000</v>
      </c>
      <c r="P242" s="72">
        <v>15921000</v>
      </c>
      <c r="Q242" s="73" t="s">
        <v>27</v>
      </c>
      <c r="R242" s="67">
        <v>0</v>
      </c>
      <c r="S242" s="67">
        <v>0</v>
      </c>
      <c r="T242" s="139">
        <f t="shared" si="79"/>
        <v>0</v>
      </c>
      <c r="U242" s="38">
        <f t="shared" si="80"/>
        <v>51765000</v>
      </c>
      <c r="V242" s="179">
        <v>20</v>
      </c>
      <c r="W242" s="116">
        <f t="shared" si="83"/>
        <v>12</v>
      </c>
      <c r="X242" s="116">
        <f t="shared" si="84"/>
        <v>228</v>
      </c>
      <c r="Y242" s="38">
        <f t="shared" si="85"/>
        <v>215687.5</v>
      </c>
      <c r="Z242" s="38">
        <f t="shared" si="86"/>
        <v>2588250</v>
      </c>
      <c r="AA242" s="38">
        <f t="shared" si="87"/>
        <v>51765000</v>
      </c>
      <c r="AB242" s="38">
        <f t="shared" si="88"/>
        <v>2588250</v>
      </c>
      <c r="AC242" s="38">
        <f t="shared" si="89"/>
        <v>49176750</v>
      </c>
      <c r="AD242" s="67"/>
      <c r="AE242" s="73"/>
      <c r="AF242" s="73"/>
      <c r="AG242" s="73">
        <f>AB242-'P, Pl y Eq 2020'!AB239</f>
        <v>2588250</v>
      </c>
    </row>
    <row r="243" spans="1:36" s="72" customFormat="1">
      <c r="A243" s="72">
        <v>15200000</v>
      </c>
      <c r="B243" s="73" t="s">
        <v>20</v>
      </c>
      <c r="C243" s="68" t="s">
        <v>995</v>
      </c>
      <c r="D243" s="67">
        <v>1</v>
      </c>
      <c r="E243" s="61" t="s">
        <v>364</v>
      </c>
      <c r="F243" s="177"/>
      <c r="G243" s="177"/>
      <c r="H243" s="177"/>
      <c r="J243" s="258">
        <v>43831</v>
      </c>
      <c r="K243" s="65" t="str">
        <f t="shared" si="90"/>
        <v>SI</v>
      </c>
      <c r="L243" s="139">
        <f t="shared" si="77"/>
        <v>57678110</v>
      </c>
      <c r="M243" s="67">
        <v>57678110</v>
      </c>
      <c r="N243" s="67">
        <v>57678110</v>
      </c>
      <c r="O243" s="139">
        <f t="shared" si="78"/>
        <v>57678110</v>
      </c>
      <c r="P243" s="72">
        <v>15921000</v>
      </c>
      <c r="Q243" s="73" t="s">
        <v>27</v>
      </c>
      <c r="R243" s="67">
        <v>0</v>
      </c>
      <c r="S243" s="67">
        <v>0</v>
      </c>
      <c r="T243" s="139">
        <f t="shared" si="79"/>
        <v>0</v>
      </c>
      <c r="U243" s="38">
        <f t="shared" si="80"/>
        <v>57678110</v>
      </c>
      <c r="V243" s="179">
        <v>25</v>
      </c>
      <c r="W243" s="116">
        <f t="shared" si="83"/>
        <v>24</v>
      </c>
      <c r="X243" s="116">
        <f t="shared" si="84"/>
        <v>276</v>
      </c>
      <c r="Y243" s="38">
        <f t="shared" si="85"/>
        <v>192260.36666666667</v>
      </c>
      <c r="Z243" s="38">
        <f t="shared" si="86"/>
        <v>4614248.8</v>
      </c>
      <c r="AA243" s="38">
        <f t="shared" si="87"/>
        <v>57678110</v>
      </c>
      <c r="AB243" s="38">
        <f t="shared" si="88"/>
        <v>4614249</v>
      </c>
      <c r="AC243" s="38">
        <f t="shared" si="89"/>
        <v>53063861</v>
      </c>
      <c r="AD243" s="67"/>
      <c r="AE243" s="73"/>
      <c r="AF243" s="73"/>
      <c r="AG243" s="73">
        <f>AB243-'P, Pl y Eq 2020'!AB240</f>
        <v>2307125</v>
      </c>
    </row>
    <row r="244" spans="1:36" s="72" customFormat="1">
      <c r="A244" s="72">
        <v>15200000</v>
      </c>
      <c r="B244" s="73" t="s">
        <v>20</v>
      </c>
      <c r="C244" s="68" t="s">
        <v>995</v>
      </c>
      <c r="D244" s="67">
        <v>1</v>
      </c>
      <c r="E244" s="61" t="s">
        <v>364</v>
      </c>
      <c r="F244" s="177"/>
      <c r="G244" s="177"/>
      <c r="H244" s="177"/>
      <c r="J244" s="258">
        <v>43831</v>
      </c>
      <c r="K244" s="65" t="str">
        <f t="shared" si="90"/>
        <v>SI</v>
      </c>
      <c r="L244" s="139">
        <f t="shared" si="77"/>
        <v>9467164</v>
      </c>
      <c r="M244" s="67">
        <v>9467164</v>
      </c>
      <c r="N244" s="67">
        <v>9467164</v>
      </c>
      <c r="O244" s="139">
        <f t="shared" si="78"/>
        <v>9467164</v>
      </c>
      <c r="P244" s="72">
        <v>15921000</v>
      </c>
      <c r="Q244" s="73" t="s">
        <v>27</v>
      </c>
      <c r="R244" s="67">
        <v>0</v>
      </c>
      <c r="S244" s="67">
        <v>0</v>
      </c>
      <c r="T244" s="139">
        <f t="shared" si="79"/>
        <v>0</v>
      </c>
      <c r="U244" s="38">
        <f t="shared" si="80"/>
        <v>9467164</v>
      </c>
      <c r="V244" s="179">
        <v>25</v>
      </c>
      <c r="W244" s="116">
        <f t="shared" si="83"/>
        <v>24</v>
      </c>
      <c r="X244" s="116">
        <f t="shared" si="84"/>
        <v>276</v>
      </c>
      <c r="Y244" s="38">
        <f t="shared" si="85"/>
        <v>31557.213333333333</v>
      </c>
      <c r="Z244" s="38">
        <f t="shared" si="86"/>
        <v>757373.12</v>
      </c>
      <c r="AA244" s="38">
        <f t="shared" si="87"/>
        <v>9467164</v>
      </c>
      <c r="AB244" s="38">
        <f t="shared" si="88"/>
        <v>757373</v>
      </c>
      <c r="AC244" s="38">
        <f t="shared" si="89"/>
        <v>8709791</v>
      </c>
      <c r="AD244" s="67"/>
      <c r="AE244" s="73"/>
      <c r="AF244" s="73"/>
      <c r="AG244" s="73">
        <f>AB244-'P, Pl y Eq 2020'!AB241</f>
        <v>378686</v>
      </c>
    </row>
    <row r="245" spans="1:36" s="72" customFormat="1">
      <c r="A245" s="72">
        <v>15200000</v>
      </c>
      <c r="B245" s="73" t="s">
        <v>20</v>
      </c>
      <c r="C245" s="68" t="s">
        <v>995</v>
      </c>
      <c r="D245" s="67">
        <v>1</v>
      </c>
      <c r="E245" s="61" t="s">
        <v>364</v>
      </c>
      <c r="F245" s="177"/>
      <c r="G245" s="177"/>
      <c r="H245" s="177"/>
      <c r="J245" s="258">
        <v>43831</v>
      </c>
      <c r="K245" s="65" t="str">
        <f t="shared" si="90"/>
        <v>SI</v>
      </c>
      <c r="L245" s="139">
        <f t="shared" si="77"/>
        <v>5559680</v>
      </c>
      <c r="M245" s="67">
        <v>5559680</v>
      </c>
      <c r="N245" s="67">
        <v>5559680</v>
      </c>
      <c r="O245" s="139">
        <f t="shared" si="78"/>
        <v>5559680</v>
      </c>
      <c r="P245" s="72">
        <v>15921000</v>
      </c>
      <c r="Q245" s="73" t="s">
        <v>27</v>
      </c>
      <c r="R245" s="67">
        <v>0</v>
      </c>
      <c r="S245" s="67">
        <v>0</v>
      </c>
      <c r="T245" s="139">
        <f t="shared" si="79"/>
        <v>0</v>
      </c>
      <c r="U245" s="38">
        <f t="shared" si="80"/>
        <v>5559680</v>
      </c>
      <c r="V245" s="179">
        <v>25</v>
      </c>
      <c r="W245" s="116">
        <f t="shared" si="83"/>
        <v>24</v>
      </c>
      <c r="X245" s="116">
        <f t="shared" si="84"/>
        <v>276</v>
      </c>
      <c r="Y245" s="38">
        <f t="shared" si="85"/>
        <v>18532.266666666666</v>
      </c>
      <c r="Z245" s="38">
        <f t="shared" si="86"/>
        <v>444774.40000000002</v>
      </c>
      <c r="AA245" s="38">
        <f t="shared" si="87"/>
        <v>5559680</v>
      </c>
      <c r="AB245" s="38">
        <f t="shared" si="88"/>
        <v>444774</v>
      </c>
      <c r="AC245" s="38">
        <f t="shared" si="89"/>
        <v>5114906</v>
      </c>
      <c r="AD245" s="67"/>
      <c r="AE245" s="73"/>
      <c r="AF245" s="73"/>
      <c r="AG245" s="73">
        <f>AB245-'P, Pl y Eq 2020'!AB242</f>
        <v>222387</v>
      </c>
    </row>
    <row r="246" spans="1:36" s="72" customFormat="1">
      <c r="A246" s="72">
        <v>15200000</v>
      </c>
      <c r="B246" s="73" t="s">
        <v>20</v>
      </c>
      <c r="C246" s="68" t="s">
        <v>995</v>
      </c>
      <c r="D246" s="67">
        <v>1</v>
      </c>
      <c r="E246" s="61" t="s">
        <v>364</v>
      </c>
      <c r="F246" s="177"/>
      <c r="G246" s="177"/>
      <c r="H246" s="177"/>
      <c r="J246" s="258">
        <v>43862</v>
      </c>
      <c r="K246" s="65" t="str">
        <f t="shared" si="90"/>
        <v>SI</v>
      </c>
      <c r="L246" s="139">
        <f t="shared" si="77"/>
        <v>20575100</v>
      </c>
      <c r="M246" s="67">
        <v>20575100</v>
      </c>
      <c r="N246" s="67">
        <v>20575100</v>
      </c>
      <c r="O246" s="139">
        <f t="shared" si="78"/>
        <v>20575100</v>
      </c>
      <c r="P246" s="72">
        <v>15921000</v>
      </c>
      <c r="Q246" s="73" t="s">
        <v>27</v>
      </c>
      <c r="R246" s="67">
        <v>0</v>
      </c>
      <c r="S246" s="67">
        <v>0</v>
      </c>
      <c r="T246" s="139">
        <f t="shared" si="79"/>
        <v>0</v>
      </c>
      <c r="U246" s="38">
        <f t="shared" si="80"/>
        <v>20575100</v>
      </c>
      <c r="V246" s="179">
        <v>20</v>
      </c>
      <c r="W246" s="116">
        <f t="shared" si="83"/>
        <v>23</v>
      </c>
      <c r="X246" s="116">
        <f t="shared" si="84"/>
        <v>217</v>
      </c>
      <c r="Y246" s="38">
        <f t="shared" si="85"/>
        <v>85729.583333333328</v>
      </c>
      <c r="Z246" s="38">
        <f t="shared" si="86"/>
        <v>1971780.4166666665</v>
      </c>
      <c r="AA246" s="38">
        <f t="shared" si="87"/>
        <v>20575100</v>
      </c>
      <c r="AB246" s="38">
        <f t="shared" si="88"/>
        <v>1971780</v>
      </c>
      <c r="AC246" s="38">
        <f t="shared" si="89"/>
        <v>18603320</v>
      </c>
      <c r="AD246" s="67"/>
      <c r="AE246" s="73"/>
      <c r="AF246" s="73"/>
      <c r="AG246" s="73">
        <f>AB246-'P, Pl y Eq 2020'!AB243</f>
        <v>1028755</v>
      </c>
    </row>
    <row r="247" spans="1:36" s="72" customFormat="1">
      <c r="A247" s="72">
        <v>15200000</v>
      </c>
      <c r="B247" s="73" t="s">
        <v>20</v>
      </c>
      <c r="C247" s="68" t="s">
        <v>995</v>
      </c>
      <c r="D247" s="67">
        <v>1</v>
      </c>
      <c r="E247" s="61" t="s">
        <v>364</v>
      </c>
      <c r="F247" s="177"/>
      <c r="G247" s="177"/>
      <c r="H247" s="177"/>
      <c r="J247" s="258">
        <v>43891</v>
      </c>
      <c r="K247" s="65" t="str">
        <f t="shared" si="90"/>
        <v>SI</v>
      </c>
      <c r="L247" s="139">
        <f t="shared" si="77"/>
        <v>18802000</v>
      </c>
      <c r="M247" s="67">
        <v>18802000</v>
      </c>
      <c r="N247" s="67">
        <v>18802000</v>
      </c>
      <c r="O247" s="139">
        <f t="shared" si="78"/>
        <v>18802000</v>
      </c>
      <c r="P247" s="72">
        <v>15921000</v>
      </c>
      <c r="Q247" s="73" t="s">
        <v>27</v>
      </c>
      <c r="R247" s="67">
        <v>0</v>
      </c>
      <c r="S247" s="67">
        <v>0</v>
      </c>
      <c r="T247" s="139">
        <f t="shared" si="79"/>
        <v>0</v>
      </c>
      <c r="U247" s="38">
        <f t="shared" si="80"/>
        <v>18802000</v>
      </c>
      <c r="V247" s="179">
        <v>10</v>
      </c>
      <c r="W247" s="116">
        <f t="shared" si="83"/>
        <v>22</v>
      </c>
      <c r="X247" s="116">
        <f t="shared" si="84"/>
        <v>98</v>
      </c>
      <c r="Y247" s="38">
        <f t="shared" si="85"/>
        <v>156683.33333333334</v>
      </c>
      <c r="Z247" s="38">
        <f t="shared" si="86"/>
        <v>3447033.3333333335</v>
      </c>
      <c r="AA247" s="38">
        <f t="shared" si="87"/>
        <v>18802000</v>
      </c>
      <c r="AB247" s="38">
        <f t="shared" si="88"/>
        <v>3447033</v>
      </c>
      <c r="AC247" s="38">
        <f t="shared" si="89"/>
        <v>15354967</v>
      </c>
      <c r="AD247" s="67"/>
      <c r="AE247" s="73"/>
      <c r="AF247" s="73"/>
      <c r="AG247" s="73">
        <f>AB247-'P, Pl y Eq 2020'!AB244</f>
        <v>1880200</v>
      </c>
    </row>
    <row r="248" spans="1:36" s="72" customFormat="1">
      <c r="A248" s="72">
        <v>15200000</v>
      </c>
      <c r="B248" s="73" t="s">
        <v>20</v>
      </c>
      <c r="C248" s="68" t="s">
        <v>995</v>
      </c>
      <c r="D248" s="67">
        <v>1</v>
      </c>
      <c r="E248" s="61" t="s">
        <v>364</v>
      </c>
      <c r="F248" s="177"/>
      <c r="G248" s="177"/>
      <c r="H248" s="177"/>
      <c r="J248" s="258">
        <v>43891</v>
      </c>
      <c r="K248" s="65" t="str">
        <f t="shared" si="90"/>
        <v>SI</v>
      </c>
      <c r="L248" s="139">
        <f t="shared" si="77"/>
        <v>38011304</v>
      </c>
      <c r="M248" s="67">
        <v>38011304</v>
      </c>
      <c r="N248" s="67">
        <v>38011304</v>
      </c>
      <c r="O248" s="139">
        <f t="shared" si="78"/>
        <v>38011304</v>
      </c>
      <c r="P248" s="72">
        <v>15921000</v>
      </c>
      <c r="Q248" s="73" t="s">
        <v>27</v>
      </c>
      <c r="R248" s="67">
        <v>0</v>
      </c>
      <c r="S248" s="67">
        <v>0</v>
      </c>
      <c r="T248" s="139">
        <f t="shared" si="79"/>
        <v>0</v>
      </c>
      <c r="U248" s="38">
        <f t="shared" si="80"/>
        <v>38011304</v>
      </c>
      <c r="V248" s="179">
        <v>25</v>
      </c>
      <c r="W248" s="116">
        <f t="shared" si="83"/>
        <v>22</v>
      </c>
      <c r="X248" s="116">
        <f t="shared" si="84"/>
        <v>278</v>
      </c>
      <c r="Y248" s="38">
        <f t="shared" si="85"/>
        <v>126704.34666666666</v>
      </c>
      <c r="Z248" s="38">
        <f t="shared" si="86"/>
        <v>2787495.6266666665</v>
      </c>
      <c r="AA248" s="38">
        <f t="shared" si="87"/>
        <v>38011304</v>
      </c>
      <c r="AB248" s="38">
        <f t="shared" si="88"/>
        <v>2787496</v>
      </c>
      <c r="AC248" s="38">
        <f t="shared" si="89"/>
        <v>35223808</v>
      </c>
      <c r="AD248" s="67"/>
      <c r="AE248" s="73"/>
      <c r="AF248" s="73"/>
      <c r="AG248" s="73">
        <f>AB248-'P, Pl y Eq 2020'!AB245</f>
        <v>1520453</v>
      </c>
    </row>
    <row r="249" spans="1:36" s="72" customFormat="1">
      <c r="A249" s="72">
        <v>15200000</v>
      </c>
      <c r="B249" s="73" t="s">
        <v>20</v>
      </c>
      <c r="C249" s="68" t="s">
        <v>995</v>
      </c>
      <c r="D249" s="67">
        <v>1</v>
      </c>
      <c r="E249" s="61" t="s">
        <v>364</v>
      </c>
      <c r="F249" s="177"/>
      <c r="G249" s="177"/>
      <c r="H249" s="177"/>
      <c r="J249" s="258">
        <v>43952</v>
      </c>
      <c r="K249" s="65" t="str">
        <f t="shared" si="90"/>
        <v>SI</v>
      </c>
      <c r="L249" s="139">
        <f t="shared" si="77"/>
        <v>8459363</v>
      </c>
      <c r="M249" s="67">
        <v>8459363</v>
      </c>
      <c r="N249" s="67">
        <v>8459363</v>
      </c>
      <c r="O249" s="139">
        <f t="shared" si="78"/>
        <v>8459363</v>
      </c>
      <c r="P249" s="72">
        <v>15921000</v>
      </c>
      <c r="Q249" s="73" t="s">
        <v>27</v>
      </c>
      <c r="R249" s="67">
        <v>0</v>
      </c>
      <c r="S249" s="67">
        <v>0</v>
      </c>
      <c r="T249" s="139">
        <f t="shared" si="79"/>
        <v>0</v>
      </c>
      <c r="U249" s="38">
        <f t="shared" si="80"/>
        <v>8459363</v>
      </c>
      <c r="V249" s="179">
        <v>10</v>
      </c>
      <c r="W249" s="116">
        <f t="shared" si="83"/>
        <v>20</v>
      </c>
      <c r="X249" s="116">
        <f t="shared" si="84"/>
        <v>100</v>
      </c>
      <c r="Y249" s="38">
        <f t="shared" si="85"/>
        <v>70494.691666666666</v>
      </c>
      <c r="Z249" s="38">
        <f t="shared" si="86"/>
        <v>1409893.8333333333</v>
      </c>
      <c r="AA249" s="38">
        <f t="shared" si="87"/>
        <v>8459363</v>
      </c>
      <c r="AB249" s="38">
        <f t="shared" si="88"/>
        <v>1409894</v>
      </c>
      <c r="AC249" s="38">
        <f t="shared" si="89"/>
        <v>7049469</v>
      </c>
      <c r="AD249" s="67"/>
      <c r="AE249" s="73"/>
      <c r="AF249" s="73"/>
      <c r="AG249" s="73">
        <f>AB249-'P, Pl y Eq 2020'!AB246</f>
        <v>845936</v>
      </c>
    </row>
    <row r="250" spans="1:36" s="72" customFormat="1">
      <c r="A250" s="72">
        <v>15200000</v>
      </c>
      <c r="B250" s="73" t="s">
        <v>20</v>
      </c>
      <c r="C250" s="68" t="s">
        <v>995</v>
      </c>
      <c r="D250" s="67">
        <v>1</v>
      </c>
      <c r="E250" s="61" t="s">
        <v>364</v>
      </c>
      <c r="F250" s="177"/>
      <c r="G250" s="177"/>
      <c r="H250" s="177"/>
      <c r="J250" s="258">
        <v>43952</v>
      </c>
      <c r="K250" s="65" t="str">
        <f t="shared" si="90"/>
        <v>SI</v>
      </c>
      <c r="L250" s="139">
        <f t="shared" si="77"/>
        <v>49459732</v>
      </c>
      <c r="M250" s="67">
        <v>49459732</v>
      </c>
      <c r="N250" s="67">
        <v>49459732</v>
      </c>
      <c r="O250" s="139">
        <f t="shared" si="78"/>
        <v>49459732</v>
      </c>
      <c r="P250" s="72">
        <v>15921000</v>
      </c>
      <c r="Q250" s="73" t="s">
        <v>27</v>
      </c>
      <c r="R250" s="67">
        <v>0</v>
      </c>
      <c r="S250" s="67">
        <v>0</v>
      </c>
      <c r="T250" s="139">
        <f t="shared" si="79"/>
        <v>0</v>
      </c>
      <c r="U250" s="38">
        <f t="shared" si="80"/>
        <v>49459732</v>
      </c>
      <c r="V250" s="179">
        <v>25</v>
      </c>
      <c r="W250" s="116">
        <f t="shared" si="83"/>
        <v>20</v>
      </c>
      <c r="X250" s="116">
        <f t="shared" si="84"/>
        <v>280</v>
      </c>
      <c r="Y250" s="38">
        <f t="shared" si="85"/>
        <v>164865.77333333335</v>
      </c>
      <c r="Z250" s="38">
        <f t="shared" si="86"/>
        <v>3297315.4666666668</v>
      </c>
      <c r="AA250" s="38">
        <f t="shared" si="87"/>
        <v>49459732</v>
      </c>
      <c r="AB250" s="38">
        <f t="shared" si="88"/>
        <v>3297315</v>
      </c>
      <c r="AC250" s="38">
        <f t="shared" si="89"/>
        <v>46162417</v>
      </c>
      <c r="AD250" s="67"/>
      <c r="AE250" s="73"/>
      <c r="AF250" s="73"/>
      <c r="AG250" s="73">
        <f>AB250-'P, Pl y Eq 2020'!AB247</f>
        <v>1978389</v>
      </c>
    </row>
    <row r="251" spans="1:36" s="72" customFormat="1">
      <c r="A251" s="72">
        <v>15200000</v>
      </c>
      <c r="B251" s="73" t="s">
        <v>20</v>
      </c>
      <c r="C251" s="68" t="s">
        <v>995</v>
      </c>
      <c r="D251" s="67">
        <v>1</v>
      </c>
      <c r="E251" s="61" t="s">
        <v>364</v>
      </c>
      <c r="F251" s="177"/>
      <c r="G251" s="177"/>
      <c r="H251" s="177"/>
      <c r="J251" s="258">
        <v>43952</v>
      </c>
      <c r="K251" s="65" t="str">
        <f t="shared" si="90"/>
        <v>SI</v>
      </c>
      <c r="L251" s="139">
        <f t="shared" si="77"/>
        <v>6536000</v>
      </c>
      <c r="M251" s="67">
        <v>6536000</v>
      </c>
      <c r="N251" s="67">
        <v>6536000</v>
      </c>
      <c r="O251" s="139">
        <f t="shared" si="78"/>
        <v>6536000</v>
      </c>
      <c r="P251" s="72">
        <v>15921000</v>
      </c>
      <c r="Q251" s="73" t="s">
        <v>27</v>
      </c>
      <c r="R251" s="67">
        <v>0</v>
      </c>
      <c r="S251" s="67">
        <v>0</v>
      </c>
      <c r="T251" s="139">
        <f t="shared" si="79"/>
        <v>0</v>
      </c>
      <c r="U251" s="38">
        <f t="shared" si="80"/>
        <v>6536000</v>
      </c>
      <c r="V251" s="179">
        <v>25</v>
      </c>
      <c r="W251" s="116">
        <f t="shared" si="83"/>
        <v>20</v>
      </c>
      <c r="X251" s="116">
        <f t="shared" si="84"/>
        <v>280</v>
      </c>
      <c r="Y251" s="38">
        <f t="shared" si="85"/>
        <v>21786.666666666668</v>
      </c>
      <c r="Z251" s="38">
        <f t="shared" si="86"/>
        <v>435733.33333333337</v>
      </c>
      <c r="AA251" s="38">
        <f t="shared" si="87"/>
        <v>6536000</v>
      </c>
      <c r="AB251" s="38">
        <f t="shared" si="88"/>
        <v>435733</v>
      </c>
      <c r="AC251" s="38">
        <f t="shared" si="89"/>
        <v>6100267</v>
      </c>
      <c r="AD251" s="67"/>
      <c r="AE251" s="73"/>
      <c r="AF251" s="73"/>
      <c r="AG251" s="73">
        <f>AB251-'P, Pl y Eq 2020'!AB248</f>
        <v>261440</v>
      </c>
    </row>
    <row r="252" spans="1:36" s="72" customFormat="1">
      <c r="A252" s="72">
        <v>15200000</v>
      </c>
      <c r="B252" s="73" t="s">
        <v>20</v>
      </c>
      <c r="C252" s="68" t="s">
        <v>995</v>
      </c>
      <c r="D252" s="67">
        <v>1</v>
      </c>
      <c r="E252" s="61" t="s">
        <v>364</v>
      </c>
      <c r="F252" s="177"/>
      <c r="G252" s="177"/>
      <c r="H252" s="177"/>
      <c r="J252" s="258">
        <v>44136</v>
      </c>
      <c r="K252" s="65" t="str">
        <f t="shared" si="90"/>
        <v>SI</v>
      </c>
      <c r="L252" s="139">
        <f t="shared" si="77"/>
        <v>16105483</v>
      </c>
      <c r="M252" s="67">
        <v>16105483</v>
      </c>
      <c r="N252" s="67">
        <v>16105483</v>
      </c>
      <c r="O252" s="139">
        <f t="shared" si="78"/>
        <v>16105483</v>
      </c>
      <c r="P252" s="72">
        <v>15921000</v>
      </c>
      <c r="Q252" s="73" t="s">
        <v>27</v>
      </c>
      <c r="R252" s="67">
        <v>0</v>
      </c>
      <c r="S252" s="67">
        <v>0</v>
      </c>
      <c r="T252" s="139">
        <f t="shared" si="79"/>
        <v>0</v>
      </c>
      <c r="U252" s="38">
        <f t="shared" si="80"/>
        <v>16105483</v>
      </c>
      <c r="V252" s="179">
        <v>10</v>
      </c>
      <c r="W252" s="116">
        <f t="shared" si="83"/>
        <v>14</v>
      </c>
      <c r="X252" s="116">
        <f t="shared" si="84"/>
        <v>106</v>
      </c>
      <c r="Y252" s="38">
        <f t="shared" si="85"/>
        <v>134212.35833333334</v>
      </c>
      <c r="Z252" s="38">
        <f t="shared" si="86"/>
        <v>1878973.0166666666</v>
      </c>
      <c r="AA252" s="38">
        <f t="shared" si="87"/>
        <v>16105483</v>
      </c>
      <c r="AB252" s="38">
        <f t="shared" si="88"/>
        <v>1878973</v>
      </c>
      <c r="AC252" s="38">
        <f t="shared" si="89"/>
        <v>14226510</v>
      </c>
      <c r="AD252" s="67"/>
      <c r="AE252" s="73"/>
      <c r="AF252" s="73"/>
      <c r="AG252" s="73">
        <f>AB252-'P, Pl y Eq 2020'!AB249</f>
        <v>1610548</v>
      </c>
    </row>
    <row r="253" spans="1:36" s="72" customFormat="1">
      <c r="A253" s="72">
        <v>15200000</v>
      </c>
      <c r="B253" s="73" t="s">
        <v>20</v>
      </c>
      <c r="C253" s="68" t="s">
        <v>995</v>
      </c>
      <c r="D253" s="67">
        <v>1</v>
      </c>
      <c r="E253" s="61" t="s">
        <v>364</v>
      </c>
      <c r="F253" s="177"/>
      <c r="G253" s="177"/>
      <c r="H253" s="177"/>
      <c r="J253" s="258">
        <v>44197</v>
      </c>
      <c r="K253" s="65" t="str">
        <f t="shared" si="90"/>
        <v>SI</v>
      </c>
      <c r="L253" s="139">
        <f t="shared" si="77"/>
        <v>87570704.730000004</v>
      </c>
      <c r="M253" s="67">
        <v>87570704.730000004</v>
      </c>
      <c r="N253" s="67">
        <v>87570704.730000004</v>
      </c>
      <c r="O253" s="139">
        <f t="shared" si="78"/>
        <v>87570704.730000004</v>
      </c>
      <c r="P253" s="72">
        <v>15921000</v>
      </c>
      <c r="Q253" s="73" t="s">
        <v>27</v>
      </c>
      <c r="R253" s="67">
        <v>0</v>
      </c>
      <c r="S253" s="67">
        <v>0</v>
      </c>
      <c r="T253" s="139">
        <f t="shared" si="79"/>
        <v>0</v>
      </c>
      <c r="U253" s="38">
        <f t="shared" si="80"/>
        <v>87570704.730000004</v>
      </c>
      <c r="V253" s="179">
        <v>25</v>
      </c>
      <c r="W253" s="116">
        <f t="shared" si="83"/>
        <v>12</v>
      </c>
      <c r="X253" s="116">
        <f t="shared" si="84"/>
        <v>288</v>
      </c>
      <c r="Y253" s="38">
        <f t="shared" si="85"/>
        <v>291902.34909999999</v>
      </c>
      <c r="Z253" s="38">
        <f t="shared" si="86"/>
        <v>3502828.1891999999</v>
      </c>
      <c r="AA253" s="38">
        <f t="shared" si="87"/>
        <v>87570705</v>
      </c>
      <c r="AB253" s="38">
        <f t="shared" si="88"/>
        <v>3502828</v>
      </c>
      <c r="AC253" s="38">
        <f t="shared" si="89"/>
        <v>84067877</v>
      </c>
      <c r="AD253" s="67"/>
      <c r="AE253" s="73"/>
      <c r="AF253" s="73"/>
      <c r="AG253" s="73">
        <f>AB253-'P, Pl y Eq 2020'!AB250</f>
        <v>3502828</v>
      </c>
      <c r="AH253" s="73"/>
    </row>
    <row r="254" spans="1:36" s="72" customFormat="1">
      <c r="A254" s="72">
        <v>15200000</v>
      </c>
      <c r="B254" s="73" t="s">
        <v>20</v>
      </c>
      <c r="C254" s="68" t="s">
        <v>995</v>
      </c>
      <c r="D254" s="67">
        <v>1</v>
      </c>
      <c r="E254" s="61" t="s">
        <v>364</v>
      </c>
      <c r="F254" s="177"/>
      <c r="G254" s="177"/>
      <c r="H254" s="177"/>
      <c r="J254" s="258">
        <v>44197</v>
      </c>
      <c r="K254" s="65" t="str">
        <f t="shared" si="90"/>
        <v>SI</v>
      </c>
      <c r="L254" s="139">
        <f t="shared" si="77"/>
        <v>166867688</v>
      </c>
      <c r="M254" s="67">
        <v>166867688</v>
      </c>
      <c r="N254" s="67">
        <v>166867688</v>
      </c>
      <c r="O254" s="139">
        <f t="shared" si="78"/>
        <v>166867688</v>
      </c>
      <c r="P254" s="72">
        <v>15921000</v>
      </c>
      <c r="Q254" s="73" t="s">
        <v>27</v>
      </c>
      <c r="R254" s="67">
        <v>0</v>
      </c>
      <c r="S254" s="67">
        <v>0</v>
      </c>
      <c r="T254" s="139">
        <f t="shared" si="79"/>
        <v>0</v>
      </c>
      <c r="U254" s="38">
        <f t="shared" si="80"/>
        <v>166867688</v>
      </c>
      <c r="V254" s="179">
        <v>25</v>
      </c>
      <c r="W254" s="116">
        <f t="shared" si="83"/>
        <v>12</v>
      </c>
      <c r="X254" s="116">
        <f t="shared" si="84"/>
        <v>288</v>
      </c>
      <c r="Y254" s="38">
        <f t="shared" si="85"/>
        <v>556225.62666666671</v>
      </c>
      <c r="Z254" s="38">
        <f t="shared" si="86"/>
        <v>6674707.5200000005</v>
      </c>
      <c r="AA254" s="38">
        <f t="shared" si="87"/>
        <v>166867688</v>
      </c>
      <c r="AB254" s="38">
        <f t="shared" si="88"/>
        <v>6674708</v>
      </c>
      <c r="AC254" s="38">
        <f t="shared" si="89"/>
        <v>160192980</v>
      </c>
      <c r="AD254" s="67"/>
      <c r="AE254" s="73"/>
      <c r="AF254" s="73"/>
      <c r="AG254" s="73">
        <f>AB254-'P, Pl y Eq 2020'!AB251</f>
        <v>6674708</v>
      </c>
      <c r="AH254" s="73"/>
    </row>
    <row r="255" spans="1:36" s="72" customFormat="1">
      <c r="A255" s="72">
        <v>15200000</v>
      </c>
      <c r="B255" s="73" t="s">
        <v>20</v>
      </c>
      <c r="C255" s="68" t="s">
        <v>995</v>
      </c>
      <c r="D255" s="67">
        <v>1</v>
      </c>
      <c r="E255" s="61" t="s">
        <v>364</v>
      </c>
      <c r="F255" s="177"/>
      <c r="G255" s="177"/>
      <c r="H255" s="177"/>
      <c r="J255" s="258">
        <v>44197</v>
      </c>
      <c r="K255" s="65" t="str">
        <f t="shared" si="90"/>
        <v>SI</v>
      </c>
      <c r="L255" s="139">
        <f t="shared" si="77"/>
        <v>17661980</v>
      </c>
      <c r="M255" s="67">
        <v>17661980</v>
      </c>
      <c r="N255" s="67">
        <v>17661980</v>
      </c>
      <c r="O255" s="139">
        <f t="shared" si="78"/>
        <v>17661980</v>
      </c>
      <c r="P255" s="72">
        <v>15921000</v>
      </c>
      <c r="Q255" s="73" t="s">
        <v>27</v>
      </c>
      <c r="R255" s="67">
        <v>0</v>
      </c>
      <c r="S255" s="67">
        <v>0</v>
      </c>
      <c r="T255" s="139">
        <f t="shared" si="79"/>
        <v>0</v>
      </c>
      <c r="U255" s="38">
        <f t="shared" si="80"/>
        <v>17661980</v>
      </c>
      <c r="V255" s="179">
        <v>10</v>
      </c>
      <c r="W255" s="116">
        <f t="shared" si="83"/>
        <v>12</v>
      </c>
      <c r="X255" s="116">
        <f t="shared" si="84"/>
        <v>108</v>
      </c>
      <c r="Y255" s="38">
        <f t="shared" si="85"/>
        <v>147183.16666666666</v>
      </c>
      <c r="Z255" s="38">
        <f t="shared" si="86"/>
        <v>1766198</v>
      </c>
      <c r="AA255" s="38">
        <f t="shared" si="87"/>
        <v>17661980</v>
      </c>
      <c r="AB255" s="38">
        <f t="shared" si="88"/>
        <v>1766198</v>
      </c>
      <c r="AC255" s="38">
        <f t="shared" si="89"/>
        <v>15895782</v>
      </c>
      <c r="AD255" s="67"/>
      <c r="AE255" s="73"/>
      <c r="AF255" s="73"/>
      <c r="AG255" s="73">
        <f>AB255-'P, Pl y Eq 2020'!AB252</f>
        <v>1766198</v>
      </c>
      <c r="AH255" s="73"/>
    </row>
    <row r="256" spans="1:36" s="72" customFormat="1">
      <c r="A256" s="72">
        <v>15200000</v>
      </c>
      <c r="B256" s="73" t="s">
        <v>20</v>
      </c>
      <c r="C256" s="68" t="s">
        <v>995</v>
      </c>
      <c r="D256" s="67">
        <v>1</v>
      </c>
      <c r="E256" s="61" t="s">
        <v>364</v>
      </c>
      <c r="F256" s="177"/>
      <c r="G256" s="177"/>
      <c r="H256" s="177"/>
      <c r="J256" s="258">
        <v>44197</v>
      </c>
      <c r="K256" s="65" t="str">
        <f t="shared" si="90"/>
        <v>SI</v>
      </c>
      <c r="L256" s="139">
        <f t="shared" si="77"/>
        <v>44738050</v>
      </c>
      <c r="M256" s="67">
        <v>44738050</v>
      </c>
      <c r="N256" s="67">
        <v>44738050</v>
      </c>
      <c r="O256" s="139">
        <f t="shared" si="78"/>
        <v>44738050</v>
      </c>
      <c r="P256" s="72">
        <v>15921000</v>
      </c>
      <c r="Q256" s="73" t="s">
        <v>27</v>
      </c>
      <c r="R256" s="67">
        <v>0</v>
      </c>
      <c r="S256" s="67">
        <v>0</v>
      </c>
      <c r="T256" s="139">
        <f t="shared" si="79"/>
        <v>0</v>
      </c>
      <c r="U256" s="38">
        <f t="shared" si="80"/>
        <v>44738050</v>
      </c>
      <c r="V256" s="179">
        <v>10</v>
      </c>
      <c r="W256" s="116">
        <f t="shared" si="83"/>
        <v>12</v>
      </c>
      <c r="X256" s="116">
        <f t="shared" si="84"/>
        <v>108</v>
      </c>
      <c r="Y256" s="38">
        <f t="shared" si="85"/>
        <v>372817.08333333331</v>
      </c>
      <c r="Z256" s="38">
        <f t="shared" si="86"/>
        <v>4473805</v>
      </c>
      <c r="AA256" s="38">
        <f t="shared" si="87"/>
        <v>44738050</v>
      </c>
      <c r="AB256" s="38">
        <f t="shared" si="88"/>
        <v>4473805</v>
      </c>
      <c r="AC256" s="38">
        <f t="shared" si="89"/>
        <v>40264245</v>
      </c>
      <c r="AD256" s="67"/>
      <c r="AE256" s="73"/>
      <c r="AF256" s="73"/>
      <c r="AG256" s="73">
        <f>AB256-'P, Pl y Eq 2020'!AB253</f>
        <v>4473805</v>
      </c>
      <c r="AH256" s="73"/>
    </row>
    <row r="257" spans="1:34" s="72" customFormat="1">
      <c r="A257" s="72">
        <v>15200000</v>
      </c>
      <c r="B257" s="73" t="s">
        <v>20</v>
      </c>
      <c r="C257" s="68" t="s">
        <v>995</v>
      </c>
      <c r="D257" s="67">
        <v>1</v>
      </c>
      <c r="E257" s="61" t="s">
        <v>364</v>
      </c>
      <c r="F257" s="177"/>
      <c r="G257" s="177"/>
      <c r="H257" s="177"/>
      <c r="J257" s="258">
        <v>44197</v>
      </c>
      <c r="K257" s="65" t="str">
        <f t="shared" si="90"/>
        <v>SI</v>
      </c>
      <c r="L257" s="139">
        <f t="shared" si="77"/>
        <v>41196610</v>
      </c>
      <c r="M257" s="67">
        <v>41196610</v>
      </c>
      <c r="N257" s="67">
        <v>41196610</v>
      </c>
      <c r="O257" s="139">
        <f t="shared" si="78"/>
        <v>41196610</v>
      </c>
      <c r="P257" s="72">
        <v>15921000</v>
      </c>
      <c r="Q257" s="73" t="s">
        <v>27</v>
      </c>
      <c r="R257" s="67">
        <v>0</v>
      </c>
      <c r="S257" s="67">
        <v>0</v>
      </c>
      <c r="T257" s="139">
        <f t="shared" si="79"/>
        <v>0</v>
      </c>
      <c r="U257" s="38">
        <f t="shared" si="80"/>
        <v>41196610</v>
      </c>
      <c r="V257" s="179">
        <v>10</v>
      </c>
      <c r="W257" s="116">
        <f t="shared" si="83"/>
        <v>12</v>
      </c>
      <c r="X257" s="116">
        <f t="shared" si="84"/>
        <v>108</v>
      </c>
      <c r="Y257" s="38">
        <f t="shared" si="85"/>
        <v>343305.08333333331</v>
      </c>
      <c r="Z257" s="38">
        <f t="shared" si="86"/>
        <v>4119661</v>
      </c>
      <c r="AA257" s="38">
        <f t="shared" si="87"/>
        <v>41196610</v>
      </c>
      <c r="AB257" s="38">
        <f t="shared" si="88"/>
        <v>4119661</v>
      </c>
      <c r="AC257" s="38">
        <f t="shared" si="89"/>
        <v>37076949</v>
      </c>
      <c r="AD257" s="67"/>
      <c r="AE257" s="73"/>
      <c r="AF257" s="73"/>
      <c r="AG257" s="73">
        <f>AB257-'P, Pl y Eq 2020'!AB254</f>
        <v>4119661</v>
      </c>
      <c r="AH257" s="73"/>
    </row>
    <row r="258" spans="1:34" s="72" customFormat="1">
      <c r="A258" s="72">
        <v>15200000</v>
      </c>
      <c r="B258" s="73" t="s">
        <v>20</v>
      </c>
      <c r="C258" s="68" t="s">
        <v>995</v>
      </c>
      <c r="D258" s="67">
        <v>1</v>
      </c>
      <c r="E258" s="185" t="s">
        <v>364</v>
      </c>
      <c r="F258" s="177"/>
      <c r="G258" s="177"/>
      <c r="H258" s="177"/>
      <c r="J258" s="258">
        <v>44197</v>
      </c>
      <c r="K258" s="182" t="str">
        <f t="shared" si="90"/>
        <v>SI</v>
      </c>
      <c r="L258" s="186">
        <f t="shared" si="77"/>
        <v>38617880</v>
      </c>
      <c r="M258" s="67">
        <v>38617880</v>
      </c>
      <c r="N258" s="67">
        <v>38617880</v>
      </c>
      <c r="O258" s="186">
        <f t="shared" si="78"/>
        <v>38617880</v>
      </c>
      <c r="P258" s="72">
        <v>15921000</v>
      </c>
      <c r="Q258" s="73" t="s">
        <v>27</v>
      </c>
      <c r="R258" s="67">
        <v>0</v>
      </c>
      <c r="S258" s="67">
        <v>0</v>
      </c>
      <c r="T258" s="186">
        <f t="shared" si="79"/>
        <v>0</v>
      </c>
      <c r="U258" s="120">
        <f t="shared" si="80"/>
        <v>38617880</v>
      </c>
      <c r="V258" s="179">
        <v>10</v>
      </c>
      <c r="W258" s="116">
        <f t="shared" si="83"/>
        <v>12</v>
      </c>
      <c r="X258" s="116">
        <f t="shared" si="84"/>
        <v>108</v>
      </c>
      <c r="Y258" s="38">
        <f t="shared" si="85"/>
        <v>321815.66666666669</v>
      </c>
      <c r="Z258" s="38">
        <f t="shared" si="86"/>
        <v>3861788</v>
      </c>
      <c r="AA258" s="38">
        <f t="shared" si="87"/>
        <v>38617880</v>
      </c>
      <c r="AB258" s="38">
        <f t="shared" si="88"/>
        <v>3861788</v>
      </c>
      <c r="AC258" s="38">
        <f t="shared" si="89"/>
        <v>34756092</v>
      </c>
      <c r="AD258" s="67"/>
      <c r="AE258" s="73"/>
      <c r="AF258" s="73"/>
      <c r="AG258" s="73">
        <f>AB258-'P, Pl y Eq 2020'!AB255</f>
        <v>3861788</v>
      </c>
      <c r="AH258" s="73"/>
    </row>
    <row r="259" spans="1:34" s="72" customFormat="1">
      <c r="A259" s="150">
        <v>15200000</v>
      </c>
      <c r="B259" s="151" t="s">
        <v>20</v>
      </c>
      <c r="C259" s="68" t="s">
        <v>995</v>
      </c>
      <c r="D259" s="202">
        <v>1</v>
      </c>
      <c r="E259" s="188" t="s">
        <v>364</v>
      </c>
      <c r="F259" s="203"/>
      <c r="G259" s="203"/>
      <c r="H259" s="203"/>
      <c r="I259" s="155"/>
      <c r="J259" s="360">
        <v>44197</v>
      </c>
      <c r="K259" s="211" t="str">
        <f t="shared" si="90"/>
        <v>SI</v>
      </c>
      <c r="L259" s="189">
        <f t="shared" si="77"/>
        <v>60339659.079999998</v>
      </c>
      <c r="M259" s="202">
        <v>60339659.079999998</v>
      </c>
      <c r="N259" s="202">
        <v>60339659.079999998</v>
      </c>
      <c r="O259" s="189">
        <f t="shared" si="78"/>
        <v>60339659.079999998</v>
      </c>
      <c r="P259" s="155">
        <v>15921000</v>
      </c>
      <c r="Q259" s="151" t="s">
        <v>27</v>
      </c>
      <c r="R259" s="202">
        <v>0</v>
      </c>
      <c r="S259" s="202">
        <v>0</v>
      </c>
      <c r="T259" s="189">
        <f t="shared" si="79"/>
        <v>0</v>
      </c>
      <c r="U259" s="354">
        <f t="shared" si="80"/>
        <v>60339659.079999998</v>
      </c>
      <c r="V259" s="179">
        <v>10</v>
      </c>
      <c r="W259" s="116">
        <f t="shared" si="83"/>
        <v>12</v>
      </c>
      <c r="X259" s="116">
        <f t="shared" si="84"/>
        <v>108</v>
      </c>
      <c r="Y259" s="38">
        <f t="shared" si="85"/>
        <v>502830.4923333333</v>
      </c>
      <c r="Z259" s="38">
        <f t="shared" si="86"/>
        <v>6033965.9079999998</v>
      </c>
      <c r="AA259" s="38">
        <f t="shared" si="87"/>
        <v>60339659</v>
      </c>
      <c r="AB259" s="38">
        <f t="shared" si="88"/>
        <v>6033966</v>
      </c>
      <c r="AC259" s="38">
        <f t="shared" si="89"/>
        <v>54305693</v>
      </c>
      <c r="AD259" s="67"/>
      <c r="AE259" s="73"/>
      <c r="AF259" s="73"/>
      <c r="AG259" s="73">
        <f>AB259-'P, Pl y Eq 2020'!AB256</f>
        <v>6033966</v>
      </c>
      <c r="AH259" s="73"/>
    </row>
    <row r="260" spans="1:34" s="72" customFormat="1">
      <c r="A260" s="157">
        <v>15200000</v>
      </c>
      <c r="B260" s="158" t="s">
        <v>20</v>
      </c>
      <c r="C260" s="358" t="s">
        <v>995</v>
      </c>
      <c r="D260" s="208">
        <v>1</v>
      </c>
      <c r="E260" s="192" t="s">
        <v>364</v>
      </c>
      <c r="F260" s="209"/>
      <c r="G260" s="209"/>
      <c r="H260" s="209"/>
      <c r="I260" s="162"/>
      <c r="J260" s="359">
        <v>44197</v>
      </c>
      <c r="K260" s="214" t="str">
        <f>IF(L260&gt;($M$27*50),"SI","NO")</f>
        <v>SI</v>
      </c>
      <c r="L260" s="193">
        <f t="shared" ref="L260:L285" si="91">M260/D260</f>
        <v>2445688</v>
      </c>
      <c r="M260" s="208">
        <v>2445688</v>
      </c>
      <c r="N260" s="208">
        <v>2445688</v>
      </c>
      <c r="O260" s="193">
        <f t="shared" ref="O260:O285" si="92">IF(K260="SI",N260,0)</f>
        <v>2445688</v>
      </c>
      <c r="P260" s="162">
        <v>15921000</v>
      </c>
      <c r="Q260" s="158" t="s">
        <v>27</v>
      </c>
      <c r="R260" s="208">
        <v>0</v>
      </c>
      <c r="S260" s="208">
        <v>0</v>
      </c>
      <c r="T260" s="193">
        <f t="shared" ref="T260:T285" si="93">IF(O260&gt;0,S260,0)</f>
        <v>0</v>
      </c>
      <c r="U260" s="132">
        <f t="shared" si="80"/>
        <v>2445688</v>
      </c>
      <c r="V260" s="350">
        <v>10</v>
      </c>
      <c r="W260" s="116">
        <f t="shared" ref="W260:W285" si="94">IF(ROUND(($W$27-J260)/30,0)&gt;(V260*12),(V260*12),(ROUND(($W$27-J260)/30,0)))</f>
        <v>12</v>
      </c>
      <c r="X260" s="116">
        <f t="shared" ref="X260:X285" si="95">(V260*12)-W260</f>
        <v>108</v>
      </c>
      <c r="Y260" s="38">
        <f t="shared" ref="Y260:Y285" si="96">N260/(V260*12)</f>
        <v>20380.733333333334</v>
      </c>
      <c r="Z260" s="38">
        <f t="shared" ref="Z260:Z285" si="97">IF(U260&gt;0,W260*Y260,0)</f>
        <v>244568.8</v>
      </c>
      <c r="AA260" s="38">
        <f t="shared" ref="AA260:AA285" si="98">ROUND(IF(U260&gt;0,N260,0),0)</f>
        <v>2445688</v>
      </c>
      <c r="AB260" s="38">
        <f t="shared" ref="AB260:AB285" si="99">ROUND(IF(U260&gt;0,Z260,0),0)</f>
        <v>244569</v>
      </c>
      <c r="AC260" s="38">
        <f t="shared" ref="AC260:AC285" si="100">AA260-AB260</f>
        <v>2201119</v>
      </c>
      <c r="AD260" s="73"/>
      <c r="AF260" s="148"/>
      <c r="AG260" s="73">
        <f>AB260</f>
        <v>244569</v>
      </c>
      <c r="AH260" s="73">
        <f t="shared" ref="AH260:AH285" si="101">O260</f>
        <v>2445688</v>
      </c>
    </row>
    <row r="261" spans="1:34" s="72" customFormat="1">
      <c r="A261" s="72">
        <v>15200000</v>
      </c>
      <c r="B261" s="73" t="s">
        <v>20</v>
      </c>
      <c r="C261" s="348" t="s">
        <v>995</v>
      </c>
      <c r="D261" s="67">
        <v>1</v>
      </c>
      <c r="E261" s="361" t="s">
        <v>364</v>
      </c>
      <c r="F261" s="177"/>
      <c r="G261" s="177"/>
      <c r="H261" s="177"/>
      <c r="J261" s="349">
        <v>44287</v>
      </c>
      <c r="K261" s="362" t="str">
        <f t="shared" ref="K261:K290" si="102">IF(L261&gt;($M$27*50),"SI","NO")</f>
        <v>SI</v>
      </c>
      <c r="L261" s="363">
        <f t="shared" si="91"/>
        <v>5789350</v>
      </c>
      <c r="M261" s="67">
        <v>5789350</v>
      </c>
      <c r="N261" s="67">
        <v>5789350</v>
      </c>
      <c r="O261" s="363">
        <f t="shared" si="92"/>
        <v>5789350</v>
      </c>
      <c r="P261" s="72">
        <v>15921000</v>
      </c>
      <c r="Q261" s="73" t="s">
        <v>27</v>
      </c>
      <c r="R261" s="67">
        <v>0</v>
      </c>
      <c r="S261" s="67">
        <v>0</v>
      </c>
      <c r="T261" s="363">
        <f t="shared" si="93"/>
        <v>0</v>
      </c>
      <c r="U261" s="364">
        <f t="shared" si="80"/>
        <v>5789350</v>
      </c>
      <c r="V261" s="350">
        <v>10</v>
      </c>
      <c r="W261" s="116">
        <f t="shared" si="94"/>
        <v>9</v>
      </c>
      <c r="X261" s="116">
        <f t="shared" si="95"/>
        <v>111</v>
      </c>
      <c r="Y261" s="38">
        <f t="shared" si="96"/>
        <v>48244.583333333336</v>
      </c>
      <c r="Z261" s="38">
        <f t="shared" si="97"/>
        <v>434201.25</v>
      </c>
      <c r="AA261" s="38">
        <f t="shared" si="98"/>
        <v>5789350</v>
      </c>
      <c r="AB261" s="38">
        <f t="shared" si="99"/>
        <v>434201</v>
      </c>
      <c r="AC261" s="38">
        <f t="shared" si="100"/>
        <v>5355149</v>
      </c>
      <c r="AD261" s="73"/>
      <c r="AE261" s="73"/>
      <c r="AF261" s="148"/>
      <c r="AG261" s="73">
        <f t="shared" ref="AG261:AG290" si="103">AB261</f>
        <v>434201</v>
      </c>
      <c r="AH261" s="73">
        <f t="shared" si="101"/>
        <v>5789350</v>
      </c>
    </row>
    <row r="262" spans="1:34" s="72" customFormat="1">
      <c r="A262" s="150">
        <v>15200000</v>
      </c>
      <c r="B262" s="151" t="s">
        <v>20</v>
      </c>
      <c r="C262" s="352" t="s">
        <v>995</v>
      </c>
      <c r="D262" s="202">
        <v>1</v>
      </c>
      <c r="E262" s="188" t="s">
        <v>364</v>
      </c>
      <c r="F262" s="203"/>
      <c r="G262" s="203"/>
      <c r="H262" s="203"/>
      <c r="I262" s="155"/>
      <c r="J262" s="353">
        <v>44348</v>
      </c>
      <c r="K262" s="211" t="str">
        <f t="shared" si="102"/>
        <v>SI</v>
      </c>
      <c r="L262" s="189">
        <f t="shared" si="91"/>
        <v>26180000</v>
      </c>
      <c r="M262" s="202">
        <v>26180000</v>
      </c>
      <c r="N262" s="202">
        <v>26180000</v>
      </c>
      <c r="O262" s="189">
        <f t="shared" si="92"/>
        <v>26180000</v>
      </c>
      <c r="P262" s="155">
        <v>15921000</v>
      </c>
      <c r="Q262" s="151" t="s">
        <v>27</v>
      </c>
      <c r="R262" s="202">
        <v>0</v>
      </c>
      <c r="S262" s="202">
        <v>0</v>
      </c>
      <c r="T262" s="189">
        <f t="shared" si="93"/>
        <v>0</v>
      </c>
      <c r="U262" s="354">
        <f t="shared" si="80"/>
        <v>26180000</v>
      </c>
      <c r="V262" s="350">
        <v>20</v>
      </c>
      <c r="W262" s="116">
        <f t="shared" si="94"/>
        <v>7</v>
      </c>
      <c r="X262" s="116">
        <f t="shared" si="95"/>
        <v>233</v>
      </c>
      <c r="Y262" s="38">
        <f t="shared" si="96"/>
        <v>109083.33333333333</v>
      </c>
      <c r="Z262" s="38">
        <f t="shared" si="97"/>
        <v>763583.33333333326</v>
      </c>
      <c r="AA262" s="38">
        <f t="shared" si="98"/>
        <v>26180000</v>
      </c>
      <c r="AB262" s="38">
        <f t="shared" si="99"/>
        <v>763583</v>
      </c>
      <c r="AC262" s="38">
        <f t="shared" si="100"/>
        <v>25416417</v>
      </c>
      <c r="AD262" s="73"/>
      <c r="AE262" s="73"/>
      <c r="AF262" s="148"/>
      <c r="AG262" s="73">
        <f t="shared" si="103"/>
        <v>763583</v>
      </c>
      <c r="AH262" s="73">
        <f t="shared" si="101"/>
        <v>26180000</v>
      </c>
    </row>
    <row r="263" spans="1:34" s="72" customFormat="1">
      <c r="A263" s="355">
        <v>15200000</v>
      </c>
      <c r="B263" s="213" t="s">
        <v>20</v>
      </c>
      <c r="C263" s="356" t="s">
        <v>995</v>
      </c>
      <c r="D263" s="205">
        <v>1</v>
      </c>
      <c r="E263" s="61" t="s">
        <v>364</v>
      </c>
      <c r="F263" s="207"/>
      <c r="G263" s="207"/>
      <c r="H263" s="207"/>
      <c r="I263" s="212"/>
      <c r="J263" s="349">
        <v>44348</v>
      </c>
      <c r="K263" s="65" t="str">
        <f t="shared" ref="K263:K277" si="104">IF(L263&gt;($M$27*50),"SI","NO")</f>
        <v>SI</v>
      </c>
      <c r="L263" s="139">
        <f t="shared" ref="L263:L277" si="105">M263/D263</f>
        <v>5355000</v>
      </c>
      <c r="M263" s="205">
        <v>5355000</v>
      </c>
      <c r="N263" s="205">
        <v>5355000</v>
      </c>
      <c r="O263" s="139">
        <f t="shared" ref="O263:O277" si="106">IF(K263="SI",N263,0)</f>
        <v>5355000</v>
      </c>
      <c r="P263" s="212">
        <v>15921000</v>
      </c>
      <c r="Q263" s="213" t="s">
        <v>27</v>
      </c>
      <c r="R263" s="205">
        <v>0</v>
      </c>
      <c r="S263" s="205">
        <v>0</v>
      </c>
      <c r="T263" s="139">
        <f t="shared" ref="T263:T277" si="107">IF(O263&gt;0,S263,0)</f>
        <v>0</v>
      </c>
      <c r="U263" s="357">
        <f t="shared" ref="U263:U277" si="108">IF(O263&gt;0,N263-S263,0)</f>
        <v>5355000</v>
      </c>
      <c r="V263" s="350">
        <v>20</v>
      </c>
      <c r="W263" s="116">
        <f t="shared" ref="W263:W277" si="109">IF(ROUND(($W$27-J263)/30,0)&gt;(V263*12),(V263*12),(ROUND(($W$27-J263)/30,0)))</f>
        <v>7</v>
      </c>
      <c r="X263" s="116">
        <f t="shared" ref="X263:X277" si="110">(V263*12)-W263</f>
        <v>233</v>
      </c>
      <c r="Y263" s="38">
        <f t="shared" ref="Y263:Y277" si="111">N263/(V263*12)</f>
        <v>22312.5</v>
      </c>
      <c r="Z263" s="38">
        <f t="shared" ref="Z263:Z277" si="112">IF(U263&gt;0,W263*Y263,0)</f>
        <v>156187.5</v>
      </c>
      <c r="AA263" s="38">
        <f t="shared" ref="AA263:AA277" si="113">ROUND(IF(U263&gt;0,N263,0),0)</f>
        <v>5355000</v>
      </c>
      <c r="AB263" s="38">
        <f t="shared" ref="AB263:AB277" si="114">ROUND(IF(U263&gt;0,Z263,0),0)</f>
        <v>156188</v>
      </c>
      <c r="AC263" s="38">
        <f t="shared" ref="AC263:AC277" si="115">AA263-AB263</f>
        <v>5198812</v>
      </c>
      <c r="AD263" s="73"/>
      <c r="AE263" s="73"/>
      <c r="AF263" s="148"/>
      <c r="AG263" s="73">
        <f t="shared" si="103"/>
        <v>156188</v>
      </c>
      <c r="AH263" s="73">
        <f t="shared" si="101"/>
        <v>5355000</v>
      </c>
    </row>
    <row r="264" spans="1:34" s="72" customFormat="1">
      <c r="A264" s="355">
        <v>15200000</v>
      </c>
      <c r="B264" s="213" t="s">
        <v>20</v>
      </c>
      <c r="C264" s="356" t="s">
        <v>995</v>
      </c>
      <c r="D264" s="205">
        <v>1</v>
      </c>
      <c r="E264" s="61" t="s">
        <v>364</v>
      </c>
      <c r="F264" s="207"/>
      <c r="G264" s="207"/>
      <c r="H264" s="207"/>
      <c r="I264" s="212"/>
      <c r="J264" s="349">
        <v>44348</v>
      </c>
      <c r="K264" s="65" t="str">
        <f t="shared" si="104"/>
        <v>SI</v>
      </c>
      <c r="L264" s="139">
        <f t="shared" si="105"/>
        <v>5975208</v>
      </c>
      <c r="M264" s="205">
        <v>5975208</v>
      </c>
      <c r="N264" s="205">
        <v>5975208</v>
      </c>
      <c r="O264" s="139">
        <f t="shared" si="106"/>
        <v>5975208</v>
      </c>
      <c r="P264" s="212">
        <v>15921000</v>
      </c>
      <c r="Q264" s="213" t="s">
        <v>27</v>
      </c>
      <c r="R264" s="205">
        <v>0</v>
      </c>
      <c r="S264" s="205">
        <v>0</v>
      </c>
      <c r="T264" s="139">
        <f t="shared" si="107"/>
        <v>0</v>
      </c>
      <c r="U264" s="357">
        <f t="shared" si="108"/>
        <v>5975208</v>
      </c>
      <c r="V264" s="350">
        <v>20</v>
      </c>
      <c r="W264" s="116">
        <f t="shared" si="109"/>
        <v>7</v>
      </c>
      <c r="X264" s="116">
        <f t="shared" si="110"/>
        <v>233</v>
      </c>
      <c r="Y264" s="38">
        <f t="shared" si="111"/>
        <v>24896.7</v>
      </c>
      <c r="Z264" s="38">
        <f t="shared" si="112"/>
        <v>174276.9</v>
      </c>
      <c r="AA264" s="38">
        <f t="shared" si="113"/>
        <v>5975208</v>
      </c>
      <c r="AB264" s="38">
        <f t="shared" si="114"/>
        <v>174277</v>
      </c>
      <c r="AC264" s="38">
        <f t="shared" si="115"/>
        <v>5800931</v>
      </c>
      <c r="AD264" s="73"/>
      <c r="AE264" s="73"/>
      <c r="AF264" s="148"/>
      <c r="AG264" s="73">
        <f t="shared" si="103"/>
        <v>174277</v>
      </c>
      <c r="AH264" s="73">
        <f t="shared" si="101"/>
        <v>5975208</v>
      </c>
    </row>
    <row r="265" spans="1:34" s="72" customFormat="1">
      <c r="A265" s="157">
        <v>15200000</v>
      </c>
      <c r="B265" s="158" t="s">
        <v>20</v>
      </c>
      <c r="C265" s="358" t="s">
        <v>995</v>
      </c>
      <c r="D265" s="208">
        <v>1</v>
      </c>
      <c r="E265" s="192" t="s">
        <v>364</v>
      </c>
      <c r="F265" s="209"/>
      <c r="G265" s="209"/>
      <c r="H265" s="209"/>
      <c r="I265" s="162"/>
      <c r="J265" s="359">
        <v>44348</v>
      </c>
      <c r="K265" s="214" t="str">
        <f t="shared" si="104"/>
        <v>SI</v>
      </c>
      <c r="L265" s="193">
        <f t="shared" si="105"/>
        <v>19628574</v>
      </c>
      <c r="M265" s="208">
        <v>19628574</v>
      </c>
      <c r="N265" s="208">
        <v>19628574</v>
      </c>
      <c r="O265" s="193">
        <f t="shared" si="106"/>
        <v>19628574</v>
      </c>
      <c r="P265" s="162">
        <v>15921000</v>
      </c>
      <c r="Q265" s="158" t="s">
        <v>27</v>
      </c>
      <c r="R265" s="208">
        <v>0</v>
      </c>
      <c r="S265" s="208">
        <v>0</v>
      </c>
      <c r="T265" s="193">
        <f t="shared" si="107"/>
        <v>0</v>
      </c>
      <c r="U265" s="132">
        <f t="shared" si="108"/>
        <v>19628574</v>
      </c>
      <c r="V265" s="350">
        <v>20</v>
      </c>
      <c r="W265" s="116">
        <f t="shared" si="109"/>
        <v>7</v>
      </c>
      <c r="X265" s="116">
        <f t="shared" si="110"/>
        <v>233</v>
      </c>
      <c r="Y265" s="38">
        <f t="shared" si="111"/>
        <v>81785.725000000006</v>
      </c>
      <c r="Z265" s="38">
        <f t="shared" si="112"/>
        <v>572500.07500000007</v>
      </c>
      <c r="AA265" s="38">
        <f t="shared" si="113"/>
        <v>19628574</v>
      </c>
      <c r="AB265" s="38">
        <f t="shared" si="114"/>
        <v>572500</v>
      </c>
      <c r="AC265" s="38">
        <f t="shared" si="115"/>
        <v>19056074</v>
      </c>
      <c r="AD265" s="73"/>
      <c r="AE265" s="73"/>
      <c r="AF265" s="148"/>
      <c r="AG265" s="73">
        <f t="shared" si="103"/>
        <v>572500</v>
      </c>
      <c r="AH265" s="73">
        <f t="shared" si="101"/>
        <v>19628574</v>
      </c>
    </row>
    <row r="266" spans="1:34" s="72" customFormat="1">
      <c r="A266" s="72">
        <v>15200000</v>
      </c>
      <c r="B266" s="73" t="s">
        <v>20</v>
      </c>
      <c r="C266" s="348" t="s">
        <v>995</v>
      </c>
      <c r="D266" s="67">
        <v>1</v>
      </c>
      <c r="E266" s="61" t="s">
        <v>364</v>
      </c>
      <c r="F266" s="177"/>
      <c r="G266" s="177"/>
      <c r="H266" s="177"/>
      <c r="I266" s="212"/>
      <c r="J266" s="349">
        <v>44378</v>
      </c>
      <c r="K266" s="65" t="str">
        <f t="shared" si="104"/>
        <v>SI</v>
      </c>
      <c r="L266" s="139">
        <f t="shared" si="105"/>
        <v>19628574</v>
      </c>
      <c r="M266" s="67">
        <v>19628574</v>
      </c>
      <c r="N266" s="67">
        <v>19628574</v>
      </c>
      <c r="O266" s="139">
        <f t="shared" si="106"/>
        <v>19628574</v>
      </c>
      <c r="P266" s="72">
        <v>15921000</v>
      </c>
      <c r="Q266" s="73" t="s">
        <v>27</v>
      </c>
      <c r="R266" s="67">
        <v>0</v>
      </c>
      <c r="S266" s="67">
        <v>0</v>
      </c>
      <c r="T266" s="139">
        <f t="shared" si="107"/>
        <v>0</v>
      </c>
      <c r="U266" s="38">
        <f t="shared" si="108"/>
        <v>19628574</v>
      </c>
      <c r="V266" s="350">
        <v>25</v>
      </c>
      <c r="W266" s="116">
        <f t="shared" si="109"/>
        <v>6</v>
      </c>
      <c r="X266" s="116">
        <f t="shared" si="110"/>
        <v>294</v>
      </c>
      <c r="Y266" s="38">
        <f t="shared" si="111"/>
        <v>65428.58</v>
      </c>
      <c r="Z266" s="38">
        <f t="shared" si="112"/>
        <v>392571.48</v>
      </c>
      <c r="AA266" s="38">
        <f t="shared" si="113"/>
        <v>19628574</v>
      </c>
      <c r="AB266" s="38">
        <f t="shared" si="114"/>
        <v>392571</v>
      </c>
      <c r="AC266" s="38">
        <f t="shared" si="115"/>
        <v>19236003</v>
      </c>
      <c r="AD266" s="73"/>
      <c r="AE266" s="73"/>
      <c r="AF266" s="148"/>
      <c r="AG266" s="73">
        <f t="shared" si="103"/>
        <v>392571</v>
      </c>
      <c r="AH266" s="73">
        <f t="shared" si="101"/>
        <v>19628574</v>
      </c>
    </row>
    <row r="267" spans="1:34" s="72" customFormat="1">
      <c r="A267" s="72">
        <v>15200000</v>
      </c>
      <c r="B267" s="73" t="s">
        <v>20</v>
      </c>
      <c r="C267" s="348" t="s">
        <v>995</v>
      </c>
      <c r="D267" s="67">
        <v>1</v>
      </c>
      <c r="E267" s="61" t="s">
        <v>364</v>
      </c>
      <c r="F267" s="177"/>
      <c r="G267" s="177"/>
      <c r="H267" s="177"/>
      <c r="J267" s="349">
        <v>44378</v>
      </c>
      <c r="K267" s="65" t="str">
        <f t="shared" si="104"/>
        <v>SI</v>
      </c>
      <c r="L267" s="139">
        <f t="shared" si="105"/>
        <v>20583430</v>
      </c>
      <c r="M267" s="67">
        <v>20583430</v>
      </c>
      <c r="N267" s="67">
        <v>20583430</v>
      </c>
      <c r="O267" s="139">
        <f t="shared" si="106"/>
        <v>20583430</v>
      </c>
      <c r="P267" s="72">
        <v>15921000</v>
      </c>
      <c r="Q267" s="73" t="s">
        <v>27</v>
      </c>
      <c r="R267" s="67">
        <v>0</v>
      </c>
      <c r="S267" s="67">
        <v>0</v>
      </c>
      <c r="T267" s="139">
        <f t="shared" si="107"/>
        <v>0</v>
      </c>
      <c r="U267" s="38">
        <f t="shared" si="108"/>
        <v>20583430</v>
      </c>
      <c r="V267" s="350">
        <v>25</v>
      </c>
      <c r="W267" s="116">
        <f t="shared" si="109"/>
        <v>6</v>
      </c>
      <c r="X267" s="116">
        <f t="shared" si="110"/>
        <v>294</v>
      </c>
      <c r="Y267" s="38">
        <f t="shared" si="111"/>
        <v>68611.433333333334</v>
      </c>
      <c r="Z267" s="38">
        <f t="shared" si="112"/>
        <v>411668.6</v>
      </c>
      <c r="AA267" s="38">
        <f t="shared" si="113"/>
        <v>20583430</v>
      </c>
      <c r="AB267" s="38">
        <f t="shared" si="114"/>
        <v>411669</v>
      </c>
      <c r="AC267" s="38">
        <f t="shared" si="115"/>
        <v>20171761</v>
      </c>
      <c r="AD267" s="73"/>
      <c r="AE267" s="73"/>
      <c r="AF267" s="148"/>
      <c r="AG267" s="73">
        <f t="shared" si="103"/>
        <v>411669</v>
      </c>
      <c r="AH267" s="73">
        <f t="shared" si="101"/>
        <v>20583430</v>
      </c>
    </row>
    <row r="268" spans="1:34" s="72" customFormat="1">
      <c r="A268" s="72">
        <v>15200000</v>
      </c>
      <c r="B268" s="73" t="s">
        <v>20</v>
      </c>
      <c r="C268" s="348" t="s">
        <v>995</v>
      </c>
      <c r="D268" s="67">
        <v>1</v>
      </c>
      <c r="E268" s="61" t="s">
        <v>364</v>
      </c>
      <c r="F268" s="177"/>
      <c r="G268" s="177"/>
      <c r="H268" s="177"/>
      <c r="J268" s="349">
        <v>44440</v>
      </c>
      <c r="K268" s="65" t="str">
        <f t="shared" si="104"/>
        <v>SI</v>
      </c>
      <c r="L268" s="139">
        <f t="shared" si="105"/>
        <v>2725576</v>
      </c>
      <c r="M268" s="67">
        <v>2725576</v>
      </c>
      <c r="N268" s="67">
        <v>2725576</v>
      </c>
      <c r="O268" s="139">
        <f t="shared" si="106"/>
        <v>2725576</v>
      </c>
      <c r="P268" s="72">
        <v>15921000</v>
      </c>
      <c r="Q268" s="73" t="s">
        <v>27</v>
      </c>
      <c r="R268" s="67">
        <v>0</v>
      </c>
      <c r="S268" s="67">
        <v>0</v>
      </c>
      <c r="T268" s="139">
        <f t="shared" si="107"/>
        <v>0</v>
      </c>
      <c r="U268" s="38">
        <f t="shared" si="108"/>
        <v>2725576</v>
      </c>
      <c r="V268" s="350">
        <v>10</v>
      </c>
      <c r="W268" s="116">
        <f t="shared" si="109"/>
        <v>4</v>
      </c>
      <c r="X268" s="116">
        <f t="shared" si="110"/>
        <v>116</v>
      </c>
      <c r="Y268" s="38">
        <f t="shared" si="111"/>
        <v>22713.133333333335</v>
      </c>
      <c r="Z268" s="38">
        <f t="shared" si="112"/>
        <v>90852.53333333334</v>
      </c>
      <c r="AA268" s="38">
        <f t="shared" si="113"/>
        <v>2725576</v>
      </c>
      <c r="AB268" s="38">
        <f t="shared" si="114"/>
        <v>90853</v>
      </c>
      <c r="AC268" s="38">
        <f t="shared" si="115"/>
        <v>2634723</v>
      </c>
      <c r="AD268" s="73"/>
      <c r="AE268" s="73"/>
      <c r="AF268" s="148"/>
      <c r="AG268" s="73">
        <f t="shared" si="103"/>
        <v>90853</v>
      </c>
      <c r="AH268" s="73">
        <f t="shared" si="101"/>
        <v>2725576</v>
      </c>
    </row>
    <row r="269" spans="1:34" s="72" customFormat="1">
      <c r="A269" s="72">
        <v>15200000</v>
      </c>
      <c r="B269" s="73" t="s">
        <v>20</v>
      </c>
      <c r="C269" s="348" t="s">
        <v>995</v>
      </c>
      <c r="D269" s="67">
        <v>1</v>
      </c>
      <c r="E269" s="61" t="s">
        <v>364</v>
      </c>
      <c r="F269" s="177"/>
      <c r="G269" s="177"/>
      <c r="H269" s="177"/>
      <c r="J269" s="349">
        <v>44440</v>
      </c>
      <c r="K269" s="65" t="str">
        <f t="shared" si="104"/>
        <v>SI</v>
      </c>
      <c r="L269" s="139">
        <f t="shared" si="105"/>
        <v>7618380</v>
      </c>
      <c r="M269" s="67">
        <v>7618380</v>
      </c>
      <c r="N269" s="67">
        <v>7618380</v>
      </c>
      <c r="O269" s="139">
        <f t="shared" si="106"/>
        <v>7618380</v>
      </c>
      <c r="P269" s="72">
        <v>15921000</v>
      </c>
      <c r="Q269" s="73" t="s">
        <v>27</v>
      </c>
      <c r="R269" s="67">
        <v>0</v>
      </c>
      <c r="S269" s="67">
        <v>0</v>
      </c>
      <c r="T269" s="139">
        <f t="shared" si="107"/>
        <v>0</v>
      </c>
      <c r="U269" s="38">
        <f t="shared" si="108"/>
        <v>7618380</v>
      </c>
      <c r="V269" s="350">
        <v>10</v>
      </c>
      <c r="W269" s="116">
        <f t="shared" si="109"/>
        <v>4</v>
      </c>
      <c r="X269" s="116">
        <f t="shared" si="110"/>
        <v>116</v>
      </c>
      <c r="Y269" s="38">
        <f t="shared" si="111"/>
        <v>63486.5</v>
      </c>
      <c r="Z269" s="38">
        <f t="shared" si="112"/>
        <v>253946</v>
      </c>
      <c r="AA269" s="38">
        <f t="shared" si="113"/>
        <v>7618380</v>
      </c>
      <c r="AB269" s="38">
        <f t="shared" si="114"/>
        <v>253946</v>
      </c>
      <c r="AC269" s="38">
        <f t="shared" si="115"/>
        <v>7364434</v>
      </c>
      <c r="AD269" s="73"/>
      <c r="AE269" s="73"/>
      <c r="AF269" s="148"/>
      <c r="AG269" s="73">
        <f t="shared" si="103"/>
        <v>253946</v>
      </c>
      <c r="AH269" s="73">
        <f t="shared" si="101"/>
        <v>7618380</v>
      </c>
    </row>
    <row r="270" spans="1:34" s="72" customFormat="1">
      <c r="A270" s="72">
        <v>15200000</v>
      </c>
      <c r="B270" s="73" t="s">
        <v>20</v>
      </c>
      <c r="C270" s="348" t="s">
        <v>995</v>
      </c>
      <c r="D270" s="67">
        <v>1</v>
      </c>
      <c r="E270" s="61" t="s">
        <v>364</v>
      </c>
      <c r="F270" s="177"/>
      <c r="G270" s="177"/>
      <c r="H270" s="177"/>
      <c r="J270" s="349">
        <v>44440</v>
      </c>
      <c r="K270" s="65" t="str">
        <f t="shared" si="104"/>
        <v>SI</v>
      </c>
      <c r="L270" s="139">
        <f t="shared" si="105"/>
        <v>16325610</v>
      </c>
      <c r="M270" s="67">
        <v>16325610</v>
      </c>
      <c r="N270" s="67">
        <v>16325610</v>
      </c>
      <c r="O270" s="139">
        <f t="shared" si="106"/>
        <v>16325610</v>
      </c>
      <c r="P270" s="72">
        <v>15921000</v>
      </c>
      <c r="Q270" s="73" t="s">
        <v>27</v>
      </c>
      <c r="R270" s="67">
        <v>0</v>
      </c>
      <c r="S270" s="67">
        <v>0</v>
      </c>
      <c r="T270" s="139">
        <f t="shared" si="107"/>
        <v>0</v>
      </c>
      <c r="U270" s="38">
        <f t="shared" si="108"/>
        <v>16325610</v>
      </c>
      <c r="V270" s="350">
        <v>15</v>
      </c>
      <c r="W270" s="116">
        <f t="shared" si="109"/>
        <v>4</v>
      </c>
      <c r="X270" s="116">
        <f t="shared" si="110"/>
        <v>176</v>
      </c>
      <c r="Y270" s="38">
        <f t="shared" si="111"/>
        <v>90697.833333333328</v>
      </c>
      <c r="Z270" s="38">
        <f t="shared" si="112"/>
        <v>362791.33333333331</v>
      </c>
      <c r="AA270" s="38">
        <f t="shared" si="113"/>
        <v>16325610</v>
      </c>
      <c r="AB270" s="38">
        <f t="shared" si="114"/>
        <v>362791</v>
      </c>
      <c r="AC270" s="38">
        <f t="shared" si="115"/>
        <v>15962819</v>
      </c>
      <c r="AD270" s="73"/>
      <c r="AE270" s="73"/>
      <c r="AF270" s="148"/>
      <c r="AG270" s="73">
        <f t="shared" si="103"/>
        <v>362791</v>
      </c>
      <c r="AH270" s="73">
        <f t="shared" si="101"/>
        <v>16325610</v>
      </c>
    </row>
    <row r="271" spans="1:34" s="72" customFormat="1">
      <c r="A271" s="72">
        <v>15200000</v>
      </c>
      <c r="B271" s="73" t="s">
        <v>20</v>
      </c>
      <c r="C271" s="348" t="s">
        <v>995</v>
      </c>
      <c r="D271" s="67">
        <v>1</v>
      </c>
      <c r="E271" s="61" t="s">
        <v>364</v>
      </c>
      <c r="F271" s="177"/>
      <c r="G271" s="177"/>
      <c r="H271" s="177"/>
      <c r="J271" s="349">
        <v>44501</v>
      </c>
      <c r="K271" s="65" t="str">
        <f t="shared" si="104"/>
        <v>SI</v>
      </c>
      <c r="L271" s="139">
        <f t="shared" si="105"/>
        <v>9936500</v>
      </c>
      <c r="M271" s="67">
        <v>9936500</v>
      </c>
      <c r="N271" s="67">
        <v>9936500</v>
      </c>
      <c r="O271" s="139">
        <f t="shared" si="106"/>
        <v>9936500</v>
      </c>
      <c r="P271" s="72">
        <v>15921000</v>
      </c>
      <c r="Q271" s="73" t="s">
        <v>27</v>
      </c>
      <c r="R271" s="67">
        <v>0</v>
      </c>
      <c r="S271" s="67">
        <v>0</v>
      </c>
      <c r="T271" s="139">
        <f t="shared" si="107"/>
        <v>0</v>
      </c>
      <c r="U271" s="38">
        <f t="shared" si="108"/>
        <v>9936500</v>
      </c>
      <c r="V271" s="350">
        <v>20</v>
      </c>
      <c r="W271" s="116">
        <f t="shared" si="109"/>
        <v>2</v>
      </c>
      <c r="X271" s="116">
        <f t="shared" si="110"/>
        <v>238</v>
      </c>
      <c r="Y271" s="38">
        <f t="shared" si="111"/>
        <v>41402.083333333336</v>
      </c>
      <c r="Z271" s="38">
        <f t="shared" si="112"/>
        <v>82804.166666666672</v>
      </c>
      <c r="AA271" s="38">
        <f t="shared" si="113"/>
        <v>9936500</v>
      </c>
      <c r="AB271" s="38">
        <f t="shared" si="114"/>
        <v>82804</v>
      </c>
      <c r="AC271" s="38">
        <f t="shared" si="115"/>
        <v>9853696</v>
      </c>
      <c r="AD271" s="73"/>
      <c r="AE271" s="73"/>
      <c r="AF271" s="148"/>
      <c r="AG271" s="73">
        <f t="shared" si="103"/>
        <v>82804</v>
      </c>
      <c r="AH271" s="73">
        <f t="shared" si="101"/>
        <v>9936500</v>
      </c>
    </row>
    <row r="272" spans="1:34" s="72" customFormat="1">
      <c r="A272" s="72">
        <v>15200000</v>
      </c>
      <c r="B272" s="73" t="s">
        <v>20</v>
      </c>
      <c r="C272" s="348" t="s">
        <v>995</v>
      </c>
      <c r="D272" s="67">
        <v>1</v>
      </c>
      <c r="E272" s="61" t="s">
        <v>364</v>
      </c>
      <c r="F272" s="177"/>
      <c r="G272" s="177"/>
      <c r="H272" s="177"/>
      <c r="J272" s="349">
        <v>44492</v>
      </c>
      <c r="K272" s="65" t="str">
        <f t="shared" si="104"/>
        <v>SI</v>
      </c>
      <c r="L272" s="139">
        <f t="shared" si="105"/>
        <v>4384198</v>
      </c>
      <c r="M272" s="67">
        <v>4384198</v>
      </c>
      <c r="N272" s="67">
        <v>4384198</v>
      </c>
      <c r="O272" s="139">
        <f t="shared" si="106"/>
        <v>4384198</v>
      </c>
      <c r="P272" s="72">
        <v>15921000</v>
      </c>
      <c r="Q272" s="73" t="s">
        <v>27</v>
      </c>
      <c r="R272" s="67">
        <v>0</v>
      </c>
      <c r="S272" s="67">
        <v>0</v>
      </c>
      <c r="T272" s="139">
        <f t="shared" si="107"/>
        <v>0</v>
      </c>
      <c r="U272" s="38">
        <f t="shared" si="108"/>
        <v>4384198</v>
      </c>
      <c r="V272" s="350">
        <v>10</v>
      </c>
      <c r="W272" s="116">
        <f t="shared" si="109"/>
        <v>2</v>
      </c>
      <c r="X272" s="116">
        <f t="shared" si="110"/>
        <v>118</v>
      </c>
      <c r="Y272" s="38">
        <f t="shared" si="111"/>
        <v>36534.98333333333</v>
      </c>
      <c r="Z272" s="38">
        <f t="shared" si="112"/>
        <v>73069.96666666666</v>
      </c>
      <c r="AA272" s="38">
        <f t="shared" si="113"/>
        <v>4384198</v>
      </c>
      <c r="AB272" s="38">
        <f t="shared" si="114"/>
        <v>73070</v>
      </c>
      <c r="AC272" s="38">
        <f t="shared" si="115"/>
        <v>4311128</v>
      </c>
      <c r="AD272" s="73"/>
      <c r="AE272" s="73"/>
      <c r="AF272" s="148"/>
      <c r="AG272" s="73">
        <f t="shared" si="103"/>
        <v>73070</v>
      </c>
      <c r="AH272" s="73">
        <f t="shared" si="101"/>
        <v>4384198</v>
      </c>
    </row>
    <row r="273" spans="1:34" s="72" customFormat="1">
      <c r="A273" s="72">
        <v>15200000</v>
      </c>
      <c r="B273" s="73" t="s">
        <v>20</v>
      </c>
      <c r="C273" s="348" t="s">
        <v>995</v>
      </c>
      <c r="D273" s="67">
        <v>1</v>
      </c>
      <c r="E273" s="61" t="s">
        <v>364</v>
      </c>
      <c r="F273" s="177"/>
      <c r="G273" s="177"/>
      <c r="H273" s="177"/>
      <c r="J273" s="349">
        <v>44531</v>
      </c>
      <c r="K273" s="65" t="str">
        <f t="shared" si="104"/>
        <v>SI</v>
      </c>
      <c r="L273" s="139">
        <f t="shared" si="105"/>
        <v>7806722</v>
      </c>
      <c r="M273" s="67">
        <v>7806722</v>
      </c>
      <c r="N273" s="67">
        <v>7806722</v>
      </c>
      <c r="O273" s="139">
        <f t="shared" si="106"/>
        <v>7806722</v>
      </c>
      <c r="P273" s="72">
        <v>15921000</v>
      </c>
      <c r="Q273" s="73" t="s">
        <v>27</v>
      </c>
      <c r="R273" s="67">
        <v>0</v>
      </c>
      <c r="S273" s="67">
        <v>0</v>
      </c>
      <c r="T273" s="139">
        <f t="shared" si="107"/>
        <v>0</v>
      </c>
      <c r="U273" s="38">
        <f t="shared" si="108"/>
        <v>7806722</v>
      </c>
      <c r="V273" s="350">
        <v>10</v>
      </c>
      <c r="W273" s="116">
        <f t="shared" si="109"/>
        <v>1</v>
      </c>
      <c r="X273" s="116">
        <f t="shared" si="110"/>
        <v>119</v>
      </c>
      <c r="Y273" s="38">
        <f t="shared" si="111"/>
        <v>65056.01666666667</v>
      </c>
      <c r="Z273" s="38">
        <f t="shared" si="112"/>
        <v>65056.01666666667</v>
      </c>
      <c r="AA273" s="38">
        <f t="shared" si="113"/>
        <v>7806722</v>
      </c>
      <c r="AB273" s="38">
        <f t="shared" si="114"/>
        <v>65056</v>
      </c>
      <c r="AC273" s="38">
        <f t="shared" si="115"/>
        <v>7741666</v>
      </c>
      <c r="AD273" s="73"/>
      <c r="AE273" s="73"/>
      <c r="AF273" s="148"/>
      <c r="AG273" s="73">
        <f t="shared" si="103"/>
        <v>65056</v>
      </c>
      <c r="AH273" s="73">
        <f t="shared" si="101"/>
        <v>7806722</v>
      </c>
    </row>
    <row r="274" spans="1:34" s="72" customFormat="1">
      <c r="A274" s="72">
        <v>15200000</v>
      </c>
      <c r="B274" s="73" t="s">
        <v>20</v>
      </c>
      <c r="C274" s="348" t="s">
        <v>995</v>
      </c>
      <c r="D274" s="67">
        <v>1</v>
      </c>
      <c r="E274" s="61" t="s">
        <v>364</v>
      </c>
      <c r="F274" s="177"/>
      <c r="G274" s="177"/>
      <c r="H274" s="177"/>
      <c r="J274" s="349">
        <v>44531</v>
      </c>
      <c r="K274" s="65" t="str">
        <f t="shared" si="104"/>
        <v>SI</v>
      </c>
      <c r="L274" s="139">
        <f t="shared" si="105"/>
        <v>14800000</v>
      </c>
      <c r="M274" s="67">
        <v>14800000</v>
      </c>
      <c r="N274" s="67">
        <v>14800000</v>
      </c>
      <c r="O274" s="139">
        <f t="shared" si="106"/>
        <v>14800000</v>
      </c>
      <c r="P274" s="72">
        <v>15921000</v>
      </c>
      <c r="Q274" s="73" t="s">
        <v>27</v>
      </c>
      <c r="R274" s="67">
        <v>0</v>
      </c>
      <c r="S274" s="67">
        <v>0</v>
      </c>
      <c r="T274" s="139">
        <f t="shared" si="107"/>
        <v>0</v>
      </c>
      <c r="U274" s="38">
        <f t="shared" si="108"/>
        <v>14800000</v>
      </c>
      <c r="V274" s="350">
        <v>10</v>
      </c>
      <c r="W274" s="116">
        <f t="shared" si="109"/>
        <v>1</v>
      </c>
      <c r="X274" s="116">
        <f t="shared" si="110"/>
        <v>119</v>
      </c>
      <c r="Y274" s="38">
        <f t="shared" si="111"/>
        <v>123333.33333333333</v>
      </c>
      <c r="Z274" s="38">
        <f t="shared" si="112"/>
        <v>123333.33333333333</v>
      </c>
      <c r="AA274" s="38">
        <f t="shared" si="113"/>
        <v>14800000</v>
      </c>
      <c r="AB274" s="38">
        <f t="shared" si="114"/>
        <v>123333</v>
      </c>
      <c r="AC274" s="38">
        <f t="shared" si="115"/>
        <v>14676667</v>
      </c>
      <c r="AD274" s="73"/>
      <c r="AE274" s="73"/>
      <c r="AF274" s="148"/>
      <c r="AG274" s="73">
        <f t="shared" si="103"/>
        <v>123333</v>
      </c>
      <c r="AH274" s="73">
        <f t="shared" si="101"/>
        <v>14800000</v>
      </c>
    </row>
    <row r="275" spans="1:34" s="72" customFormat="1">
      <c r="A275" s="72">
        <v>15200000</v>
      </c>
      <c r="B275" s="73" t="s">
        <v>20</v>
      </c>
      <c r="C275" s="348" t="s">
        <v>995</v>
      </c>
      <c r="D275" s="67">
        <v>1</v>
      </c>
      <c r="E275" s="61" t="s">
        <v>364</v>
      </c>
      <c r="F275" s="177"/>
      <c r="G275" s="177"/>
      <c r="H275" s="177"/>
      <c r="J275" s="349">
        <v>44531</v>
      </c>
      <c r="K275" s="65" t="str">
        <f t="shared" si="104"/>
        <v>SI</v>
      </c>
      <c r="L275" s="139">
        <f t="shared" si="105"/>
        <v>5464087</v>
      </c>
      <c r="M275" s="67">
        <v>5464087</v>
      </c>
      <c r="N275" s="67">
        <v>5464087</v>
      </c>
      <c r="O275" s="139">
        <f t="shared" si="106"/>
        <v>5464087</v>
      </c>
      <c r="P275" s="72">
        <v>15921000</v>
      </c>
      <c r="Q275" s="73" t="s">
        <v>27</v>
      </c>
      <c r="R275" s="67">
        <v>0</v>
      </c>
      <c r="S275" s="67">
        <v>0</v>
      </c>
      <c r="T275" s="139">
        <f t="shared" si="107"/>
        <v>0</v>
      </c>
      <c r="U275" s="38">
        <f t="shared" si="108"/>
        <v>5464087</v>
      </c>
      <c r="V275" s="350">
        <v>15</v>
      </c>
      <c r="W275" s="116">
        <f t="shared" si="109"/>
        <v>1</v>
      </c>
      <c r="X275" s="116">
        <f t="shared" si="110"/>
        <v>179</v>
      </c>
      <c r="Y275" s="38">
        <f t="shared" si="111"/>
        <v>30356.038888888888</v>
      </c>
      <c r="Z275" s="38">
        <f t="shared" si="112"/>
        <v>30356.038888888888</v>
      </c>
      <c r="AA275" s="38">
        <f t="shared" si="113"/>
        <v>5464087</v>
      </c>
      <c r="AB275" s="38">
        <f t="shared" si="114"/>
        <v>30356</v>
      </c>
      <c r="AC275" s="38">
        <f t="shared" si="115"/>
        <v>5433731</v>
      </c>
      <c r="AD275" s="73"/>
      <c r="AE275" s="73"/>
      <c r="AF275" s="148"/>
      <c r="AG275" s="73">
        <f t="shared" si="103"/>
        <v>30356</v>
      </c>
      <c r="AH275" s="73">
        <f t="shared" si="101"/>
        <v>5464087</v>
      </c>
    </row>
    <row r="276" spans="1:34" s="72" customFormat="1">
      <c r="A276" s="72">
        <v>15200000</v>
      </c>
      <c r="B276" s="73" t="s">
        <v>20</v>
      </c>
      <c r="C276" s="348" t="s">
        <v>995</v>
      </c>
      <c r="D276" s="67">
        <v>1</v>
      </c>
      <c r="E276" s="61" t="s">
        <v>364</v>
      </c>
      <c r="F276" s="177"/>
      <c r="G276" s="177"/>
      <c r="H276" s="177"/>
      <c r="J276" s="349">
        <v>44518</v>
      </c>
      <c r="K276" s="65" t="str">
        <f t="shared" si="104"/>
        <v>SI</v>
      </c>
      <c r="L276" s="139">
        <f t="shared" si="105"/>
        <v>69372597</v>
      </c>
      <c r="M276" s="67">
        <v>69372597</v>
      </c>
      <c r="N276" s="67">
        <v>69372597</v>
      </c>
      <c r="O276" s="139">
        <f t="shared" si="106"/>
        <v>69372597</v>
      </c>
      <c r="P276" s="72">
        <v>15921000</v>
      </c>
      <c r="Q276" s="73" t="s">
        <v>27</v>
      </c>
      <c r="R276" s="67">
        <v>0</v>
      </c>
      <c r="S276" s="67">
        <v>0</v>
      </c>
      <c r="T276" s="139">
        <f t="shared" si="107"/>
        <v>0</v>
      </c>
      <c r="U276" s="38">
        <f t="shared" si="108"/>
        <v>69372597</v>
      </c>
      <c r="V276" s="350">
        <v>25</v>
      </c>
      <c r="W276" s="116">
        <f t="shared" si="109"/>
        <v>1</v>
      </c>
      <c r="X276" s="116">
        <f t="shared" si="110"/>
        <v>299</v>
      </c>
      <c r="Y276" s="38">
        <f t="shared" si="111"/>
        <v>231241.99</v>
      </c>
      <c r="Z276" s="38">
        <f t="shared" si="112"/>
        <v>231241.99</v>
      </c>
      <c r="AA276" s="38">
        <f t="shared" si="113"/>
        <v>69372597</v>
      </c>
      <c r="AB276" s="38">
        <f t="shared" si="114"/>
        <v>231242</v>
      </c>
      <c r="AC276" s="38">
        <f t="shared" si="115"/>
        <v>69141355</v>
      </c>
      <c r="AD276" s="73"/>
      <c r="AE276" s="73"/>
      <c r="AF276" s="148"/>
      <c r="AG276" s="73">
        <f t="shared" si="103"/>
        <v>231242</v>
      </c>
      <c r="AH276" s="73">
        <f t="shared" si="101"/>
        <v>69372597</v>
      </c>
    </row>
    <row r="277" spans="1:34" s="72" customFormat="1">
      <c r="A277" s="72">
        <v>15200000</v>
      </c>
      <c r="B277" s="73" t="s">
        <v>20</v>
      </c>
      <c r="C277" s="348" t="s">
        <v>995</v>
      </c>
      <c r="D277" s="67">
        <v>1</v>
      </c>
      <c r="E277" s="61" t="s">
        <v>364</v>
      </c>
      <c r="F277" s="177"/>
      <c r="G277" s="177"/>
      <c r="H277" s="177"/>
      <c r="J277" s="349">
        <v>44501</v>
      </c>
      <c r="K277" s="65" t="str">
        <f t="shared" si="104"/>
        <v>SI</v>
      </c>
      <c r="L277" s="139">
        <f t="shared" si="105"/>
        <v>166990097.53999999</v>
      </c>
      <c r="M277" s="67">
        <v>166990097.53999999</v>
      </c>
      <c r="N277" s="67">
        <v>166990097.53999999</v>
      </c>
      <c r="O277" s="139">
        <f t="shared" si="106"/>
        <v>166990097.53999999</v>
      </c>
      <c r="P277" s="72">
        <v>15921000</v>
      </c>
      <c r="Q277" s="73" t="s">
        <v>27</v>
      </c>
      <c r="R277" s="67">
        <v>0</v>
      </c>
      <c r="S277" s="67">
        <v>0</v>
      </c>
      <c r="T277" s="139">
        <f t="shared" si="107"/>
        <v>0</v>
      </c>
      <c r="U277" s="38">
        <f t="shared" si="108"/>
        <v>166990097.53999999</v>
      </c>
      <c r="V277" s="350">
        <v>10</v>
      </c>
      <c r="W277" s="116">
        <f t="shared" si="109"/>
        <v>2</v>
      </c>
      <c r="X277" s="116">
        <f t="shared" si="110"/>
        <v>118</v>
      </c>
      <c r="Y277" s="38">
        <f t="shared" si="111"/>
        <v>1391584.1461666666</v>
      </c>
      <c r="Z277" s="38">
        <f t="shared" si="112"/>
        <v>2783168.2923333333</v>
      </c>
      <c r="AA277" s="38">
        <f t="shared" si="113"/>
        <v>166990098</v>
      </c>
      <c r="AB277" s="38">
        <f t="shared" si="114"/>
        <v>2783168</v>
      </c>
      <c r="AC277" s="38">
        <f t="shared" si="115"/>
        <v>164206930</v>
      </c>
      <c r="AD277" s="73"/>
      <c r="AE277" s="73"/>
      <c r="AF277" s="148"/>
      <c r="AG277" s="73">
        <f t="shared" si="103"/>
        <v>2783168</v>
      </c>
      <c r="AH277" s="73">
        <f t="shared" si="101"/>
        <v>166990097.53999999</v>
      </c>
    </row>
    <row r="278" spans="1:34" s="72" customFormat="1">
      <c r="A278" s="72">
        <v>15200000</v>
      </c>
      <c r="B278" s="73" t="s">
        <v>20</v>
      </c>
      <c r="C278" s="348" t="s">
        <v>995</v>
      </c>
      <c r="D278" s="67">
        <v>1</v>
      </c>
      <c r="E278" s="195" t="s">
        <v>364</v>
      </c>
      <c r="F278" s="177"/>
      <c r="G278" s="177"/>
      <c r="H278" s="177"/>
      <c r="J278" s="349">
        <v>44347</v>
      </c>
      <c r="K278" s="184" t="str">
        <f t="shared" si="102"/>
        <v>SI</v>
      </c>
      <c r="L278" s="196">
        <f t="shared" si="91"/>
        <v>21601400</v>
      </c>
      <c r="M278" s="67">
        <v>21601400</v>
      </c>
      <c r="N278" s="67">
        <v>21601400</v>
      </c>
      <c r="O278" s="196">
        <f t="shared" si="92"/>
        <v>21601400</v>
      </c>
      <c r="P278" s="72">
        <v>15921000</v>
      </c>
      <c r="Q278" s="73" t="s">
        <v>27</v>
      </c>
      <c r="R278" s="67">
        <v>0</v>
      </c>
      <c r="S278" s="67">
        <v>0</v>
      </c>
      <c r="T278" s="196">
        <f t="shared" si="93"/>
        <v>0</v>
      </c>
      <c r="U278" s="351">
        <f t="shared" si="80"/>
        <v>21601400</v>
      </c>
      <c r="V278" s="350">
        <v>10</v>
      </c>
      <c r="W278" s="116">
        <f t="shared" si="94"/>
        <v>7</v>
      </c>
      <c r="X278" s="116">
        <f t="shared" si="95"/>
        <v>113</v>
      </c>
      <c r="Y278" s="38">
        <f t="shared" si="96"/>
        <v>180011.66666666666</v>
      </c>
      <c r="Z278" s="38">
        <f t="shared" si="97"/>
        <v>1260081.6666666665</v>
      </c>
      <c r="AA278" s="38">
        <f t="shared" si="98"/>
        <v>21601400</v>
      </c>
      <c r="AB278" s="38">
        <f t="shared" si="99"/>
        <v>1260082</v>
      </c>
      <c r="AC278" s="38">
        <f t="shared" si="100"/>
        <v>20341318</v>
      </c>
      <c r="AD278" s="73"/>
      <c r="AE278" s="73"/>
      <c r="AF278" s="148"/>
      <c r="AG278" s="73">
        <f t="shared" si="103"/>
        <v>1260082</v>
      </c>
      <c r="AH278" s="73">
        <f t="shared" si="101"/>
        <v>21601400</v>
      </c>
    </row>
    <row r="279" spans="1:34" s="72" customFormat="1">
      <c r="A279" s="72">
        <v>15200000</v>
      </c>
      <c r="B279" s="73" t="s">
        <v>20</v>
      </c>
      <c r="C279" s="348" t="s">
        <v>995</v>
      </c>
      <c r="D279" s="67">
        <v>1</v>
      </c>
      <c r="E279" s="61" t="s">
        <v>364</v>
      </c>
      <c r="F279" s="177"/>
      <c r="G279" s="177"/>
      <c r="H279" s="177"/>
      <c r="J279" s="349">
        <v>44377</v>
      </c>
      <c r="K279" s="65" t="str">
        <f t="shared" si="102"/>
        <v>SI</v>
      </c>
      <c r="L279" s="139">
        <f t="shared" si="91"/>
        <v>42161700</v>
      </c>
      <c r="M279" s="67">
        <v>42161700</v>
      </c>
      <c r="N279" s="67">
        <v>42161700</v>
      </c>
      <c r="O279" s="139">
        <f t="shared" si="92"/>
        <v>42161700</v>
      </c>
      <c r="P279" s="72">
        <v>15921000</v>
      </c>
      <c r="Q279" s="73" t="s">
        <v>27</v>
      </c>
      <c r="R279" s="67">
        <v>0</v>
      </c>
      <c r="S279" s="67">
        <v>0</v>
      </c>
      <c r="T279" s="139">
        <f t="shared" si="93"/>
        <v>0</v>
      </c>
      <c r="U279" s="38">
        <f t="shared" si="80"/>
        <v>42161700</v>
      </c>
      <c r="V279" s="350">
        <v>25</v>
      </c>
      <c r="W279" s="116">
        <f t="shared" si="94"/>
        <v>6</v>
      </c>
      <c r="X279" s="116">
        <f t="shared" si="95"/>
        <v>294</v>
      </c>
      <c r="Y279" s="38">
        <f t="shared" si="96"/>
        <v>140539</v>
      </c>
      <c r="Z279" s="38">
        <f t="shared" si="97"/>
        <v>843234</v>
      </c>
      <c r="AA279" s="38">
        <f t="shared" si="98"/>
        <v>42161700</v>
      </c>
      <c r="AB279" s="38">
        <f t="shared" si="99"/>
        <v>843234</v>
      </c>
      <c r="AC279" s="38">
        <f t="shared" si="100"/>
        <v>41318466</v>
      </c>
      <c r="AD279" s="73"/>
      <c r="AE279" s="73"/>
      <c r="AF279" s="148"/>
      <c r="AG279" s="73">
        <f t="shared" si="103"/>
        <v>843234</v>
      </c>
      <c r="AH279" s="73">
        <f t="shared" si="101"/>
        <v>42161700</v>
      </c>
    </row>
    <row r="280" spans="1:34" s="72" customFormat="1">
      <c r="A280" s="72">
        <v>15200000</v>
      </c>
      <c r="B280" s="73" t="s">
        <v>20</v>
      </c>
      <c r="C280" s="348" t="s">
        <v>995</v>
      </c>
      <c r="D280" s="67">
        <v>1</v>
      </c>
      <c r="E280" s="61" t="s">
        <v>364</v>
      </c>
      <c r="F280" s="177"/>
      <c r="G280" s="177"/>
      <c r="H280" s="177"/>
      <c r="J280" s="349">
        <v>44530</v>
      </c>
      <c r="K280" s="65" t="str">
        <f t="shared" si="102"/>
        <v>SI</v>
      </c>
      <c r="L280" s="139">
        <f t="shared" si="91"/>
        <v>10074540</v>
      </c>
      <c r="M280" s="67">
        <v>10074540</v>
      </c>
      <c r="N280" s="67">
        <v>10074540</v>
      </c>
      <c r="O280" s="139">
        <f t="shared" si="92"/>
        <v>10074540</v>
      </c>
      <c r="P280" s="72">
        <v>15921000</v>
      </c>
      <c r="Q280" s="73" t="s">
        <v>27</v>
      </c>
      <c r="R280" s="67">
        <v>0</v>
      </c>
      <c r="S280" s="67">
        <v>0</v>
      </c>
      <c r="T280" s="139">
        <f t="shared" si="93"/>
        <v>0</v>
      </c>
      <c r="U280" s="38">
        <f t="shared" si="80"/>
        <v>10074540</v>
      </c>
      <c r="V280" s="350">
        <v>25</v>
      </c>
      <c r="W280" s="116">
        <f t="shared" si="94"/>
        <v>1</v>
      </c>
      <c r="X280" s="116">
        <f t="shared" si="95"/>
        <v>299</v>
      </c>
      <c r="Y280" s="38">
        <f t="shared" si="96"/>
        <v>33581.800000000003</v>
      </c>
      <c r="Z280" s="38">
        <f t="shared" si="97"/>
        <v>33581.800000000003</v>
      </c>
      <c r="AA280" s="38">
        <f t="shared" si="98"/>
        <v>10074540</v>
      </c>
      <c r="AB280" s="38">
        <f t="shared" si="99"/>
        <v>33582</v>
      </c>
      <c r="AC280" s="38">
        <f t="shared" si="100"/>
        <v>10040958</v>
      </c>
      <c r="AD280" s="73"/>
      <c r="AE280" s="73"/>
      <c r="AF280" s="148"/>
      <c r="AG280" s="73">
        <f t="shared" si="103"/>
        <v>33582</v>
      </c>
      <c r="AH280" s="73">
        <f t="shared" si="101"/>
        <v>10074540</v>
      </c>
    </row>
    <row r="281" spans="1:34" s="72" customFormat="1">
      <c r="A281" s="72">
        <v>15200000</v>
      </c>
      <c r="B281" s="73" t="s">
        <v>20</v>
      </c>
      <c r="C281" s="348" t="s">
        <v>995</v>
      </c>
      <c r="D281" s="67">
        <v>1</v>
      </c>
      <c r="E281" s="61" t="s">
        <v>364</v>
      </c>
      <c r="F281" s="177"/>
      <c r="G281" s="177"/>
      <c r="H281" s="177"/>
      <c r="J281" s="349">
        <v>44561</v>
      </c>
      <c r="K281" s="65" t="str">
        <f t="shared" si="102"/>
        <v>SI</v>
      </c>
      <c r="L281" s="139">
        <f t="shared" si="91"/>
        <v>7311360</v>
      </c>
      <c r="M281" s="67">
        <v>7311360</v>
      </c>
      <c r="N281" s="67">
        <v>7311360</v>
      </c>
      <c r="O281" s="139">
        <f t="shared" si="92"/>
        <v>7311360</v>
      </c>
      <c r="P281" s="72">
        <v>15921000</v>
      </c>
      <c r="Q281" s="73" t="s">
        <v>27</v>
      </c>
      <c r="R281" s="67">
        <v>0</v>
      </c>
      <c r="S281" s="67">
        <v>0</v>
      </c>
      <c r="T281" s="139">
        <f t="shared" si="93"/>
        <v>0</v>
      </c>
      <c r="U281" s="38">
        <f t="shared" si="80"/>
        <v>7311360</v>
      </c>
      <c r="V281" s="350">
        <v>10</v>
      </c>
      <c r="W281" s="116">
        <f t="shared" si="94"/>
        <v>0</v>
      </c>
      <c r="X281" s="116">
        <f t="shared" si="95"/>
        <v>120</v>
      </c>
      <c r="Y281" s="38">
        <f t="shared" si="96"/>
        <v>60928</v>
      </c>
      <c r="Z281" s="38">
        <f t="shared" si="97"/>
        <v>0</v>
      </c>
      <c r="AA281" s="38">
        <f t="shared" si="98"/>
        <v>7311360</v>
      </c>
      <c r="AB281" s="38">
        <f t="shared" si="99"/>
        <v>0</v>
      </c>
      <c r="AC281" s="38">
        <f t="shared" si="100"/>
        <v>7311360</v>
      </c>
      <c r="AD281" s="73"/>
      <c r="AE281" s="73"/>
      <c r="AF281" s="148"/>
      <c r="AG281" s="73">
        <f t="shared" si="103"/>
        <v>0</v>
      </c>
      <c r="AH281" s="73">
        <f t="shared" si="101"/>
        <v>7311360</v>
      </c>
    </row>
    <row r="282" spans="1:34" s="72" customFormat="1">
      <c r="A282" s="72">
        <v>15200000</v>
      </c>
      <c r="B282" s="73" t="s">
        <v>20</v>
      </c>
      <c r="C282" s="348" t="s">
        <v>995</v>
      </c>
      <c r="D282" s="67">
        <v>1</v>
      </c>
      <c r="E282" s="61" t="s">
        <v>364</v>
      </c>
      <c r="F282" s="177"/>
      <c r="G282" s="177"/>
      <c r="H282" s="177"/>
      <c r="J282" s="349">
        <v>44561</v>
      </c>
      <c r="K282" s="65" t="str">
        <f t="shared" si="102"/>
        <v>SI</v>
      </c>
      <c r="L282" s="139">
        <f t="shared" si="91"/>
        <v>40423348</v>
      </c>
      <c r="M282" s="67">
        <v>40423348</v>
      </c>
      <c r="N282" s="67">
        <v>40423348</v>
      </c>
      <c r="O282" s="139">
        <f t="shared" si="92"/>
        <v>40423348</v>
      </c>
      <c r="P282" s="72">
        <v>15921000</v>
      </c>
      <c r="Q282" s="73" t="s">
        <v>27</v>
      </c>
      <c r="R282" s="67">
        <v>0</v>
      </c>
      <c r="S282" s="67">
        <v>0</v>
      </c>
      <c r="T282" s="139">
        <f t="shared" si="93"/>
        <v>0</v>
      </c>
      <c r="U282" s="38">
        <f t="shared" si="80"/>
        <v>40423348</v>
      </c>
      <c r="V282" s="350">
        <v>10</v>
      </c>
      <c r="W282" s="116">
        <f t="shared" si="94"/>
        <v>0</v>
      </c>
      <c r="X282" s="116">
        <f t="shared" si="95"/>
        <v>120</v>
      </c>
      <c r="Y282" s="38">
        <f t="shared" si="96"/>
        <v>336861.23333333334</v>
      </c>
      <c r="Z282" s="38">
        <f t="shared" si="97"/>
        <v>0</v>
      </c>
      <c r="AA282" s="38">
        <f t="shared" si="98"/>
        <v>40423348</v>
      </c>
      <c r="AB282" s="38">
        <f t="shared" si="99"/>
        <v>0</v>
      </c>
      <c r="AC282" s="38">
        <f t="shared" si="100"/>
        <v>40423348</v>
      </c>
      <c r="AD282" s="73"/>
      <c r="AE282" s="73"/>
      <c r="AF282" s="148"/>
      <c r="AG282" s="73">
        <f t="shared" si="103"/>
        <v>0</v>
      </c>
      <c r="AH282" s="73">
        <f t="shared" si="101"/>
        <v>40423348</v>
      </c>
    </row>
    <row r="283" spans="1:34" s="72" customFormat="1">
      <c r="A283" s="72">
        <v>15200000</v>
      </c>
      <c r="B283" s="73" t="s">
        <v>20</v>
      </c>
      <c r="C283" s="348" t="s">
        <v>995</v>
      </c>
      <c r="D283" s="67">
        <v>1</v>
      </c>
      <c r="E283" s="61" t="s">
        <v>364</v>
      </c>
      <c r="F283" s="177"/>
      <c r="G283" s="177"/>
      <c r="H283" s="177"/>
      <c r="J283" s="349">
        <v>44561</v>
      </c>
      <c r="K283" s="65" t="str">
        <f t="shared" si="102"/>
        <v>SI</v>
      </c>
      <c r="L283" s="139">
        <f t="shared" si="91"/>
        <v>15900000</v>
      </c>
      <c r="M283" s="67">
        <v>15900000</v>
      </c>
      <c r="N283" s="67">
        <v>15900000</v>
      </c>
      <c r="O283" s="139">
        <f t="shared" si="92"/>
        <v>15900000</v>
      </c>
      <c r="P283" s="72">
        <v>15921000</v>
      </c>
      <c r="Q283" s="73" t="s">
        <v>27</v>
      </c>
      <c r="R283" s="67">
        <v>0</v>
      </c>
      <c r="S283" s="67">
        <v>0</v>
      </c>
      <c r="T283" s="139">
        <f t="shared" si="93"/>
        <v>0</v>
      </c>
      <c r="U283" s="38">
        <f t="shared" si="80"/>
        <v>15900000</v>
      </c>
      <c r="V283" s="350">
        <v>10</v>
      </c>
      <c r="W283" s="116">
        <f t="shared" si="94"/>
        <v>0</v>
      </c>
      <c r="X283" s="116">
        <f t="shared" si="95"/>
        <v>120</v>
      </c>
      <c r="Y283" s="38">
        <f t="shared" si="96"/>
        <v>132500</v>
      </c>
      <c r="Z283" s="38">
        <f t="shared" si="97"/>
        <v>0</v>
      </c>
      <c r="AA283" s="38">
        <f t="shared" si="98"/>
        <v>15900000</v>
      </c>
      <c r="AB283" s="38">
        <f t="shared" si="99"/>
        <v>0</v>
      </c>
      <c r="AC283" s="38">
        <f t="shared" si="100"/>
        <v>15900000</v>
      </c>
      <c r="AD283" s="73"/>
      <c r="AE283" s="73"/>
      <c r="AF283" s="148"/>
      <c r="AG283" s="73">
        <f t="shared" si="103"/>
        <v>0</v>
      </c>
      <c r="AH283" s="73">
        <f t="shared" si="101"/>
        <v>15900000</v>
      </c>
    </row>
    <row r="284" spans="1:34" s="72" customFormat="1">
      <c r="A284" s="72">
        <v>15200000</v>
      </c>
      <c r="B284" s="73" t="s">
        <v>20</v>
      </c>
      <c r="C284" s="348" t="s">
        <v>995</v>
      </c>
      <c r="D284" s="67">
        <v>1</v>
      </c>
      <c r="E284" s="61" t="s">
        <v>364</v>
      </c>
      <c r="F284" s="177"/>
      <c r="G284" s="177"/>
      <c r="H284" s="177"/>
      <c r="J284" s="349">
        <v>44197</v>
      </c>
      <c r="K284" s="65" t="str">
        <f t="shared" si="102"/>
        <v>SI</v>
      </c>
      <c r="L284" s="139">
        <f t="shared" si="91"/>
        <v>12280800</v>
      </c>
      <c r="M284" s="67">
        <v>12280800</v>
      </c>
      <c r="N284" s="67">
        <v>12280800</v>
      </c>
      <c r="O284" s="139">
        <f t="shared" si="92"/>
        <v>12280800</v>
      </c>
      <c r="P284" s="72">
        <v>15921000</v>
      </c>
      <c r="Q284" s="73" t="s">
        <v>27</v>
      </c>
      <c r="R284" s="67">
        <v>0</v>
      </c>
      <c r="S284" s="67">
        <v>0</v>
      </c>
      <c r="T284" s="139">
        <f t="shared" si="93"/>
        <v>0</v>
      </c>
      <c r="U284" s="38">
        <f t="shared" si="80"/>
        <v>12280800</v>
      </c>
      <c r="V284" s="350">
        <v>24</v>
      </c>
      <c r="W284" s="116">
        <f t="shared" si="94"/>
        <v>12</v>
      </c>
      <c r="X284" s="116">
        <f t="shared" si="95"/>
        <v>276</v>
      </c>
      <c r="Y284" s="38">
        <f t="shared" si="96"/>
        <v>42641.666666666664</v>
      </c>
      <c r="Z284" s="38">
        <f t="shared" si="97"/>
        <v>511700</v>
      </c>
      <c r="AA284" s="38">
        <f t="shared" si="98"/>
        <v>12280800</v>
      </c>
      <c r="AB284" s="38">
        <f t="shared" si="99"/>
        <v>511700</v>
      </c>
      <c r="AC284" s="38">
        <f t="shared" si="100"/>
        <v>11769100</v>
      </c>
      <c r="AD284" s="73"/>
      <c r="AE284" s="73"/>
      <c r="AF284" s="148"/>
      <c r="AG284" s="73">
        <f t="shared" si="103"/>
        <v>511700</v>
      </c>
      <c r="AH284" s="73">
        <f t="shared" si="101"/>
        <v>12280800</v>
      </c>
    </row>
    <row r="285" spans="1:34" s="72" customFormat="1">
      <c r="A285" s="72">
        <v>15200000</v>
      </c>
      <c r="B285" s="73" t="s">
        <v>20</v>
      </c>
      <c r="C285" s="348" t="s">
        <v>995</v>
      </c>
      <c r="D285" s="67">
        <v>1</v>
      </c>
      <c r="E285" s="61" t="s">
        <v>364</v>
      </c>
      <c r="F285" s="177"/>
      <c r="G285" s="177"/>
      <c r="H285" s="177"/>
      <c r="J285" s="349">
        <v>44548</v>
      </c>
      <c r="K285" s="65" t="str">
        <f t="shared" si="102"/>
        <v>SI</v>
      </c>
      <c r="L285" s="139">
        <f t="shared" si="91"/>
        <v>17509660</v>
      </c>
      <c r="M285" s="67">
        <v>17509660</v>
      </c>
      <c r="N285" s="67">
        <v>17509660</v>
      </c>
      <c r="O285" s="139">
        <f t="shared" si="92"/>
        <v>17509660</v>
      </c>
      <c r="P285" s="72">
        <v>15921000</v>
      </c>
      <c r="Q285" s="73" t="s">
        <v>27</v>
      </c>
      <c r="R285" s="67">
        <v>0</v>
      </c>
      <c r="S285" s="67">
        <v>0</v>
      </c>
      <c r="T285" s="139">
        <f t="shared" si="93"/>
        <v>0</v>
      </c>
      <c r="U285" s="38">
        <f t="shared" si="80"/>
        <v>17509660</v>
      </c>
      <c r="V285" s="350">
        <v>10</v>
      </c>
      <c r="W285" s="116">
        <f t="shared" si="94"/>
        <v>0</v>
      </c>
      <c r="X285" s="116">
        <f t="shared" si="95"/>
        <v>120</v>
      </c>
      <c r="Y285" s="38">
        <f t="shared" si="96"/>
        <v>145913.83333333334</v>
      </c>
      <c r="Z285" s="38">
        <f t="shared" si="97"/>
        <v>0</v>
      </c>
      <c r="AA285" s="38">
        <f t="shared" si="98"/>
        <v>17509660</v>
      </c>
      <c r="AB285" s="38">
        <f t="shared" si="99"/>
        <v>0</v>
      </c>
      <c r="AC285" s="38">
        <f t="shared" si="100"/>
        <v>17509660</v>
      </c>
      <c r="AD285" s="73"/>
      <c r="AE285" s="73"/>
      <c r="AF285" s="148"/>
      <c r="AG285" s="73">
        <f t="shared" si="103"/>
        <v>0</v>
      </c>
      <c r="AH285" s="73">
        <f t="shared" si="101"/>
        <v>17509660</v>
      </c>
    </row>
    <row r="286" spans="1:34" s="72" customForma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</row>
    <row r="287" spans="1:34" s="72" customFormat="1">
      <c r="A287" s="22">
        <v>15210000</v>
      </c>
      <c r="B287" s="23" t="s">
        <v>716</v>
      </c>
      <c r="C287" s="348" t="s">
        <v>995</v>
      </c>
      <c r="D287" s="67">
        <v>1</v>
      </c>
      <c r="E287" s="61" t="s">
        <v>364</v>
      </c>
      <c r="F287" s="177"/>
      <c r="G287" s="177"/>
      <c r="H287" s="177"/>
      <c r="J287" s="349">
        <v>44348</v>
      </c>
      <c r="K287" s="65" t="str">
        <f>IF(L287&gt;($M$27*50),"SI","NO")</f>
        <v>SI</v>
      </c>
      <c r="L287" s="139">
        <f t="shared" ref="L287:L290" si="116">M287/D287</f>
        <v>3516462</v>
      </c>
      <c r="M287" s="67">
        <v>3516462</v>
      </c>
      <c r="N287" s="67">
        <v>3516462</v>
      </c>
      <c r="O287" s="139">
        <f t="shared" ref="O287:O290" si="117">IF(K287="SI",N287,0)</f>
        <v>3516462</v>
      </c>
      <c r="P287" s="22">
        <v>15921100</v>
      </c>
      <c r="Q287" s="23" t="s">
        <v>718</v>
      </c>
      <c r="R287" s="67">
        <v>0</v>
      </c>
      <c r="S287" s="67">
        <v>0</v>
      </c>
      <c r="T287" s="139">
        <f t="shared" ref="T287:T290" si="118">IF(O287&gt;0,S287,0)</f>
        <v>0</v>
      </c>
      <c r="U287" s="38">
        <f t="shared" ref="U287:U290" si="119">IF(O287&gt;0,N287-S287,0)</f>
        <v>3516462</v>
      </c>
      <c r="V287" s="367">
        <v>5</v>
      </c>
      <c r="W287" s="116">
        <f t="shared" ref="W287:W290" si="120">IF(ROUND(($W$27-J287)/30,0)&gt;(V287*12),(V287*12),(ROUND(($W$27-J287)/30,0)))</f>
        <v>7</v>
      </c>
      <c r="X287" s="116">
        <f t="shared" ref="X287:X290" si="121">(V287*12)-W287</f>
        <v>53</v>
      </c>
      <c r="Y287" s="38">
        <f t="shared" ref="Y287:Y290" si="122">N287/(V287*12)</f>
        <v>58607.7</v>
      </c>
      <c r="Z287" s="38">
        <f t="shared" ref="Z287:Z290" si="123">IF(U287&gt;0,W287*Y287,0)</f>
        <v>410253.89999999997</v>
      </c>
      <c r="AA287" s="38">
        <f t="shared" ref="AA287:AA290" si="124">ROUND(IF(U287&gt;0,N287,0),0)</f>
        <v>3516462</v>
      </c>
      <c r="AB287" s="38">
        <f t="shared" ref="AB287:AB290" si="125">ROUND(IF(U287&gt;0,Z287,0),0)</f>
        <v>410254</v>
      </c>
      <c r="AC287" s="38">
        <f t="shared" ref="AC287:AC290" si="126">AA287-AB287</f>
        <v>3106208</v>
      </c>
      <c r="AD287" s="444"/>
      <c r="AE287" s="73"/>
      <c r="AF287" s="148"/>
      <c r="AG287" s="73">
        <f t="shared" si="103"/>
        <v>410254</v>
      </c>
      <c r="AH287" s="73">
        <f t="shared" ref="AH287:AH290" si="127">O287</f>
        <v>3516462</v>
      </c>
    </row>
    <row r="288" spans="1:34" s="72" customFormat="1">
      <c r="A288" s="22">
        <v>15210000</v>
      </c>
      <c r="B288" s="23" t="s">
        <v>716</v>
      </c>
      <c r="C288" s="348" t="s">
        <v>995</v>
      </c>
      <c r="D288" s="67">
        <v>1</v>
      </c>
      <c r="E288" s="61" t="s">
        <v>364</v>
      </c>
      <c r="F288" s="177"/>
      <c r="G288" s="177"/>
      <c r="H288" s="177"/>
      <c r="J288" s="349">
        <v>44440</v>
      </c>
      <c r="K288" s="65" t="str">
        <f t="shared" si="102"/>
        <v>SI</v>
      </c>
      <c r="L288" s="139">
        <f t="shared" si="116"/>
        <v>5545304</v>
      </c>
      <c r="M288" s="67">
        <v>5545304</v>
      </c>
      <c r="N288" s="67">
        <v>5545304</v>
      </c>
      <c r="O288" s="139">
        <f t="shared" si="117"/>
        <v>5545304</v>
      </c>
      <c r="P288" s="22">
        <v>15921100</v>
      </c>
      <c r="Q288" s="23" t="s">
        <v>718</v>
      </c>
      <c r="R288" s="67">
        <v>0</v>
      </c>
      <c r="S288" s="67">
        <v>0</v>
      </c>
      <c r="T288" s="139">
        <f t="shared" si="118"/>
        <v>0</v>
      </c>
      <c r="U288" s="38">
        <f t="shared" si="119"/>
        <v>5545304</v>
      </c>
      <c r="V288" s="367">
        <v>5</v>
      </c>
      <c r="W288" s="116">
        <f t="shared" si="120"/>
        <v>4</v>
      </c>
      <c r="X288" s="116">
        <f t="shared" si="121"/>
        <v>56</v>
      </c>
      <c r="Y288" s="38">
        <f t="shared" si="122"/>
        <v>92421.733333333337</v>
      </c>
      <c r="Z288" s="38">
        <f t="shared" si="123"/>
        <v>369686.93333333335</v>
      </c>
      <c r="AA288" s="38">
        <f t="shared" si="124"/>
        <v>5545304</v>
      </c>
      <c r="AB288" s="38">
        <f t="shared" si="125"/>
        <v>369687</v>
      </c>
      <c r="AC288" s="38">
        <f t="shared" si="126"/>
        <v>5175617</v>
      </c>
      <c r="AD288" s="444"/>
      <c r="AE288" s="73"/>
      <c r="AF288" s="148"/>
      <c r="AG288" s="73">
        <f t="shared" si="103"/>
        <v>369687</v>
      </c>
      <c r="AH288" s="73">
        <f t="shared" si="127"/>
        <v>5545304</v>
      </c>
    </row>
    <row r="289" spans="1:51" s="72" customFormat="1">
      <c r="A289" s="22">
        <v>15210000</v>
      </c>
      <c r="B289" s="23" t="s">
        <v>716</v>
      </c>
      <c r="C289" s="348" t="s">
        <v>995</v>
      </c>
      <c r="D289" s="67">
        <v>1</v>
      </c>
      <c r="E289" s="61" t="s">
        <v>364</v>
      </c>
      <c r="F289" s="177"/>
      <c r="G289" s="177"/>
      <c r="H289" s="177"/>
      <c r="J289" s="349">
        <v>44470</v>
      </c>
      <c r="K289" s="65" t="str">
        <f t="shared" si="102"/>
        <v>SI</v>
      </c>
      <c r="L289" s="139">
        <f t="shared" si="116"/>
        <v>5583480</v>
      </c>
      <c r="M289" s="67">
        <v>5583480</v>
      </c>
      <c r="N289" s="67">
        <v>5583480</v>
      </c>
      <c r="O289" s="139">
        <f t="shared" si="117"/>
        <v>5583480</v>
      </c>
      <c r="P289" s="22">
        <v>15921100</v>
      </c>
      <c r="Q289" s="23" t="s">
        <v>718</v>
      </c>
      <c r="R289" s="67">
        <v>0</v>
      </c>
      <c r="S289" s="67">
        <v>0</v>
      </c>
      <c r="T289" s="139">
        <f t="shared" si="118"/>
        <v>0</v>
      </c>
      <c r="U289" s="38">
        <f t="shared" si="119"/>
        <v>5583480</v>
      </c>
      <c r="V289" s="350">
        <v>10</v>
      </c>
      <c r="W289" s="116">
        <f t="shared" si="120"/>
        <v>3</v>
      </c>
      <c r="X289" s="116">
        <f t="shared" si="121"/>
        <v>117</v>
      </c>
      <c r="Y289" s="38">
        <f t="shared" si="122"/>
        <v>46529</v>
      </c>
      <c r="Z289" s="38">
        <f t="shared" si="123"/>
        <v>139587</v>
      </c>
      <c r="AA289" s="38">
        <f t="shared" si="124"/>
        <v>5583480</v>
      </c>
      <c r="AB289" s="38">
        <f t="shared" si="125"/>
        <v>139587</v>
      </c>
      <c r="AC289" s="38">
        <f t="shared" si="126"/>
        <v>5443893</v>
      </c>
      <c r="AD289" s="444"/>
      <c r="AF289" s="148"/>
      <c r="AG289" s="73">
        <f t="shared" si="103"/>
        <v>139587</v>
      </c>
      <c r="AH289" s="73">
        <f t="shared" si="127"/>
        <v>5583480</v>
      </c>
    </row>
    <row r="290" spans="1:51" s="72" customFormat="1">
      <c r="A290" s="22">
        <v>15210000</v>
      </c>
      <c r="B290" s="23" t="s">
        <v>716</v>
      </c>
      <c r="C290" s="348" t="s">
        <v>995</v>
      </c>
      <c r="D290" s="67">
        <v>1</v>
      </c>
      <c r="E290" s="61" t="s">
        <v>364</v>
      </c>
      <c r="F290" s="177"/>
      <c r="G290" s="177"/>
      <c r="H290" s="177"/>
      <c r="J290" s="349">
        <v>44531</v>
      </c>
      <c r="K290" s="65" t="str">
        <f t="shared" si="102"/>
        <v>SI</v>
      </c>
      <c r="L290" s="139">
        <f t="shared" si="116"/>
        <v>11723821</v>
      </c>
      <c r="M290" s="67">
        <v>11723821</v>
      </c>
      <c r="N290" s="67">
        <v>11723821</v>
      </c>
      <c r="O290" s="139">
        <f t="shared" si="117"/>
        <v>11723821</v>
      </c>
      <c r="P290" s="22">
        <v>15921100</v>
      </c>
      <c r="Q290" s="23" t="s">
        <v>718</v>
      </c>
      <c r="R290" s="67">
        <v>0</v>
      </c>
      <c r="S290" s="67">
        <v>0</v>
      </c>
      <c r="T290" s="139">
        <f t="shared" si="118"/>
        <v>0</v>
      </c>
      <c r="U290" s="38">
        <f t="shared" si="119"/>
        <v>11723821</v>
      </c>
      <c r="V290" s="367">
        <v>5</v>
      </c>
      <c r="W290" s="116">
        <f t="shared" si="120"/>
        <v>1</v>
      </c>
      <c r="X290" s="116">
        <f t="shared" si="121"/>
        <v>59</v>
      </c>
      <c r="Y290" s="38">
        <f t="shared" si="122"/>
        <v>195397.01666666666</v>
      </c>
      <c r="Z290" s="38">
        <f t="shared" si="123"/>
        <v>195397.01666666666</v>
      </c>
      <c r="AA290" s="38">
        <f t="shared" si="124"/>
        <v>11723821</v>
      </c>
      <c r="AB290" s="38">
        <f t="shared" si="125"/>
        <v>195397</v>
      </c>
      <c r="AC290" s="38">
        <f t="shared" si="126"/>
        <v>11528424</v>
      </c>
      <c r="AD290" s="444"/>
      <c r="AF290" s="148"/>
      <c r="AG290" s="73">
        <f t="shared" si="103"/>
        <v>195397</v>
      </c>
      <c r="AH290" s="73">
        <f t="shared" si="127"/>
        <v>11723821</v>
      </c>
    </row>
    <row r="291" spans="1:51" s="72" customFormat="1">
      <c r="AE291" s="217"/>
      <c r="AF291" s="148"/>
      <c r="AG291" s="73"/>
    </row>
    <row r="292" spans="1:51" s="73" customFormat="1">
      <c r="A292" s="72">
        <v>15240000</v>
      </c>
      <c r="B292" s="73" t="s">
        <v>21</v>
      </c>
      <c r="C292" s="74" t="s">
        <v>996</v>
      </c>
      <c r="D292" s="73">
        <v>1</v>
      </c>
      <c r="E292" s="36" t="s">
        <v>21</v>
      </c>
      <c r="F292" s="144"/>
      <c r="G292" s="144"/>
      <c r="H292" s="144"/>
      <c r="I292" s="144"/>
      <c r="J292" s="77">
        <v>42522</v>
      </c>
      <c r="K292" s="52" t="str">
        <f>IF(L292&gt;($M$22*50),"SI","NO")</f>
        <v>SI</v>
      </c>
      <c r="L292" s="113">
        <f t="shared" ref="L292:L295" si="128">M292/D292</f>
        <v>12326508</v>
      </c>
      <c r="M292" s="133">
        <v>12326508</v>
      </c>
      <c r="N292" s="145">
        <v>12326508</v>
      </c>
      <c r="O292" s="113">
        <f t="shared" ref="O292:O295" si="129">IF(K292="SI",N292,0)</f>
        <v>12326508</v>
      </c>
      <c r="P292" s="72">
        <v>15921500</v>
      </c>
      <c r="Q292" s="73" t="s">
        <v>28</v>
      </c>
      <c r="R292" s="73">
        <v>3184348</v>
      </c>
      <c r="S292" s="73">
        <v>3184348</v>
      </c>
      <c r="T292" s="113">
        <f t="shared" ref="T292:T295" si="130">IF(O292&gt;0,S292,0)</f>
        <v>3184348</v>
      </c>
      <c r="U292" s="38">
        <f t="shared" ref="U292:U295" si="131">IF(O292&gt;0,N292-S292,0)</f>
        <v>9142160</v>
      </c>
      <c r="V292" s="148">
        <v>10</v>
      </c>
      <c r="W292" s="116">
        <f>IF(ROUND(($W$27-J292)/30,0)&gt;(V292*12),(V292*12),(ROUND(($W$27-J292)/30,0)))-1</f>
        <v>67</v>
      </c>
      <c r="X292" s="116">
        <f t="shared" ref="X292:X295" si="132">(V292*12)-W292</f>
        <v>53</v>
      </c>
      <c r="Y292" s="38">
        <f t="shared" ref="Y292:Y295" si="133">N292/(V292*12)</f>
        <v>102720.9</v>
      </c>
      <c r="Z292" s="38">
        <f t="shared" ref="Z292:Z295" si="134">IF(U292&gt;0,W292*Y292,0)</f>
        <v>6882300.2999999998</v>
      </c>
      <c r="AA292" s="38">
        <f t="shared" ref="AA292:AA295" si="135">ROUND(IF(U292&gt;0,N292,0),0)</f>
        <v>12326508</v>
      </c>
      <c r="AB292" s="38">
        <f t="shared" ref="AB292:AB295" si="136">ROUND(IF(U292&gt;0,Z292,0),0)</f>
        <v>6882300</v>
      </c>
      <c r="AC292" s="38">
        <f t="shared" ref="AC292:AC295" si="137">AA292-AB292</f>
        <v>5444208</v>
      </c>
      <c r="AG292" s="73">
        <f>AB292-'P, Pl y Eq 2020'!AB258</f>
        <v>1232650</v>
      </c>
      <c r="AH292" s="72"/>
      <c r="AI292" s="72"/>
      <c r="AJ292" s="72"/>
      <c r="AK292" s="72"/>
      <c r="AL292" s="72"/>
      <c r="AM292" s="72"/>
      <c r="AN292" s="72"/>
      <c r="AO292" s="72"/>
      <c r="AP292" s="72"/>
      <c r="AQ292" s="72"/>
      <c r="AR292" s="72"/>
      <c r="AS292" s="72"/>
      <c r="AT292" s="72"/>
      <c r="AU292" s="72"/>
      <c r="AV292" s="72"/>
      <c r="AW292" s="72"/>
      <c r="AX292" s="72"/>
      <c r="AY292" s="72"/>
    </row>
    <row r="293" spans="1:51" s="73" customFormat="1">
      <c r="A293" s="72">
        <v>15240000</v>
      </c>
      <c r="B293" s="73" t="s">
        <v>21</v>
      </c>
      <c r="C293" s="74" t="s">
        <v>996</v>
      </c>
      <c r="D293" s="73">
        <v>1</v>
      </c>
      <c r="E293" s="36" t="s">
        <v>21</v>
      </c>
      <c r="F293" s="144"/>
      <c r="G293" s="144"/>
      <c r="H293" s="144"/>
      <c r="I293" s="144"/>
      <c r="J293" s="77">
        <v>42767</v>
      </c>
      <c r="K293" s="52" t="str">
        <f>IF(L293&gt;($M$23*50),"SI","NO")</f>
        <v>SI</v>
      </c>
      <c r="L293" s="113">
        <f t="shared" si="128"/>
        <v>4803217</v>
      </c>
      <c r="M293" s="73">
        <v>4803217</v>
      </c>
      <c r="N293" s="145">
        <v>4803217</v>
      </c>
      <c r="O293" s="113">
        <f t="shared" si="129"/>
        <v>4803217</v>
      </c>
      <c r="P293" s="72">
        <v>15921500</v>
      </c>
      <c r="Q293" s="73" t="s">
        <v>28</v>
      </c>
      <c r="R293" s="73">
        <v>920617</v>
      </c>
      <c r="S293" s="73">
        <v>920617</v>
      </c>
      <c r="T293" s="113">
        <f t="shared" si="130"/>
        <v>920617</v>
      </c>
      <c r="U293" s="38">
        <f t="shared" si="131"/>
        <v>3882600</v>
      </c>
      <c r="V293" s="148">
        <v>10</v>
      </c>
      <c r="W293" s="116">
        <f>IF(ROUND(($W$27-J293)/30,0)&gt;(V293*12),(V293*12),(ROUND(($W$27-J293)/30,0)))-1</f>
        <v>59</v>
      </c>
      <c r="X293" s="116">
        <f t="shared" si="132"/>
        <v>61</v>
      </c>
      <c r="Y293" s="38">
        <f t="shared" si="133"/>
        <v>40026.808333333334</v>
      </c>
      <c r="Z293" s="38">
        <f t="shared" si="134"/>
        <v>2361581.6916666669</v>
      </c>
      <c r="AA293" s="38">
        <f t="shared" si="135"/>
        <v>4803217</v>
      </c>
      <c r="AB293" s="38">
        <f t="shared" si="136"/>
        <v>2361582</v>
      </c>
      <c r="AC293" s="38">
        <f t="shared" si="137"/>
        <v>2441635</v>
      </c>
      <c r="AG293" s="73">
        <f>AB293-'P, Pl y Eq 2020'!AB259</f>
        <v>480322</v>
      </c>
      <c r="AH293" s="72"/>
      <c r="AI293" s="72"/>
      <c r="AJ293" s="72"/>
      <c r="AK293" s="72"/>
      <c r="AL293" s="72"/>
      <c r="AM293" s="72"/>
      <c r="AN293" s="72"/>
      <c r="AO293" s="72"/>
      <c r="AP293" s="72"/>
      <c r="AQ293" s="72"/>
      <c r="AR293" s="72"/>
      <c r="AS293" s="72"/>
      <c r="AT293" s="72"/>
      <c r="AU293" s="72"/>
      <c r="AV293" s="72"/>
      <c r="AW293" s="72"/>
      <c r="AX293" s="72"/>
      <c r="AY293" s="72"/>
    </row>
    <row r="294" spans="1:51" s="73" customFormat="1">
      <c r="A294" s="72">
        <v>15240000</v>
      </c>
      <c r="B294" s="73" t="s">
        <v>21</v>
      </c>
      <c r="C294" s="74" t="s">
        <v>996</v>
      </c>
      <c r="D294" s="73">
        <v>1</v>
      </c>
      <c r="E294" s="36" t="s">
        <v>21</v>
      </c>
      <c r="F294" s="144"/>
      <c r="G294" s="144"/>
      <c r="H294" s="144"/>
      <c r="I294" s="144"/>
      <c r="J294" s="77">
        <v>43069</v>
      </c>
      <c r="K294" s="52" t="str">
        <f>IF(L294&gt;($M$23*50),"SI","NO")</f>
        <v>SI</v>
      </c>
      <c r="L294" s="113">
        <f t="shared" si="128"/>
        <v>23192568</v>
      </c>
      <c r="M294" s="73">
        <v>23192568</v>
      </c>
      <c r="N294" s="145">
        <v>23192568</v>
      </c>
      <c r="O294" s="113">
        <f t="shared" si="129"/>
        <v>23192568</v>
      </c>
      <c r="P294" s="72">
        <v>15921500</v>
      </c>
      <c r="Q294" s="73" t="s">
        <v>28</v>
      </c>
      <c r="R294" s="73">
        <v>2512528</v>
      </c>
      <c r="S294" s="73">
        <v>2512528</v>
      </c>
      <c r="T294" s="113">
        <f t="shared" si="130"/>
        <v>2512528</v>
      </c>
      <c r="U294" s="38">
        <f t="shared" si="131"/>
        <v>20680040</v>
      </c>
      <c r="V294" s="148">
        <v>10</v>
      </c>
      <c r="W294" s="116">
        <f>IF(ROUND(($W$27-J294)/30,0)&gt;(V294*12),(V294*12),(ROUND(($W$27-J294)/30,0)))-1</f>
        <v>49</v>
      </c>
      <c r="X294" s="116">
        <f t="shared" si="132"/>
        <v>71</v>
      </c>
      <c r="Y294" s="38">
        <f t="shared" si="133"/>
        <v>193271.4</v>
      </c>
      <c r="Z294" s="38">
        <f t="shared" si="134"/>
        <v>9470298.5999999996</v>
      </c>
      <c r="AA294" s="38">
        <f t="shared" si="135"/>
        <v>23192568</v>
      </c>
      <c r="AB294" s="38">
        <f t="shared" si="136"/>
        <v>9470299</v>
      </c>
      <c r="AC294" s="38">
        <f t="shared" si="137"/>
        <v>13722269</v>
      </c>
      <c r="AG294" s="73">
        <f>AB294-'P, Pl y Eq 2020'!AB260</f>
        <v>2319257</v>
      </c>
      <c r="AH294" s="72"/>
      <c r="AI294" s="72"/>
      <c r="AJ294" s="72"/>
      <c r="AK294" s="72"/>
      <c r="AL294" s="72"/>
      <c r="AM294" s="72"/>
      <c r="AN294" s="72"/>
      <c r="AO294" s="72"/>
      <c r="AP294" s="72"/>
      <c r="AQ294" s="72"/>
      <c r="AR294" s="72"/>
      <c r="AS294" s="72"/>
      <c r="AT294" s="72"/>
      <c r="AU294" s="72"/>
      <c r="AV294" s="72"/>
      <c r="AW294" s="72"/>
      <c r="AX294" s="72"/>
      <c r="AY294" s="72"/>
    </row>
    <row r="295" spans="1:51" s="72" customFormat="1">
      <c r="A295" s="72">
        <v>15240000</v>
      </c>
      <c r="B295" s="73" t="s">
        <v>21</v>
      </c>
      <c r="C295" s="222" t="s">
        <v>996</v>
      </c>
      <c r="D295" s="67">
        <v>1</v>
      </c>
      <c r="E295" s="36" t="s">
        <v>21</v>
      </c>
      <c r="F295" s="177"/>
      <c r="G295" s="177"/>
      <c r="H295" s="177"/>
      <c r="I295" s="222"/>
      <c r="J295" s="223">
        <v>43959</v>
      </c>
      <c r="K295" s="65" t="str">
        <f>IF(L295&gt;($M$26*50),"SI","NO")</f>
        <v>SI</v>
      </c>
      <c r="L295" s="139">
        <f t="shared" si="128"/>
        <v>7731695</v>
      </c>
      <c r="M295" s="67">
        <v>7731695</v>
      </c>
      <c r="N295" s="67">
        <v>7731695</v>
      </c>
      <c r="O295" s="139">
        <f t="shared" si="129"/>
        <v>7731695</v>
      </c>
      <c r="P295" s="72">
        <v>15921500</v>
      </c>
      <c r="Q295" s="73" t="s">
        <v>28</v>
      </c>
      <c r="R295" s="67">
        <v>0</v>
      </c>
      <c r="S295" s="67">
        <v>0</v>
      </c>
      <c r="T295" s="139">
        <f t="shared" si="130"/>
        <v>0</v>
      </c>
      <c r="U295" s="38">
        <f t="shared" si="131"/>
        <v>7731695</v>
      </c>
      <c r="V295" s="148">
        <v>10</v>
      </c>
      <c r="W295" s="116">
        <f>IF(ROUND(($W$27-J295)/30,0)&gt;(V295*12),(V295*12),(ROUND(($W$27-J295)/30,0)))-1</f>
        <v>19</v>
      </c>
      <c r="X295" s="116">
        <f t="shared" si="132"/>
        <v>101</v>
      </c>
      <c r="Y295" s="38">
        <f t="shared" si="133"/>
        <v>64430.791666666664</v>
      </c>
      <c r="Z295" s="38">
        <f t="shared" si="134"/>
        <v>1224185.0416666665</v>
      </c>
      <c r="AA295" s="38">
        <f t="shared" si="135"/>
        <v>7731695</v>
      </c>
      <c r="AB295" s="38">
        <f t="shared" si="136"/>
        <v>1224185</v>
      </c>
      <c r="AC295" s="38">
        <f t="shared" si="137"/>
        <v>6507510</v>
      </c>
      <c r="AE295" s="73"/>
      <c r="AF295" s="73"/>
      <c r="AG295" s="73">
        <f>AB295-'P, Pl y Eq 2020'!AB261</f>
        <v>773169</v>
      </c>
    </row>
    <row r="296" spans="1:51" s="72" customFormat="1">
      <c r="AE296" s="73"/>
      <c r="AF296" s="73"/>
      <c r="AG296" s="73"/>
    </row>
    <row r="297" spans="1:51" s="217" customFormat="1">
      <c r="A297" s="72">
        <v>15280000</v>
      </c>
      <c r="B297" s="73" t="s">
        <v>22</v>
      </c>
      <c r="C297" s="217" t="s">
        <v>997</v>
      </c>
      <c r="D297" s="217">
        <v>1</v>
      </c>
      <c r="E297" s="61" t="s">
        <v>365</v>
      </c>
      <c r="F297" s="218"/>
      <c r="G297" s="218"/>
      <c r="H297" s="218"/>
      <c r="I297" s="218"/>
      <c r="J297" s="219">
        <v>42369</v>
      </c>
      <c r="K297" s="52" t="str">
        <f>IF(L297&gt;($M$22*50),"SI","NO")</f>
        <v>NO</v>
      </c>
      <c r="L297" s="139">
        <f t="shared" ref="L297:L323" si="138">M297/D297</f>
        <v>0</v>
      </c>
      <c r="M297" s="217">
        <f>3159800*0</f>
        <v>0</v>
      </c>
      <c r="N297" s="217">
        <f>3159800*0</f>
        <v>0</v>
      </c>
      <c r="O297" s="139">
        <f t="shared" ref="O297:O323" si="139">IF(K297="SI",N297,0)</f>
        <v>0</v>
      </c>
      <c r="P297" s="72">
        <v>15922000</v>
      </c>
      <c r="Q297" s="73" t="s">
        <v>29</v>
      </c>
      <c r="R297" s="217">
        <v>0</v>
      </c>
      <c r="S297" s="217">
        <v>0</v>
      </c>
      <c r="T297" s="139">
        <f t="shared" ref="T297:T323" si="140">IF(O297&gt;0,S297,0)</f>
        <v>0</v>
      </c>
      <c r="U297" s="60">
        <f t="shared" ref="U297:U323" si="141">IF(O297&gt;0,N297-S297,0)</f>
        <v>0</v>
      </c>
      <c r="V297" s="220">
        <v>1</v>
      </c>
      <c r="W297" s="116">
        <f>IF(ROUND(($W$27-J297)/30,0)&gt;(V297*12),(V297*12),(ROUND(($W$27-J297)/30,0)))</f>
        <v>12</v>
      </c>
      <c r="X297" s="140">
        <f t="shared" ref="X297:X323" si="142">(V297*12)-W297</f>
        <v>0</v>
      </c>
      <c r="Y297" s="60">
        <f>N297/(V297*12)</f>
        <v>0</v>
      </c>
      <c r="Z297" s="60">
        <f t="shared" ref="Z297:Z323" si="143">IF(U297&gt;0,W297*Y297,0)</f>
        <v>0</v>
      </c>
      <c r="AA297" s="60">
        <f t="shared" ref="AA297:AA323" si="144">ROUND(IF(U297&gt;0,N297,0),0)</f>
        <v>0</v>
      </c>
      <c r="AB297" s="60">
        <f t="shared" ref="AB297:AB323" si="145">ROUND(IF(U297&gt;0,Z297,0),0)</f>
        <v>0</v>
      </c>
      <c r="AC297" s="60">
        <f t="shared" ref="AC297:AC323" si="146">AA297-AB297</f>
        <v>0</v>
      </c>
      <c r="AD297" s="217" t="s">
        <v>1046</v>
      </c>
      <c r="AE297" s="73"/>
      <c r="AF297" s="73"/>
      <c r="AG297" s="73">
        <f>AB297-'P, Pl y Eq 2020'!AB263</f>
        <v>0</v>
      </c>
      <c r="AH297" s="72"/>
      <c r="AI297" s="72"/>
      <c r="AJ297" s="72"/>
      <c r="AK297" s="72"/>
      <c r="AL297" s="72"/>
      <c r="AM297" s="72"/>
      <c r="AN297" s="72"/>
      <c r="AO297" s="72"/>
      <c r="AP297" s="72"/>
      <c r="AQ297" s="72"/>
      <c r="AR297" s="72"/>
      <c r="AS297" s="72"/>
      <c r="AT297" s="72"/>
      <c r="AU297" s="72"/>
      <c r="AV297" s="72"/>
      <c r="AW297" s="72"/>
      <c r="AX297" s="72"/>
      <c r="AY297" s="72"/>
    </row>
    <row r="298" spans="1:51" s="73" customFormat="1">
      <c r="A298" s="72">
        <v>15280000</v>
      </c>
      <c r="B298" s="73" t="s">
        <v>22</v>
      </c>
      <c r="C298" s="74" t="s">
        <v>997</v>
      </c>
      <c r="D298" s="73">
        <v>1</v>
      </c>
      <c r="E298" s="36" t="s">
        <v>365</v>
      </c>
      <c r="F298" s="144"/>
      <c r="G298" s="144"/>
      <c r="H298" s="144"/>
      <c r="I298" s="144"/>
      <c r="J298" s="77">
        <v>43036</v>
      </c>
      <c r="K298" s="52" t="str">
        <f>IF(L298&gt;($M$23*50),"SI","NO")</f>
        <v>SI</v>
      </c>
      <c r="L298" s="113">
        <f t="shared" si="138"/>
        <v>2620588</v>
      </c>
      <c r="M298" s="73">
        <v>2620588</v>
      </c>
      <c r="N298" s="145">
        <v>2620588</v>
      </c>
      <c r="O298" s="113">
        <f t="shared" si="139"/>
        <v>2620588</v>
      </c>
      <c r="P298" s="72">
        <v>15922000</v>
      </c>
      <c r="Q298" s="73" t="s">
        <v>29</v>
      </c>
      <c r="R298" s="73">
        <v>611471</v>
      </c>
      <c r="S298" s="73">
        <v>611471</v>
      </c>
      <c r="T298" s="113">
        <f t="shared" si="140"/>
        <v>611471</v>
      </c>
      <c r="U298" s="38">
        <f t="shared" si="141"/>
        <v>2009117</v>
      </c>
      <c r="V298" s="148">
        <v>5</v>
      </c>
      <c r="W298" s="116">
        <f>IF(ROUND(($W$27-J298)/30,0)&gt;(V298*12),(V298*12),(ROUND(($W$27-J298)/30,0)))-1</f>
        <v>50</v>
      </c>
      <c r="X298" s="116">
        <f t="shared" si="142"/>
        <v>10</v>
      </c>
      <c r="Y298" s="38">
        <f t="shared" ref="Y298:Y323" si="147">N298/(V298*12)</f>
        <v>43676.466666666667</v>
      </c>
      <c r="Z298" s="38">
        <f t="shared" si="143"/>
        <v>2183823.3333333335</v>
      </c>
      <c r="AA298" s="38">
        <f t="shared" si="144"/>
        <v>2620588</v>
      </c>
      <c r="AB298" s="38">
        <f t="shared" si="145"/>
        <v>2183823</v>
      </c>
      <c r="AC298" s="38">
        <f t="shared" si="146"/>
        <v>436765</v>
      </c>
      <c r="AG298" s="73">
        <f>AB298-'P, Pl y Eq 2020'!AB264</f>
        <v>524117</v>
      </c>
      <c r="AH298" s="72"/>
      <c r="AI298" s="72"/>
      <c r="AJ298" s="72"/>
      <c r="AK298" s="72"/>
      <c r="AL298" s="72"/>
      <c r="AM298" s="72"/>
      <c r="AN298" s="72"/>
      <c r="AO298" s="72"/>
      <c r="AP298" s="72"/>
      <c r="AQ298" s="72"/>
      <c r="AR298" s="72"/>
      <c r="AS298" s="72"/>
      <c r="AT298" s="72"/>
      <c r="AU298" s="72"/>
      <c r="AV298" s="72"/>
      <c r="AW298" s="72"/>
      <c r="AX298" s="72"/>
      <c r="AY298" s="72"/>
    </row>
    <row r="299" spans="1:51" s="73" customFormat="1">
      <c r="A299" s="72">
        <v>15280000</v>
      </c>
      <c r="B299" s="73" t="s">
        <v>22</v>
      </c>
      <c r="C299" s="74" t="s">
        <v>997</v>
      </c>
      <c r="D299" s="73">
        <v>1</v>
      </c>
      <c r="E299" s="36" t="s">
        <v>365</v>
      </c>
      <c r="F299" s="144"/>
      <c r="G299" s="144"/>
      <c r="H299" s="144"/>
      <c r="I299" s="144"/>
      <c r="J299" s="77">
        <v>42763</v>
      </c>
      <c r="K299" s="52" t="str">
        <f>IF(L299&gt;($M$23*50),"SI","NO")</f>
        <v>SI</v>
      </c>
      <c r="L299" s="113">
        <f t="shared" si="138"/>
        <v>4874741</v>
      </c>
      <c r="M299" s="73">
        <v>4874741</v>
      </c>
      <c r="N299" s="145">
        <v>4874741</v>
      </c>
      <c r="O299" s="113">
        <f t="shared" si="139"/>
        <v>4874741</v>
      </c>
      <c r="P299" s="72">
        <v>15922000</v>
      </c>
      <c r="Q299" s="73" t="s">
        <v>29</v>
      </c>
      <c r="R299" s="73">
        <v>2335813</v>
      </c>
      <c r="S299" s="73">
        <v>2335813</v>
      </c>
      <c r="T299" s="113">
        <f t="shared" si="140"/>
        <v>2335813</v>
      </c>
      <c r="U299" s="38">
        <f t="shared" si="141"/>
        <v>2538928</v>
      </c>
      <c r="V299" s="148">
        <v>4</v>
      </c>
      <c r="W299" s="116">
        <f t="shared" ref="W299:W302" si="148">IF(ROUND(($W$27-J299)/30,0)&gt;(V299*12),(V299*12),(ROUND(($W$27-J299)/30,0)))</f>
        <v>48</v>
      </c>
      <c r="X299" s="116">
        <f t="shared" si="142"/>
        <v>0</v>
      </c>
      <c r="Y299" s="38">
        <f t="shared" si="147"/>
        <v>101557.10416666667</v>
      </c>
      <c r="Z299" s="38">
        <f t="shared" si="143"/>
        <v>4874741</v>
      </c>
      <c r="AA299" s="38">
        <f t="shared" si="144"/>
        <v>4874741</v>
      </c>
      <c r="AB299" s="38">
        <f t="shared" si="145"/>
        <v>4874741</v>
      </c>
      <c r="AC299" s="38">
        <f t="shared" si="146"/>
        <v>0</v>
      </c>
      <c r="AD299" s="365" t="s">
        <v>1047</v>
      </c>
      <c r="AG299" s="73">
        <f>AB299-'P, Pl y Eq 2020'!AB265</f>
        <v>101557</v>
      </c>
    </row>
    <row r="300" spans="1:51" s="73" customFormat="1">
      <c r="A300" s="72">
        <v>15280000</v>
      </c>
      <c r="B300" s="73" t="s">
        <v>22</v>
      </c>
      <c r="C300" s="74" t="s">
        <v>997</v>
      </c>
      <c r="D300" s="73">
        <v>1</v>
      </c>
      <c r="E300" s="36" t="s">
        <v>365</v>
      </c>
      <c r="F300" s="144"/>
      <c r="G300" s="144"/>
      <c r="H300" s="144"/>
      <c r="I300" s="144"/>
      <c r="J300" s="77">
        <v>42866</v>
      </c>
      <c r="K300" s="52" t="str">
        <f>IF(L300&gt;($M$23*50),"SI","NO")</f>
        <v>SI</v>
      </c>
      <c r="L300" s="113">
        <f t="shared" si="138"/>
        <v>2972026</v>
      </c>
      <c r="M300" s="73">
        <v>2972026</v>
      </c>
      <c r="N300" s="145">
        <v>2972026</v>
      </c>
      <c r="O300" s="113">
        <f t="shared" si="139"/>
        <v>2972026</v>
      </c>
      <c r="P300" s="72">
        <v>15922000</v>
      </c>
      <c r="Q300" s="73" t="s">
        <v>29</v>
      </c>
      <c r="R300" s="73">
        <v>1238344</v>
      </c>
      <c r="S300" s="73">
        <v>1238344</v>
      </c>
      <c r="T300" s="113">
        <f t="shared" si="140"/>
        <v>1238344</v>
      </c>
      <c r="U300" s="38">
        <f t="shared" si="141"/>
        <v>1733682</v>
      </c>
      <c r="V300" s="148">
        <v>4</v>
      </c>
      <c r="W300" s="116">
        <f t="shared" si="148"/>
        <v>48</v>
      </c>
      <c r="X300" s="116">
        <f t="shared" si="142"/>
        <v>0</v>
      </c>
      <c r="Y300" s="38">
        <f t="shared" si="147"/>
        <v>61917.208333333336</v>
      </c>
      <c r="Z300" s="38">
        <f t="shared" si="143"/>
        <v>2972026</v>
      </c>
      <c r="AA300" s="38">
        <f t="shared" si="144"/>
        <v>2972026</v>
      </c>
      <c r="AB300" s="38">
        <f t="shared" si="145"/>
        <v>2972026</v>
      </c>
      <c r="AC300" s="38">
        <f t="shared" si="146"/>
        <v>0</v>
      </c>
      <c r="AD300" s="365" t="s">
        <v>1047</v>
      </c>
      <c r="AE300" s="67"/>
      <c r="AG300" s="73">
        <f>AB300-'P, Pl y Eq 2020'!AB266</f>
        <v>247669</v>
      </c>
    </row>
    <row r="301" spans="1:51" s="73" customFormat="1">
      <c r="A301" s="72">
        <v>15280000</v>
      </c>
      <c r="B301" s="73" t="s">
        <v>22</v>
      </c>
      <c r="C301" s="74" t="s">
        <v>997</v>
      </c>
      <c r="D301" s="73">
        <v>1</v>
      </c>
      <c r="E301" s="36" t="s">
        <v>365</v>
      </c>
      <c r="F301" s="144"/>
      <c r="G301" s="144"/>
      <c r="H301" s="144"/>
      <c r="I301" s="144"/>
      <c r="J301" s="77">
        <v>42988</v>
      </c>
      <c r="K301" s="52" t="str">
        <f>IF(L301&gt;($M$23*50),"SI","NO")</f>
        <v>SI</v>
      </c>
      <c r="L301" s="113">
        <f t="shared" si="138"/>
        <v>35506005</v>
      </c>
      <c r="M301" s="73">
        <v>35506005</v>
      </c>
      <c r="N301" s="145">
        <v>35506005</v>
      </c>
      <c r="O301" s="113">
        <f t="shared" si="139"/>
        <v>35506005</v>
      </c>
      <c r="P301" s="72">
        <v>15922000</v>
      </c>
      <c r="Q301" s="73" t="s">
        <v>29</v>
      </c>
      <c r="R301" s="73">
        <v>4734134</v>
      </c>
      <c r="S301" s="73">
        <v>4734134</v>
      </c>
      <c r="T301" s="113">
        <f t="shared" si="140"/>
        <v>4734134</v>
      </c>
      <c r="U301" s="38">
        <f t="shared" si="141"/>
        <v>30771871</v>
      </c>
      <c r="V301" s="148">
        <v>10</v>
      </c>
      <c r="W301" s="116">
        <f t="shared" si="148"/>
        <v>52</v>
      </c>
      <c r="X301" s="116">
        <f t="shared" si="142"/>
        <v>68</v>
      </c>
      <c r="Y301" s="38">
        <f t="shared" si="147"/>
        <v>295883.375</v>
      </c>
      <c r="Z301" s="38">
        <f t="shared" si="143"/>
        <v>15385935.5</v>
      </c>
      <c r="AA301" s="38">
        <f t="shared" si="144"/>
        <v>35506005</v>
      </c>
      <c r="AB301" s="38">
        <f t="shared" si="145"/>
        <v>15385936</v>
      </c>
      <c r="AC301" s="38">
        <f t="shared" si="146"/>
        <v>20120069</v>
      </c>
      <c r="AE301" s="67"/>
      <c r="AG301" s="73">
        <f>AB301-'P, Pl y Eq 2020'!AB267</f>
        <v>3550601</v>
      </c>
    </row>
    <row r="302" spans="1:51" s="73" customFormat="1">
      <c r="A302" s="72">
        <v>15280000</v>
      </c>
      <c r="B302" s="73" t="s">
        <v>22</v>
      </c>
      <c r="C302" s="74" t="s">
        <v>997</v>
      </c>
      <c r="D302" s="73">
        <v>1</v>
      </c>
      <c r="E302" s="36" t="s">
        <v>365</v>
      </c>
      <c r="F302" s="144"/>
      <c r="G302" s="144"/>
      <c r="H302" s="144"/>
      <c r="I302" s="144"/>
      <c r="J302" s="77">
        <v>43085</v>
      </c>
      <c r="K302" s="52" t="str">
        <f>IF(L302&gt;($M$23*50),"SI","NO")</f>
        <v>SI</v>
      </c>
      <c r="L302" s="113">
        <f t="shared" si="138"/>
        <v>10647939</v>
      </c>
      <c r="M302" s="73">
        <v>10647939</v>
      </c>
      <c r="N302" s="145">
        <v>10647939</v>
      </c>
      <c r="O302" s="113">
        <f t="shared" si="139"/>
        <v>10647939</v>
      </c>
      <c r="P302" s="72">
        <v>15922000</v>
      </c>
      <c r="Q302" s="73" t="s">
        <v>29</v>
      </c>
      <c r="R302" s="73">
        <v>1153527</v>
      </c>
      <c r="S302" s="73">
        <v>1153527</v>
      </c>
      <c r="T302" s="113">
        <f t="shared" si="140"/>
        <v>1153527</v>
      </c>
      <c r="U302" s="38">
        <f t="shared" si="141"/>
        <v>9494412</v>
      </c>
      <c r="V302" s="148">
        <v>10</v>
      </c>
      <c r="W302" s="116">
        <f t="shared" si="148"/>
        <v>49</v>
      </c>
      <c r="X302" s="116">
        <f t="shared" si="142"/>
        <v>71</v>
      </c>
      <c r="Y302" s="38">
        <f t="shared" si="147"/>
        <v>88732.824999999997</v>
      </c>
      <c r="Z302" s="38">
        <f t="shared" si="143"/>
        <v>4347908.4249999998</v>
      </c>
      <c r="AA302" s="38">
        <f t="shared" si="144"/>
        <v>10647939</v>
      </c>
      <c r="AB302" s="38">
        <f t="shared" si="145"/>
        <v>4347908</v>
      </c>
      <c r="AC302" s="38">
        <f t="shared" si="146"/>
        <v>6300031</v>
      </c>
      <c r="AE302" s="67"/>
      <c r="AG302" s="73">
        <f>AB302-'P, Pl y Eq 2020'!AB268</f>
        <v>1064793</v>
      </c>
    </row>
    <row r="303" spans="1:51" s="73" customFormat="1">
      <c r="A303" s="72">
        <v>15280000</v>
      </c>
      <c r="B303" s="73" t="s">
        <v>22</v>
      </c>
      <c r="C303" s="74" t="s">
        <v>997</v>
      </c>
      <c r="D303" s="73">
        <v>1</v>
      </c>
      <c r="E303" s="36" t="s">
        <v>365</v>
      </c>
      <c r="F303" s="144"/>
      <c r="G303" s="144"/>
      <c r="H303" s="144"/>
      <c r="I303" s="144"/>
      <c r="J303" s="166">
        <v>43251</v>
      </c>
      <c r="K303" s="52" t="str">
        <f>IF(L303&gt;($M$24*50),"SI","NO")</f>
        <v>SI</v>
      </c>
      <c r="L303" s="113">
        <f t="shared" si="138"/>
        <v>6421597</v>
      </c>
      <c r="M303" s="73">
        <v>6421597</v>
      </c>
      <c r="N303" s="145">
        <v>6421597</v>
      </c>
      <c r="O303" s="113">
        <f t="shared" si="139"/>
        <v>6421597</v>
      </c>
      <c r="P303" s="72">
        <v>15922000</v>
      </c>
      <c r="Q303" s="73" t="s">
        <v>29</v>
      </c>
      <c r="R303" s="73">
        <v>749186</v>
      </c>
      <c r="S303" s="73">
        <v>749186</v>
      </c>
      <c r="T303" s="113">
        <f t="shared" si="140"/>
        <v>749186</v>
      </c>
      <c r="U303" s="38">
        <f t="shared" si="141"/>
        <v>5672411</v>
      </c>
      <c r="V303" s="148">
        <v>5</v>
      </c>
      <c r="W303" s="116">
        <f>IF(ROUND(($W$27-J303)/30,0)&gt;(V303*12),(V303*12),(ROUND(($W$27-J303)/30,0)))-1</f>
        <v>43</v>
      </c>
      <c r="X303" s="116">
        <f t="shared" si="142"/>
        <v>17</v>
      </c>
      <c r="Y303" s="38">
        <f t="shared" si="147"/>
        <v>107026.61666666667</v>
      </c>
      <c r="Z303" s="38">
        <f t="shared" si="143"/>
        <v>4602144.5166666666</v>
      </c>
      <c r="AA303" s="38">
        <f t="shared" si="144"/>
        <v>6421597</v>
      </c>
      <c r="AB303" s="38">
        <f t="shared" si="145"/>
        <v>4602145</v>
      </c>
      <c r="AC303" s="38">
        <f t="shared" si="146"/>
        <v>1819452</v>
      </c>
      <c r="AE303" s="67"/>
      <c r="AG303" s="73">
        <f>AB303-'P, Pl y Eq 2020'!AB269</f>
        <v>1284320</v>
      </c>
    </row>
    <row r="304" spans="1:51" s="73" customFormat="1">
      <c r="A304" s="72">
        <v>15280000</v>
      </c>
      <c r="B304" s="73" t="s">
        <v>22</v>
      </c>
      <c r="C304" s="74" t="s">
        <v>997</v>
      </c>
      <c r="D304" s="73">
        <v>1</v>
      </c>
      <c r="E304" s="36" t="s">
        <v>365</v>
      </c>
      <c r="F304" s="144"/>
      <c r="G304" s="144"/>
      <c r="H304" s="144"/>
      <c r="I304" s="144"/>
      <c r="J304" s="166">
        <v>43281</v>
      </c>
      <c r="K304" s="52" t="str">
        <f>IF(L304&gt;($M$24*50),"SI","NO")</f>
        <v>SI</v>
      </c>
      <c r="L304" s="113">
        <f t="shared" si="138"/>
        <v>20527633</v>
      </c>
      <c r="M304" s="73">
        <v>20527633</v>
      </c>
      <c r="N304" s="145">
        <v>20527633</v>
      </c>
      <c r="O304" s="113">
        <f t="shared" si="139"/>
        <v>20527633</v>
      </c>
      <c r="P304" s="72">
        <v>15922000</v>
      </c>
      <c r="Q304" s="73" t="s">
        <v>29</v>
      </c>
      <c r="R304" s="73">
        <v>1026382</v>
      </c>
      <c r="S304" s="73">
        <v>1026382</v>
      </c>
      <c r="T304" s="113">
        <f t="shared" si="140"/>
        <v>1026382</v>
      </c>
      <c r="U304" s="38">
        <f t="shared" si="141"/>
        <v>19501251</v>
      </c>
      <c r="V304" s="148">
        <v>10</v>
      </c>
      <c r="W304" s="116">
        <f>IF(ROUND(($W$27-J304)/30,0)&gt;(V304*12),(V304*12),(ROUND(($W$27-J304)/30,0)))-1</f>
        <v>42</v>
      </c>
      <c r="X304" s="116">
        <f t="shared" si="142"/>
        <v>78</v>
      </c>
      <c r="Y304" s="38">
        <f t="shared" si="147"/>
        <v>171063.60833333334</v>
      </c>
      <c r="Z304" s="38">
        <f t="shared" si="143"/>
        <v>7184671.5499999998</v>
      </c>
      <c r="AA304" s="38">
        <f t="shared" si="144"/>
        <v>20527633</v>
      </c>
      <c r="AB304" s="38">
        <f t="shared" si="145"/>
        <v>7184672</v>
      </c>
      <c r="AC304" s="38">
        <f t="shared" si="146"/>
        <v>13342961</v>
      </c>
      <c r="AE304" s="67"/>
      <c r="AG304" s="73">
        <f>AB304-'P, Pl y Eq 2020'!AB270</f>
        <v>2052764</v>
      </c>
    </row>
    <row r="305" spans="1:35" s="73" customFormat="1">
      <c r="A305" s="72">
        <v>15280000</v>
      </c>
      <c r="B305" s="73" t="s">
        <v>22</v>
      </c>
      <c r="C305" s="74" t="s">
        <v>997</v>
      </c>
      <c r="D305" s="73">
        <v>1</v>
      </c>
      <c r="E305" s="36" t="s">
        <v>365</v>
      </c>
      <c r="F305" s="144"/>
      <c r="G305" s="144"/>
      <c r="H305" s="144"/>
      <c r="I305" s="144"/>
      <c r="J305" s="169">
        <v>43426</v>
      </c>
      <c r="K305" s="52" t="str">
        <f>IF(L305&gt;($M$24*50),"SI","NO")</f>
        <v>SI</v>
      </c>
      <c r="L305" s="113">
        <f t="shared" si="138"/>
        <v>6961500</v>
      </c>
      <c r="M305" s="73">
        <v>6961500</v>
      </c>
      <c r="N305" s="145">
        <v>6961500</v>
      </c>
      <c r="O305" s="113">
        <f t="shared" si="139"/>
        <v>6961500</v>
      </c>
      <c r="P305" s="72">
        <v>15922000</v>
      </c>
      <c r="Q305" s="73" t="s">
        <v>29</v>
      </c>
      <c r="R305" s="73">
        <v>116025</v>
      </c>
      <c r="S305" s="73">
        <v>116025</v>
      </c>
      <c r="T305" s="113">
        <f t="shared" si="140"/>
        <v>116025</v>
      </c>
      <c r="U305" s="38">
        <f t="shared" si="141"/>
        <v>6845475</v>
      </c>
      <c r="V305" s="148">
        <v>5</v>
      </c>
      <c r="W305" s="116">
        <f>IF(ROUND(($W$27-J305)/30,0)&gt;(V305*12),(V305*12),(ROUND(($W$27-J305)/30,0)))-1</f>
        <v>37</v>
      </c>
      <c r="X305" s="116">
        <f t="shared" si="142"/>
        <v>23</v>
      </c>
      <c r="Y305" s="38">
        <f t="shared" si="147"/>
        <v>116025</v>
      </c>
      <c r="Z305" s="38">
        <f t="shared" si="143"/>
        <v>4292925</v>
      </c>
      <c r="AA305" s="38">
        <f t="shared" si="144"/>
        <v>6961500</v>
      </c>
      <c r="AB305" s="38">
        <f t="shared" si="145"/>
        <v>4292925</v>
      </c>
      <c r="AC305" s="38">
        <f t="shared" si="146"/>
        <v>2668575</v>
      </c>
      <c r="AE305" s="67"/>
      <c r="AG305" s="73">
        <f>AB305-'P, Pl y Eq 2020'!AB271</f>
        <v>1392300</v>
      </c>
    </row>
    <row r="306" spans="1:35" s="67" customFormat="1">
      <c r="A306" s="66">
        <v>15280000</v>
      </c>
      <c r="B306" s="67" t="s">
        <v>22</v>
      </c>
      <c r="C306" s="67" t="s">
        <v>997</v>
      </c>
      <c r="D306" s="67">
        <v>1</v>
      </c>
      <c r="E306" s="61" t="s">
        <v>365</v>
      </c>
      <c r="F306" s="177"/>
      <c r="G306" s="177"/>
      <c r="H306" s="177"/>
      <c r="I306" s="177"/>
      <c r="J306" s="198">
        <v>43497</v>
      </c>
      <c r="K306" s="65" t="str">
        <f t="shared" ref="K306:K316" si="149">IF(L306&gt;($M$25*50),"SI","NO")</f>
        <v>SI</v>
      </c>
      <c r="L306" s="139">
        <f t="shared" si="138"/>
        <v>2140769</v>
      </c>
      <c r="M306" s="67">
        <v>2140769</v>
      </c>
      <c r="N306" s="67">
        <v>2140769</v>
      </c>
      <c r="O306" s="139">
        <f t="shared" si="139"/>
        <v>2140769</v>
      </c>
      <c r="P306" s="72">
        <v>15922000</v>
      </c>
      <c r="Q306" s="73" t="s">
        <v>29</v>
      </c>
      <c r="R306" s="67">
        <v>0</v>
      </c>
      <c r="S306" s="67">
        <v>0</v>
      </c>
      <c r="T306" s="139">
        <f t="shared" si="140"/>
        <v>0</v>
      </c>
      <c r="U306" s="60">
        <f t="shared" si="141"/>
        <v>2140769</v>
      </c>
      <c r="V306" s="180">
        <v>4</v>
      </c>
      <c r="W306" s="116">
        <f t="shared" ref="W306:W311" si="150">IF(ROUND(($W$27-J306)/30,0)&gt;(V306*12),(V306*12),(ROUND(($W$27-J306)/30,0)))</f>
        <v>35</v>
      </c>
      <c r="X306" s="116">
        <f t="shared" si="142"/>
        <v>13</v>
      </c>
      <c r="Y306" s="38">
        <f t="shared" si="147"/>
        <v>44599.354166666664</v>
      </c>
      <c r="Z306" s="38">
        <f t="shared" si="143"/>
        <v>1560977.3958333333</v>
      </c>
      <c r="AA306" s="38">
        <f t="shared" si="144"/>
        <v>2140769</v>
      </c>
      <c r="AB306" s="38">
        <f t="shared" si="145"/>
        <v>1560977</v>
      </c>
      <c r="AC306" s="38">
        <f t="shared" si="146"/>
        <v>579792</v>
      </c>
      <c r="AD306" s="73"/>
      <c r="AF306" s="73"/>
      <c r="AG306" s="73">
        <f>AB306-'P, Pl y Eq 2020'!AB272</f>
        <v>535192</v>
      </c>
      <c r="AH306" s="73"/>
      <c r="AI306" s="73"/>
    </row>
    <row r="307" spans="1:35" s="67" customFormat="1">
      <c r="A307" s="66">
        <v>15280000</v>
      </c>
      <c r="B307" s="67" t="s">
        <v>22</v>
      </c>
      <c r="C307" s="67" t="s">
        <v>997</v>
      </c>
      <c r="D307" s="67">
        <v>1</v>
      </c>
      <c r="E307" s="61" t="s">
        <v>365</v>
      </c>
      <c r="F307" s="177"/>
      <c r="G307" s="177"/>
      <c r="H307" s="177"/>
      <c r="I307" s="177"/>
      <c r="J307" s="198">
        <v>43497</v>
      </c>
      <c r="K307" s="65" t="str">
        <f t="shared" si="149"/>
        <v>SI</v>
      </c>
      <c r="L307" s="139">
        <f t="shared" si="138"/>
        <v>2140769</v>
      </c>
      <c r="M307" s="67">
        <v>2140769</v>
      </c>
      <c r="N307" s="67">
        <v>2140769</v>
      </c>
      <c r="O307" s="139">
        <f t="shared" si="139"/>
        <v>2140769</v>
      </c>
      <c r="P307" s="72">
        <v>15922000</v>
      </c>
      <c r="Q307" s="73" t="s">
        <v>29</v>
      </c>
      <c r="R307" s="67">
        <v>0</v>
      </c>
      <c r="S307" s="67">
        <v>0</v>
      </c>
      <c r="T307" s="139">
        <f t="shared" si="140"/>
        <v>0</v>
      </c>
      <c r="U307" s="60">
        <f t="shared" si="141"/>
        <v>2140769</v>
      </c>
      <c r="V307" s="180">
        <v>4</v>
      </c>
      <c r="W307" s="116">
        <f t="shared" si="150"/>
        <v>35</v>
      </c>
      <c r="X307" s="116">
        <f t="shared" si="142"/>
        <v>13</v>
      </c>
      <c r="Y307" s="38">
        <f t="shared" si="147"/>
        <v>44599.354166666664</v>
      </c>
      <c r="Z307" s="38">
        <f t="shared" si="143"/>
        <v>1560977.3958333333</v>
      </c>
      <c r="AA307" s="38">
        <f t="shared" si="144"/>
        <v>2140769</v>
      </c>
      <c r="AB307" s="38">
        <f t="shared" si="145"/>
        <v>1560977</v>
      </c>
      <c r="AC307" s="38">
        <f t="shared" si="146"/>
        <v>579792</v>
      </c>
      <c r="AD307" s="73"/>
      <c r="AF307" s="73"/>
      <c r="AG307" s="73">
        <f>AB307-'P, Pl y Eq 2020'!AB273</f>
        <v>535192</v>
      </c>
      <c r="AH307" s="73"/>
      <c r="AI307" s="73"/>
    </row>
    <row r="308" spans="1:35" s="67" customFormat="1">
      <c r="A308" s="66">
        <v>15280000</v>
      </c>
      <c r="B308" s="67" t="s">
        <v>22</v>
      </c>
      <c r="C308" s="67" t="s">
        <v>997</v>
      </c>
      <c r="D308" s="67">
        <v>1</v>
      </c>
      <c r="E308" s="61" t="s">
        <v>365</v>
      </c>
      <c r="F308" s="177"/>
      <c r="G308" s="177"/>
      <c r="H308" s="177"/>
      <c r="I308" s="177"/>
      <c r="J308" s="198">
        <v>43617</v>
      </c>
      <c r="K308" s="65" t="str">
        <f t="shared" si="149"/>
        <v>SI</v>
      </c>
      <c r="L308" s="139">
        <f t="shared" si="138"/>
        <v>2436134.4500000002</v>
      </c>
      <c r="M308" s="67">
        <v>2436134.4500000002</v>
      </c>
      <c r="N308" s="67">
        <v>2436134.4500000002</v>
      </c>
      <c r="O308" s="139">
        <f t="shared" si="139"/>
        <v>2436134.4500000002</v>
      </c>
      <c r="P308" s="72">
        <v>15922000</v>
      </c>
      <c r="Q308" s="73" t="s">
        <v>29</v>
      </c>
      <c r="R308" s="67">
        <v>0</v>
      </c>
      <c r="S308" s="67">
        <v>0</v>
      </c>
      <c r="T308" s="139">
        <f t="shared" si="140"/>
        <v>0</v>
      </c>
      <c r="U308" s="60">
        <f t="shared" si="141"/>
        <v>2436134.4500000002</v>
      </c>
      <c r="V308" s="180">
        <v>5</v>
      </c>
      <c r="W308" s="116">
        <f t="shared" si="150"/>
        <v>31</v>
      </c>
      <c r="X308" s="116">
        <f t="shared" si="142"/>
        <v>29</v>
      </c>
      <c r="Y308" s="38">
        <f t="shared" si="147"/>
        <v>40602.240833333337</v>
      </c>
      <c r="Z308" s="38">
        <f t="shared" si="143"/>
        <v>1258669.4658333336</v>
      </c>
      <c r="AA308" s="38">
        <f t="shared" si="144"/>
        <v>2436134</v>
      </c>
      <c r="AB308" s="38">
        <f t="shared" si="145"/>
        <v>1258669</v>
      </c>
      <c r="AC308" s="38">
        <f t="shared" si="146"/>
        <v>1177465</v>
      </c>
      <c r="AD308" s="73"/>
      <c r="AF308" s="73"/>
      <c r="AG308" s="73">
        <f>AB308-'P, Pl y Eq 2020'!AB274</f>
        <v>487226</v>
      </c>
      <c r="AH308" s="73"/>
      <c r="AI308" s="73"/>
    </row>
    <row r="309" spans="1:35" s="67" customFormat="1">
      <c r="A309" s="66">
        <v>15280000</v>
      </c>
      <c r="B309" s="67" t="s">
        <v>22</v>
      </c>
      <c r="C309" s="67" t="s">
        <v>997</v>
      </c>
      <c r="D309" s="67">
        <v>1</v>
      </c>
      <c r="E309" s="61" t="s">
        <v>365</v>
      </c>
      <c r="F309" s="177"/>
      <c r="G309" s="177"/>
      <c r="H309" s="177"/>
      <c r="I309" s="177"/>
      <c r="J309" s="198">
        <v>43647</v>
      </c>
      <c r="K309" s="65" t="str">
        <f t="shared" si="149"/>
        <v>SI</v>
      </c>
      <c r="L309" s="139">
        <f t="shared" si="138"/>
        <v>2332980</v>
      </c>
      <c r="M309" s="67">
        <v>2332980</v>
      </c>
      <c r="N309" s="67">
        <v>2332980</v>
      </c>
      <c r="O309" s="139">
        <f t="shared" si="139"/>
        <v>2332980</v>
      </c>
      <c r="P309" s="72">
        <v>15922000</v>
      </c>
      <c r="Q309" s="73" t="s">
        <v>29</v>
      </c>
      <c r="R309" s="67">
        <v>0</v>
      </c>
      <c r="S309" s="67">
        <v>0</v>
      </c>
      <c r="T309" s="139">
        <f t="shared" si="140"/>
        <v>0</v>
      </c>
      <c r="U309" s="60">
        <f t="shared" si="141"/>
        <v>2332980</v>
      </c>
      <c r="V309" s="180">
        <v>5</v>
      </c>
      <c r="W309" s="116">
        <f t="shared" si="150"/>
        <v>30</v>
      </c>
      <c r="X309" s="116">
        <f t="shared" si="142"/>
        <v>30</v>
      </c>
      <c r="Y309" s="38">
        <f t="shared" si="147"/>
        <v>38883</v>
      </c>
      <c r="Z309" s="38">
        <f t="shared" si="143"/>
        <v>1166490</v>
      </c>
      <c r="AA309" s="38">
        <f t="shared" si="144"/>
        <v>2332980</v>
      </c>
      <c r="AB309" s="38">
        <f t="shared" si="145"/>
        <v>1166490</v>
      </c>
      <c r="AC309" s="38">
        <f t="shared" si="146"/>
        <v>1166490</v>
      </c>
      <c r="AD309" s="73"/>
      <c r="AF309" s="73"/>
      <c r="AG309" s="73">
        <f>AB309-'P, Pl y Eq 2020'!AB275</f>
        <v>466596</v>
      </c>
      <c r="AH309" s="73"/>
      <c r="AI309" s="73"/>
    </row>
    <row r="310" spans="1:35" s="67" customFormat="1">
      <c r="A310" s="66">
        <v>15280000</v>
      </c>
      <c r="B310" s="67" t="s">
        <v>22</v>
      </c>
      <c r="C310" s="67" t="s">
        <v>997</v>
      </c>
      <c r="D310" s="67">
        <v>1</v>
      </c>
      <c r="E310" s="61" t="s">
        <v>365</v>
      </c>
      <c r="F310" s="177"/>
      <c r="G310" s="177"/>
      <c r="H310" s="177"/>
      <c r="I310" s="177"/>
      <c r="J310" s="198">
        <v>43650</v>
      </c>
      <c r="K310" s="65" t="str">
        <f t="shared" si="149"/>
        <v>SI</v>
      </c>
      <c r="L310" s="139">
        <f t="shared" si="138"/>
        <v>3199000</v>
      </c>
      <c r="M310" s="67">
        <v>3199000</v>
      </c>
      <c r="N310" s="67">
        <v>3199000</v>
      </c>
      <c r="O310" s="139">
        <f t="shared" si="139"/>
        <v>3199000</v>
      </c>
      <c r="P310" s="72">
        <v>15922000</v>
      </c>
      <c r="Q310" s="73" t="s">
        <v>29</v>
      </c>
      <c r="R310" s="67">
        <v>0</v>
      </c>
      <c r="S310" s="67">
        <v>0</v>
      </c>
      <c r="T310" s="139">
        <f t="shared" si="140"/>
        <v>0</v>
      </c>
      <c r="U310" s="60">
        <f t="shared" si="141"/>
        <v>3199000</v>
      </c>
      <c r="V310" s="180">
        <v>4</v>
      </c>
      <c r="W310" s="116">
        <f>IF(ROUND(($W$27-J310)/30,0)&gt;(V310*12),(V310*12),(ROUND(($W$27-J310)/30,0)))-1</f>
        <v>29</v>
      </c>
      <c r="X310" s="116">
        <f t="shared" si="142"/>
        <v>19</v>
      </c>
      <c r="Y310" s="38">
        <f t="shared" si="147"/>
        <v>66645.833333333328</v>
      </c>
      <c r="Z310" s="38">
        <f t="shared" si="143"/>
        <v>1932729.1666666665</v>
      </c>
      <c r="AA310" s="38">
        <f t="shared" si="144"/>
        <v>3199000</v>
      </c>
      <c r="AB310" s="38">
        <f t="shared" si="145"/>
        <v>1932729</v>
      </c>
      <c r="AC310" s="38">
        <f t="shared" si="146"/>
        <v>1266271</v>
      </c>
      <c r="AD310" s="73"/>
      <c r="AF310" s="73"/>
      <c r="AG310" s="73">
        <f>AB310-'P, Pl y Eq 2020'!AB276</f>
        <v>799750</v>
      </c>
      <c r="AH310" s="73"/>
      <c r="AI310" s="73"/>
    </row>
    <row r="311" spans="1:35" s="67" customFormat="1">
      <c r="A311" s="66">
        <v>15280000</v>
      </c>
      <c r="B311" s="67" t="s">
        <v>22</v>
      </c>
      <c r="C311" s="67" t="s">
        <v>997</v>
      </c>
      <c r="D311" s="67">
        <v>1</v>
      </c>
      <c r="E311" s="61" t="s">
        <v>365</v>
      </c>
      <c r="F311" s="177"/>
      <c r="G311" s="177"/>
      <c r="H311" s="177"/>
      <c r="I311" s="177"/>
      <c r="J311" s="198">
        <v>43693</v>
      </c>
      <c r="K311" s="65" t="str">
        <f t="shared" si="149"/>
        <v>NO</v>
      </c>
      <c r="L311" s="139">
        <f t="shared" si="138"/>
        <v>0</v>
      </c>
      <c r="M311" s="67">
        <f>1680000-1680000</f>
        <v>0</v>
      </c>
      <c r="N311" s="67">
        <f>1680000-1680000</f>
        <v>0</v>
      </c>
      <c r="O311" s="139">
        <f t="shared" si="139"/>
        <v>0</v>
      </c>
      <c r="P311" s="72">
        <v>15922000</v>
      </c>
      <c r="Q311" s="73" t="s">
        <v>29</v>
      </c>
      <c r="R311" s="67">
        <v>0</v>
      </c>
      <c r="S311" s="67">
        <v>0</v>
      </c>
      <c r="T311" s="139">
        <f t="shared" si="140"/>
        <v>0</v>
      </c>
      <c r="U311" s="175">
        <f t="shared" si="141"/>
        <v>0</v>
      </c>
      <c r="V311" s="215">
        <v>1</v>
      </c>
      <c r="W311" s="116">
        <f t="shared" si="150"/>
        <v>12</v>
      </c>
      <c r="X311" s="116">
        <f t="shared" si="142"/>
        <v>0</v>
      </c>
      <c r="Y311" s="38">
        <f t="shared" si="147"/>
        <v>0</v>
      </c>
      <c r="Z311" s="38">
        <f t="shared" si="143"/>
        <v>0</v>
      </c>
      <c r="AA311" s="38">
        <f t="shared" si="144"/>
        <v>0</v>
      </c>
      <c r="AB311" s="38">
        <f t="shared" si="145"/>
        <v>0</v>
      </c>
      <c r="AC311" s="38">
        <f t="shared" si="146"/>
        <v>0</v>
      </c>
      <c r="AD311" s="217" t="s">
        <v>1048</v>
      </c>
      <c r="AE311" s="72"/>
      <c r="AF311" s="72"/>
      <c r="AG311" s="73">
        <f>AB311-'P, Pl y Eq 2020'!AB277</f>
        <v>0</v>
      </c>
      <c r="AH311" s="73"/>
      <c r="AI311" s="73"/>
    </row>
    <row r="312" spans="1:35" s="67" customFormat="1">
      <c r="A312" s="66">
        <v>15280000</v>
      </c>
      <c r="B312" s="67" t="s">
        <v>22</v>
      </c>
      <c r="C312" s="67" t="s">
        <v>997</v>
      </c>
      <c r="D312" s="67">
        <v>1</v>
      </c>
      <c r="E312" s="61" t="s">
        <v>365</v>
      </c>
      <c r="F312" s="177"/>
      <c r="G312" s="177"/>
      <c r="H312" s="177"/>
      <c r="I312" s="177"/>
      <c r="J312" s="198">
        <v>43726</v>
      </c>
      <c r="K312" s="65" t="str">
        <f t="shared" si="149"/>
        <v>SI</v>
      </c>
      <c r="L312" s="139">
        <f t="shared" si="138"/>
        <v>4200000</v>
      </c>
      <c r="M312" s="67">
        <v>4200000</v>
      </c>
      <c r="N312" s="67">
        <v>4200000</v>
      </c>
      <c r="O312" s="139">
        <f t="shared" si="139"/>
        <v>4200000</v>
      </c>
      <c r="P312" s="72">
        <v>15922000</v>
      </c>
      <c r="Q312" s="73" t="s">
        <v>29</v>
      </c>
      <c r="R312" s="67">
        <v>0</v>
      </c>
      <c r="S312" s="67">
        <v>0</v>
      </c>
      <c r="T312" s="139">
        <f t="shared" si="140"/>
        <v>0</v>
      </c>
      <c r="U312" s="60">
        <f t="shared" si="141"/>
        <v>4200000</v>
      </c>
      <c r="V312" s="180">
        <v>4</v>
      </c>
      <c r="W312" s="116">
        <f t="shared" ref="W312:W317" si="151">IF(ROUND(($W$27-J312)/30,0)&gt;(V312*12),(V312*12),(ROUND(($W$27-J312)/30,0)))-1</f>
        <v>27</v>
      </c>
      <c r="X312" s="116">
        <f t="shared" si="142"/>
        <v>21</v>
      </c>
      <c r="Y312" s="38">
        <f t="shared" si="147"/>
        <v>87500</v>
      </c>
      <c r="Z312" s="38">
        <f t="shared" si="143"/>
        <v>2362500</v>
      </c>
      <c r="AA312" s="38">
        <f t="shared" si="144"/>
        <v>4200000</v>
      </c>
      <c r="AB312" s="38">
        <f t="shared" si="145"/>
        <v>2362500</v>
      </c>
      <c r="AC312" s="38">
        <f t="shared" si="146"/>
        <v>1837500</v>
      </c>
      <c r="AD312" s="73"/>
      <c r="AE312" s="72"/>
      <c r="AF312" s="72"/>
      <c r="AG312" s="73">
        <f>AB312-'P, Pl y Eq 2020'!AB278</f>
        <v>1050000</v>
      </c>
      <c r="AH312" s="73"/>
      <c r="AI312" s="73"/>
    </row>
    <row r="313" spans="1:35" s="67" customFormat="1">
      <c r="A313" s="66">
        <v>15280000</v>
      </c>
      <c r="B313" s="67" t="s">
        <v>22</v>
      </c>
      <c r="C313" s="176" t="s">
        <v>997</v>
      </c>
      <c r="D313" s="67">
        <v>1</v>
      </c>
      <c r="E313" s="61" t="s">
        <v>365</v>
      </c>
      <c r="F313" s="177"/>
      <c r="G313" s="177"/>
      <c r="H313" s="177"/>
      <c r="I313" s="177"/>
      <c r="J313" s="198">
        <v>43788</v>
      </c>
      <c r="K313" s="65" t="str">
        <f t="shared" si="149"/>
        <v>SI</v>
      </c>
      <c r="L313" s="139">
        <f t="shared" si="138"/>
        <v>3080611</v>
      </c>
      <c r="M313" s="67">
        <v>3080611</v>
      </c>
      <c r="N313" s="67">
        <v>3080611</v>
      </c>
      <c r="O313" s="139">
        <f t="shared" si="139"/>
        <v>3080611</v>
      </c>
      <c r="P313" s="72">
        <v>15922000</v>
      </c>
      <c r="Q313" s="73" t="s">
        <v>29</v>
      </c>
      <c r="R313" s="67">
        <v>0</v>
      </c>
      <c r="S313" s="67">
        <v>0</v>
      </c>
      <c r="T313" s="139">
        <f t="shared" si="140"/>
        <v>0</v>
      </c>
      <c r="U313" s="60">
        <f t="shared" si="141"/>
        <v>3080611</v>
      </c>
      <c r="V313" s="216">
        <v>5</v>
      </c>
      <c r="W313" s="116">
        <f t="shared" si="151"/>
        <v>25</v>
      </c>
      <c r="X313" s="116">
        <f t="shared" si="142"/>
        <v>35</v>
      </c>
      <c r="Y313" s="38">
        <f t="shared" si="147"/>
        <v>51343.51666666667</v>
      </c>
      <c r="Z313" s="38">
        <f t="shared" si="143"/>
        <v>1283587.9166666667</v>
      </c>
      <c r="AA313" s="38">
        <f t="shared" si="144"/>
        <v>3080611</v>
      </c>
      <c r="AB313" s="38">
        <f t="shared" si="145"/>
        <v>1283588</v>
      </c>
      <c r="AC313" s="38">
        <f t="shared" si="146"/>
        <v>1797023</v>
      </c>
      <c r="AD313" s="73"/>
      <c r="AE313" s="72"/>
      <c r="AF313" s="72"/>
      <c r="AG313" s="73">
        <f>AB313-'P, Pl y Eq 2020'!AB279</f>
        <v>616122</v>
      </c>
      <c r="AH313" s="73"/>
      <c r="AI313" s="73"/>
    </row>
    <row r="314" spans="1:35" s="67" customFormat="1">
      <c r="A314" s="66">
        <v>15280000</v>
      </c>
      <c r="B314" s="67" t="s">
        <v>22</v>
      </c>
      <c r="C314" s="176" t="s">
        <v>997</v>
      </c>
      <c r="D314" s="67">
        <v>1</v>
      </c>
      <c r="E314" s="61" t="s">
        <v>365</v>
      </c>
      <c r="F314" s="177"/>
      <c r="G314" s="177"/>
      <c r="H314" s="177"/>
      <c r="I314" s="177"/>
      <c r="J314" s="198">
        <v>43825</v>
      </c>
      <c r="K314" s="65" t="str">
        <f t="shared" si="149"/>
        <v>SI</v>
      </c>
      <c r="L314" s="139">
        <f t="shared" si="138"/>
        <v>4127740</v>
      </c>
      <c r="M314" s="67">
        <v>4127740</v>
      </c>
      <c r="N314" s="67">
        <v>4127740</v>
      </c>
      <c r="O314" s="139">
        <f t="shared" si="139"/>
        <v>4127740</v>
      </c>
      <c r="P314" s="72">
        <v>15922000</v>
      </c>
      <c r="Q314" s="73" t="s">
        <v>29</v>
      </c>
      <c r="R314" s="67">
        <v>0</v>
      </c>
      <c r="S314" s="67">
        <v>0</v>
      </c>
      <c r="T314" s="139">
        <f t="shared" si="140"/>
        <v>0</v>
      </c>
      <c r="U314" s="60">
        <f t="shared" si="141"/>
        <v>4127740</v>
      </c>
      <c r="V314" s="216">
        <v>5</v>
      </c>
      <c r="W314" s="116">
        <f t="shared" si="151"/>
        <v>24</v>
      </c>
      <c r="X314" s="116">
        <f t="shared" si="142"/>
        <v>36</v>
      </c>
      <c r="Y314" s="38">
        <f t="shared" si="147"/>
        <v>68795.666666666672</v>
      </c>
      <c r="Z314" s="38">
        <f t="shared" si="143"/>
        <v>1651096</v>
      </c>
      <c r="AA314" s="38">
        <f t="shared" si="144"/>
        <v>4127740</v>
      </c>
      <c r="AB314" s="38">
        <f t="shared" si="145"/>
        <v>1651096</v>
      </c>
      <c r="AC314" s="38">
        <f t="shared" si="146"/>
        <v>2476644</v>
      </c>
      <c r="AD314" s="73"/>
      <c r="AE314" s="72"/>
      <c r="AF314" s="72"/>
      <c r="AG314" s="73">
        <f>AB314-'P, Pl y Eq 2020'!AB280</f>
        <v>825548</v>
      </c>
      <c r="AH314" s="73"/>
      <c r="AI314" s="73"/>
    </row>
    <row r="315" spans="1:35" s="67" customFormat="1">
      <c r="A315" s="66">
        <v>15280000</v>
      </c>
      <c r="B315" s="67" t="s">
        <v>22</v>
      </c>
      <c r="C315" s="176" t="s">
        <v>997</v>
      </c>
      <c r="D315" s="67">
        <v>1</v>
      </c>
      <c r="E315" s="61" t="s">
        <v>365</v>
      </c>
      <c r="F315" s="177"/>
      <c r="G315" s="177"/>
      <c r="H315" s="177"/>
      <c r="I315" s="177"/>
      <c r="J315" s="198">
        <v>43820</v>
      </c>
      <c r="K315" s="65" t="str">
        <f t="shared" si="149"/>
        <v>SI</v>
      </c>
      <c r="L315" s="139">
        <f t="shared" si="138"/>
        <v>3076780</v>
      </c>
      <c r="M315" s="67">
        <v>3076780</v>
      </c>
      <c r="N315" s="67">
        <v>3076780</v>
      </c>
      <c r="O315" s="139">
        <f t="shared" si="139"/>
        <v>3076780</v>
      </c>
      <c r="P315" s="72">
        <v>15922000</v>
      </c>
      <c r="Q315" s="73" t="s">
        <v>29</v>
      </c>
      <c r="R315" s="67">
        <v>0</v>
      </c>
      <c r="S315" s="67">
        <v>0</v>
      </c>
      <c r="T315" s="139">
        <f t="shared" si="140"/>
        <v>0</v>
      </c>
      <c r="U315" s="60">
        <f t="shared" si="141"/>
        <v>3076780</v>
      </c>
      <c r="V315" s="216">
        <v>5</v>
      </c>
      <c r="W315" s="116">
        <f t="shared" si="151"/>
        <v>24</v>
      </c>
      <c r="X315" s="116">
        <f t="shared" si="142"/>
        <v>36</v>
      </c>
      <c r="Y315" s="38">
        <f t="shared" si="147"/>
        <v>51279.666666666664</v>
      </c>
      <c r="Z315" s="38">
        <f t="shared" si="143"/>
        <v>1230712</v>
      </c>
      <c r="AA315" s="38">
        <f t="shared" si="144"/>
        <v>3076780</v>
      </c>
      <c r="AB315" s="38">
        <f t="shared" si="145"/>
        <v>1230712</v>
      </c>
      <c r="AC315" s="38">
        <f t="shared" si="146"/>
        <v>1846068</v>
      </c>
      <c r="AD315" s="73"/>
      <c r="AE315" s="72"/>
      <c r="AF315" s="72"/>
      <c r="AG315" s="73">
        <f>AB315-'P, Pl y Eq 2020'!AB281</f>
        <v>615356</v>
      </c>
      <c r="AH315" s="73"/>
      <c r="AI315" s="73"/>
    </row>
    <row r="316" spans="1:35" s="67" customFormat="1">
      <c r="A316" s="66">
        <v>15280000</v>
      </c>
      <c r="B316" s="67" t="s">
        <v>22</v>
      </c>
      <c r="C316" s="176" t="s">
        <v>997</v>
      </c>
      <c r="D316" s="67">
        <v>1</v>
      </c>
      <c r="E316" s="61" t="s">
        <v>365</v>
      </c>
      <c r="F316" s="177"/>
      <c r="G316" s="177"/>
      <c r="H316" s="177"/>
      <c r="I316" s="177"/>
      <c r="J316" s="198">
        <v>43820</v>
      </c>
      <c r="K316" s="65" t="str">
        <f t="shared" si="149"/>
        <v>SI</v>
      </c>
      <c r="L316" s="139">
        <f t="shared" si="138"/>
        <v>2035000</v>
      </c>
      <c r="M316" s="67">
        <v>2035000</v>
      </c>
      <c r="N316" s="67">
        <v>2035000</v>
      </c>
      <c r="O316" s="139">
        <f t="shared" si="139"/>
        <v>2035000</v>
      </c>
      <c r="P316" s="72">
        <v>15922000</v>
      </c>
      <c r="Q316" s="73" t="s">
        <v>29</v>
      </c>
      <c r="R316" s="67">
        <v>0</v>
      </c>
      <c r="S316" s="67">
        <v>0</v>
      </c>
      <c r="T316" s="139">
        <f t="shared" si="140"/>
        <v>0</v>
      </c>
      <c r="U316" s="60">
        <f t="shared" si="141"/>
        <v>2035000</v>
      </c>
      <c r="V316" s="216">
        <v>5</v>
      </c>
      <c r="W316" s="116">
        <f t="shared" si="151"/>
        <v>24</v>
      </c>
      <c r="X316" s="116">
        <f t="shared" si="142"/>
        <v>36</v>
      </c>
      <c r="Y316" s="38">
        <f t="shared" si="147"/>
        <v>33916.666666666664</v>
      </c>
      <c r="Z316" s="38">
        <f t="shared" si="143"/>
        <v>814000</v>
      </c>
      <c r="AA316" s="38">
        <f t="shared" si="144"/>
        <v>2035000</v>
      </c>
      <c r="AB316" s="38">
        <f t="shared" si="145"/>
        <v>814000</v>
      </c>
      <c r="AC316" s="38">
        <f t="shared" si="146"/>
        <v>1221000</v>
      </c>
      <c r="AD316" s="73"/>
      <c r="AE316" s="72"/>
      <c r="AF316" s="72"/>
      <c r="AG316" s="73">
        <f>AB316-'P, Pl y Eq 2020'!AB282</f>
        <v>407000</v>
      </c>
      <c r="AH316" s="73"/>
      <c r="AI316" s="73"/>
    </row>
    <row r="317" spans="1:35" s="72" customFormat="1">
      <c r="A317" s="66">
        <v>15280000</v>
      </c>
      <c r="B317" s="67" t="s">
        <v>22</v>
      </c>
      <c r="C317" s="222" t="s">
        <v>997</v>
      </c>
      <c r="D317" s="67">
        <v>1</v>
      </c>
      <c r="E317" s="61" t="s">
        <v>365</v>
      </c>
      <c r="F317" s="177"/>
      <c r="G317" s="177"/>
      <c r="H317" s="177"/>
      <c r="I317" s="222"/>
      <c r="J317" s="223">
        <v>43912</v>
      </c>
      <c r="K317" s="65" t="str">
        <f t="shared" ref="K317:K322" si="152">IF(L317&gt;($M$26*50),"SI","NO")</f>
        <v>SI</v>
      </c>
      <c r="L317" s="139">
        <f t="shared" si="138"/>
        <v>3100056</v>
      </c>
      <c r="M317" s="67">
        <v>3100056</v>
      </c>
      <c r="N317" s="67">
        <v>3100056</v>
      </c>
      <c r="O317" s="139">
        <f t="shared" si="139"/>
        <v>3100056</v>
      </c>
      <c r="P317" s="72">
        <v>15922000</v>
      </c>
      <c r="Q317" s="73" t="s">
        <v>29</v>
      </c>
      <c r="R317" s="67">
        <v>0</v>
      </c>
      <c r="S317" s="67">
        <v>0</v>
      </c>
      <c r="T317" s="139">
        <f t="shared" si="140"/>
        <v>0</v>
      </c>
      <c r="U317" s="60">
        <f t="shared" si="141"/>
        <v>3100056</v>
      </c>
      <c r="V317" s="148">
        <v>5</v>
      </c>
      <c r="W317" s="116">
        <f t="shared" si="151"/>
        <v>21</v>
      </c>
      <c r="X317" s="116">
        <f t="shared" si="142"/>
        <v>39</v>
      </c>
      <c r="Y317" s="38">
        <f t="shared" si="147"/>
        <v>51667.6</v>
      </c>
      <c r="Z317" s="38">
        <f t="shared" si="143"/>
        <v>1085019.5999999999</v>
      </c>
      <c r="AA317" s="38">
        <f t="shared" si="144"/>
        <v>3100056</v>
      </c>
      <c r="AB317" s="38">
        <f t="shared" si="145"/>
        <v>1085020</v>
      </c>
      <c r="AC317" s="38">
        <f t="shared" si="146"/>
        <v>2015036</v>
      </c>
      <c r="AD317" s="73"/>
      <c r="AE317" s="73"/>
      <c r="AG317" s="73">
        <f>AB317-'P, Pl y Eq 2020'!AB283</f>
        <v>620012</v>
      </c>
    </row>
    <row r="318" spans="1:35" s="72" customFormat="1">
      <c r="A318" s="66">
        <v>15280000</v>
      </c>
      <c r="B318" s="67" t="s">
        <v>22</v>
      </c>
      <c r="C318" s="222" t="s">
        <v>997</v>
      </c>
      <c r="D318" s="67">
        <v>1</v>
      </c>
      <c r="E318" s="61" t="s">
        <v>365</v>
      </c>
      <c r="F318" s="177"/>
      <c r="G318" s="177"/>
      <c r="H318" s="177"/>
      <c r="I318" s="222"/>
      <c r="J318" s="223">
        <v>43912</v>
      </c>
      <c r="K318" s="65" t="str">
        <f t="shared" si="152"/>
        <v>SI</v>
      </c>
      <c r="L318" s="139">
        <f t="shared" si="138"/>
        <v>3100056</v>
      </c>
      <c r="M318" s="67">
        <v>3100056</v>
      </c>
      <c r="N318" s="67">
        <v>3100056</v>
      </c>
      <c r="O318" s="139">
        <f t="shared" si="139"/>
        <v>3100056</v>
      </c>
      <c r="P318" s="72">
        <v>15922000</v>
      </c>
      <c r="Q318" s="73" t="s">
        <v>29</v>
      </c>
      <c r="R318" s="67">
        <v>0</v>
      </c>
      <c r="S318" s="67">
        <v>0</v>
      </c>
      <c r="T318" s="139">
        <f t="shared" si="140"/>
        <v>0</v>
      </c>
      <c r="U318" s="60">
        <f t="shared" si="141"/>
        <v>3100056</v>
      </c>
      <c r="V318" s="148">
        <v>5</v>
      </c>
      <c r="W318" s="116">
        <f t="shared" ref="W318:W320" si="153">IF(ROUND(($W$27-J318)/30,0)&gt;(V318*12),(V318*12),(ROUND(($W$27-J318)/30,0)))-1</f>
        <v>21</v>
      </c>
      <c r="X318" s="116">
        <f t="shared" si="142"/>
        <v>39</v>
      </c>
      <c r="Y318" s="38">
        <f t="shared" si="147"/>
        <v>51667.6</v>
      </c>
      <c r="Z318" s="38">
        <f t="shared" si="143"/>
        <v>1085019.5999999999</v>
      </c>
      <c r="AA318" s="38">
        <f t="shared" si="144"/>
        <v>3100056</v>
      </c>
      <c r="AB318" s="38">
        <f t="shared" si="145"/>
        <v>1085020</v>
      </c>
      <c r="AC318" s="38">
        <f t="shared" si="146"/>
        <v>2015036</v>
      </c>
      <c r="AD318" s="73"/>
      <c r="AE318" s="73"/>
      <c r="AG318" s="73">
        <f>AB318-'P, Pl y Eq 2020'!AB284</f>
        <v>620012</v>
      </c>
    </row>
    <row r="319" spans="1:35" s="72" customFormat="1">
      <c r="A319" s="66">
        <v>15280000</v>
      </c>
      <c r="B319" s="67" t="s">
        <v>22</v>
      </c>
      <c r="C319" s="222" t="s">
        <v>997</v>
      </c>
      <c r="D319" s="67">
        <v>1</v>
      </c>
      <c r="E319" s="61" t="s">
        <v>365</v>
      </c>
      <c r="F319" s="177"/>
      <c r="G319" s="177"/>
      <c r="H319" s="177"/>
      <c r="I319" s="222"/>
      <c r="J319" s="223">
        <v>43945</v>
      </c>
      <c r="K319" s="65" t="str">
        <f t="shared" si="152"/>
        <v>SI</v>
      </c>
      <c r="L319" s="139">
        <f t="shared" si="138"/>
        <v>3100000</v>
      </c>
      <c r="M319" s="67">
        <v>3100000</v>
      </c>
      <c r="N319" s="67">
        <v>3100000</v>
      </c>
      <c r="O319" s="139">
        <f t="shared" si="139"/>
        <v>3100000</v>
      </c>
      <c r="P319" s="72">
        <v>15922000</v>
      </c>
      <c r="Q319" s="73" t="s">
        <v>29</v>
      </c>
      <c r="R319" s="67">
        <v>0</v>
      </c>
      <c r="S319" s="67">
        <v>0</v>
      </c>
      <c r="T319" s="139">
        <f t="shared" si="140"/>
        <v>0</v>
      </c>
      <c r="U319" s="60">
        <f t="shared" si="141"/>
        <v>3100000</v>
      </c>
      <c r="V319" s="148">
        <v>5</v>
      </c>
      <c r="W319" s="116">
        <f t="shared" si="153"/>
        <v>20</v>
      </c>
      <c r="X319" s="116">
        <f t="shared" si="142"/>
        <v>40</v>
      </c>
      <c r="Y319" s="38">
        <f t="shared" si="147"/>
        <v>51666.666666666664</v>
      </c>
      <c r="Z319" s="38">
        <f t="shared" si="143"/>
        <v>1033333.3333333333</v>
      </c>
      <c r="AA319" s="38">
        <f t="shared" si="144"/>
        <v>3100000</v>
      </c>
      <c r="AB319" s="38">
        <f t="shared" si="145"/>
        <v>1033333</v>
      </c>
      <c r="AC319" s="38">
        <f t="shared" si="146"/>
        <v>2066667</v>
      </c>
      <c r="AD319" s="73"/>
      <c r="AE319" s="73"/>
      <c r="AG319" s="73">
        <f>AB319-'P, Pl y Eq 2020'!AB285</f>
        <v>620000</v>
      </c>
    </row>
    <row r="320" spans="1:35" s="72" customFormat="1">
      <c r="A320" s="66">
        <v>15280000</v>
      </c>
      <c r="B320" s="67" t="s">
        <v>22</v>
      </c>
      <c r="C320" s="222" t="s">
        <v>997</v>
      </c>
      <c r="D320" s="67">
        <v>1</v>
      </c>
      <c r="E320" s="61" t="s">
        <v>365</v>
      </c>
      <c r="F320" s="177"/>
      <c r="G320" s="177"/>
      <c r="H320" s="177"/>
      <c r="I320" s="222"/>
      <c r="J320" s="223">
        <v>44064</v>
      </c>
      <c r="K320" s="65" t="str">
        <f t="shared" si="152"/>
        <v>SI</v>
      </c>
      <c r="L320" s="139">
        <f t="shared" si="138"/>
        <v>4382716</v>
      </c>
      <c r="M320" s="67">
        <v>4382716</v>
      </c>
      <c r="N320" s="67">
        <v>4382716</v>
      </c>
      <c r="O320" s="139">
        <f t="shared" si="139"/>
        <v>4382716</v>
      </c>
      <c r="P320" s="72">
        <v>15922000</v>
      </c>
      <c r="Q320" s="73" t="s">
        <v>29</v>
      </c>
      <c r="R320" s="67">
        <v>0</v>
      </c>
      <c r="S320" s="67">
        <v>0</v>
      </c>
      <c r="T320" s="139">
        <f t="shared" si="140"/>
        <v>0</v>
      </c>
      <c r="U320" s="60">
        <f t="shared" si="141"/>
        <v>4382716</v>
      </c>
      <c r="V320" s="148">
        <v>5</v>
      </c>
      <c r="W320" s="116">
        <f t="shared" si="153"/>
        <v>16</v>
      </c>
      <c r="X320" s="116">
        <f t="shared" si="142"/>
        <v>44</v>
      </c>
      <c r="Y320" s="38">
        <f t="shared" si="147"/>
        <v>73045.266666666663</v>
      </c>
      <c r="Z320" s="38">
        <f t="shared" si="143"/>
        <v>1168724.2666666666</v>
      </c>
      <c r="AA320" s="38">
        <f t="shared" si="144"/>
        <v>4382716</v>
      </c>
      <c r="AB320" s="38">
        <f t="shared" si="145"/>
        <v>1168724</v>
      </c>
      <c r="AC320" s="38">
        <f t="shared" si="146"/>
        <v>3213992</v>
      </c>
      <c r="AD320" s="73"/>
      <c r="AE320" s="73"/>
      <c r="AG320" s="73">
        <f>AB320-'P, Pl y Eq 2020'!AB286</f>
        <v>876543</v>
      </c>
    </row>
    <row r="321" spans="1:34" s="72" customFormat="1">
      <c r="A321" s="66">
        <v>15280000</v>
      </c>
      <c r="B321" s="67" t="s">
        <v>22</v>
      </c>
      <c r="C321" s="222" t="s">
        <v>997</v>
      </c>
      <c r="D321" s="67">
        <v>1</v>
      </c>
      <c r="E321" s="61" t="s">
        <v>365</v>
      </c>
      <c r="F321" s="177"/>
      <c r="G321" s="177"/>
      <c r="H321" s="177"/>
      <c r="I321" s="222"/>
      <c r="J321" s="223">
        <v>44077</v>
      </c>
      <c r="K321" s="65" t="str">
        <f t="shared" si="152"/>
        <v>SI</v>
      </c>
      <c r="L321" s="139">
        <f t="shared" si="138"/>
        <v>1830000</v>
      </c>
      <c r="M321" s="67">
        <v>1830000</v>
      </c>
      <c r="N321" s="67">
        <v>1830000</v>
      </c>
      <c r="O321" s="139">
        <f t="shared" si="139"/>
        <v>1830000</v>
      </c>
      <c r="P321" s="72">
        <v>15922000</v>
      </c>
      <c r="Q321" s="73" t="s">
        <v>29</v>
      </c>
      <c r="R321" s="67">
        <v>0</v>
      </c>
      <c r="S321" s="67">
        <v>0</v>
      </c>
      <c r="T321" s="139">
        <f t="shared" si="140"/>
        <v>0</v>
      </c>
      <c r="U321" s="60">
        <f t="shared" si="141"/>
        <v>1830000</v>
      </c>
      <c r="V321" s="148">
        <v>5</v>
      </c>
      <c r="W321" s="116">
        <f>IF(ROUND(($W$27-J321)/30,0)&gt;(V321*12),(V321*12),(ROUND(($W$27-J321)/30,0)))-1</f>
        <v>15</v>
      </c>
      <c r="X321" s="116">
        <f t="shared" si="142"/>
        <v>45</v>
      </c>
      <c r="Y321" s="38">
        <f t="shared" si="147"/>
        <v>30500</v>
      </c>
      <c r="Z321" s="38">
        <f t="shared" si="143"/>
        <v>457500</v>
      </c>
      <c r="AA321" s="38">
        <f t="shared" si="144"/>
        <v>1830000</v>
      </c>
      <c r="AB321" s="38">
        <f t="shared" si="145"/>
        <v>457500</v>
      </c>
      <c r="AC321" s="38">
        <f t="shared" si="146"/>
        <v>1372500</v>
      </c>
      <c r="AD321" s="73"/>
      <c r="AE321" s="73"/>
      <c r="AG321" s="73">
        <f>AB321-'P, Pl y Eq 2020'!AB287</f>
        <v>366000</v>
      </c>
    </row>
    <row r="322" spans="1:34" s="72" customFormat="1">
      <c r="A322" s="66">
        <v>15280000</v>
      </c>
      <c r="B322" s="67" t="s">
        <v>22</v>
      </c>
      <c r="C322" s="222" t="s">
        <v>997</v>
      </c>
      <c r="D322" s="67">
        <v>1</v>
      </c>
      <c r="E322" s="61" t="s">
        <v>365</v>
      </c>
      <c r="F322" s="177"/>
      <c r="G322" s="177"/>
      <c r="H322" s="177"/>
      <c r="I322" s="222"/>
      <c r="J322" s="223">
        <v>44077</v>
      </c>
      <c r="K322" s="65" t="str">
        <f t="shared" si="152"/>
        <v>SI</v>
      </c>
      <c r="L322" s="139">
        <f t="shared" si="138"/>
        <v>1830000</v>
      </c>
      <c r="M322" s="67">
        <v>1830000</v>
      </c>
      <c r="N322" s="67">
        <v>1830000</v>
      </c>
      <c r="O322" s="139">
        <f t="shared" si="139"/>
        <v>1830000</v>
      </c>
      <c r="P322" s="72">
        <v>15922000</v>
      </c>
      <c r="Q322" s="73" t="s">
        <v>29</v>
      </c>
      <c r="R322" s="67">
        <v>0</v>
      </c>
      <c r="S322" s="67">
        <v>0</v>
      </c>
      <c r="T322" s="139">
        <f t="shared" si="140"/>
        <v>0</v>
      </c>
      <c r="U322" s="60">
        <f t="shared" si="141"/>
        <v>1830000</v>
      </c>
      <c r="V322" s="148">
        <v>5</v>
      </c>
      <c r="W322" s="116">
        <f>IF(ROUND(($W$27-J322)/30,0)&gt;(V322*12),(V322*12),(ROUND(($W$27-J322)/30,0)))-1</f>
        <v>15</v>
      </c>
      <c r="X322" s="116">
        <f t="shared" si="142"/>
        <v>45</v>
      </c>
      <c r="Y322" s="38">
        <f t="shared" si="147"/>
        <v>30500</v>
      </c>
      <c r="Z322" s="38">
        <f t="shared" si="143"/>
        <v>457500</v>
      </c>
      <c r="AA322" s="38">
        <f t="shared" si="144"/>
        <v>1830000</v>
      </c>
      <c r="AB322" s="38">
        <f t="shared" si="145"/>
        <v>457500</v>
      </c>
      <c r="AC322" s="38">
        <f t="shared" si="146"/>
        <v>1372500</v>
      </c>
      <c r="AD322" s="73"/>
      <c r="AE322" s="73"/>
      <c r="AG322" s="73">
        <f>AB322-'P, Pl y Eq 2020'!AB288</f>
        <v>366000</v>
      </c>
    </row>
    <row r="323" spans="1:34" s="72" customFormat="1">
      <c r="A323" s="66">
        <v>15280000</v>
      </c>
      <c r="B323" s="67" t="s">
        <v>22</v>
      </c>
      <c r="C323" s="348" t="s">
        <v>997</v>
      </c>
      <c r="D323" s="67">
        <v>1</v>
      </c>
      <c r="E323" s="61" t="s">
        <v>365</v>
      </c>
      <c r="F323" s="177"/>
      <c r="G323" s="177"/>
      <c r="H323" s="177"/>
      <c r="J323" s="349">
        <v>44256</v>
      </c>
      <c r="K323" s="65" t="str">
        <f>IF(L323&gt;($M$27*50),"SI","NO")</f>
        <v>SI</v>
      </c>
      <c r="L323" s="139">
        <f t="shared" si="138"/>
        <v>3391500</v>
      </c>
      <c r="M323" s="67">
        <v>3391500</v>
      </c>
      <c r="N323" s="67">
        <v>3391500</v>
      </c>
      <c r="O323" s="139">
        <f t="shared" si="139"/>
        <v>3391500</v>
      </c>
      <c r="P323" s="72">
        <v>15922000</v>
      </c>
      <c r="Q323" s="73" t="s">
        <v>29</v>
      </c>
      <c r="R323" s="67">
        <v>0</v>
      </c>
      <c r="S323" s="67">
        <v>0</v>
      </c>
      <c r="T323" s="139">
        <f t="shared" si="140"/>
        <v>0</v>
      </c>
      <c r="U323" s="38">
        <f t="shared" si="141"/>
        <v>3391500</v>
      </c>
      <c r="V323" s="350">
        <v>5</v>
      </c>
      <c r="W323" s="116">
        <f t="shared" ref="W323" si="154">IF(ROUND(($W$27-J323)/30,0)&gt;(V323*12),(V323*12),(ROUND(($W$27-J323)/30,0)))</f>
        <v>10</v>
      </c>
      <c r="X323" s="116">
        <f t="shared" si="142"/>
        <v>50</v>
      </c>
      <c r="Y323" s="38">
        <f t="shared" si="147"/>
        <v>56525</v>
      </c>
      <c r="Z323" s="38">
        <f t="shared" si="143"/>
        <v>565250</v>
      </c>
      <c r="AA323" s="38">
        <f t="shared" si="144"/>
        <v>3391500</v>
      </c>
      <c r="AB323" s="38">
        <f t="shared" si="145"/>
        <v>565250</v>
      </c>
      <c r="AC323" s="38">
        <f t="shared" si="146"/>
        <v>2826250</v>
      </c>
      <c r="AD323" s="73"/>
      <c r="AE323" s="73"/>
      <c r="AG323" s="73">
        <f>AB323</f>
        <v>565250</v>
      </c>
      <c r="AH323" s="73">
        <f t="shared" ref="AH323:AH332" si="155">O323</f>
        <v>3391500</v>
      </c>
    </row>
    <row r="324" spans="1:34" s="72" customFormat="1">
      <c r="A324" s="66">
        <v>15280000</v>
      </c>
      <c r="B324" s="67" t="s">
        <v>22</v>
      </c>
      <c r="C324" s="348" t="s">
        <v>997</v>
      </c>
      <c r="D324" s="67">
        <v>1</v>
      </c>
      <c r="E324" s="61" t="s">
        <v>365</v>
      </c>
      <c r="F324" s="177"/>
      <c r="G324" s="177"/>
      <c r="H324" s="177"/>
      <c r="J324" s="349">
        <v>44378</v>
      </c>
      <c r="K324" s="65" t="str">
        <f t="shared" ref="K324:K332" si="156">IF(L324&gt;($M$27*50),"SI","NO")</f>
        <v>SI</v>
      </c>
      <c r="L324" s="139">
        <f t="shared" ref="L324:L332" si="157">M324/D324</f>
        <v>4403000</v>
      </c>
      <c r="M324" s="67">
        <v>4403000</v>
      </c>
      <c r="N324" s="67">
        <v>4403000</v>
      </c>
      <c r="O324" s="139">
        <f t="shared" ref="O324:O332" si="158">IF(K324="SI",N324,0)</f>
        <v>4403000</v>
      </c>
      <c r="P324" s="72">
        <v>15922000</v>
      </c>
      <c r="Q324" s="73" t="s">
        <v>29</v>
      </c>
      <c r="R324" s="67">
        <v>0</v>
      </c>
      <c r="S324" s="67">
        <v>0</v>
      </c>
      <c r="T324" s="139">
        <f t="shared" ref="T324:T332" si="159">IF(O324&gt;0,S324,0)</f>
        <v>0</v>
      </c>
      <c r="U324" s="38">
        <f t="shared" ref="U324:U332" si="160">IF(O324&gt;0,N324-S324,0)</f>
        <v>4403000</v>
      </c>
      <c r="V324" s="350">
        <v>5</v>
      </c>
      <c r="W324" s="116">
        <f t="shared" ref="W324:W332" si="161">IF(ROUND(($W$27-J324)/30,0)&gt;(V324*12),(V324*12),(ROUND(($W$27-J324)/30,0)))</f>
        <v>6</v>
      </c>
      <c r="X324" s="116">
        <f t="shared" ref="X324:X332" si="162">(V324*12)-W324</f>
        <v>54</v>
      </c>
      <c r="Y324" s="38">
        <f t="shared" ref="Y324:Y332" si="163">N324/(V324*12)</f>
        <v>73383.333333333328</v>
      </c>
      <c r="Z324" s="38">
        <f t="shared" ref="Z324:Z332" si="164">IF(U324&gt;0,W324*Y324,0)</f>
        <v>440300</v>
      </c>
      <c r="AA324" s="38">
        <f t="shared" ref="AA324:AA332" si="165">ROUND(IF(U324&gt;0,N324,0),0)</f>
        <v>4403000</v>
      </c>
      <c r="AB324" s="38">
        <f t="shared" ref="AB324:AB332" si="166">ROUND(IF(U324&gt;0,Z324,0),0)</f>
        <v>440300</v>
      </c>
      <c r="AC324" s="38">
        <f t="shared" ref="AC324:AC332" si="167">AA324-AB324</f>
        <v>3962700</v>
      </c>
      <c r="AD324" s="73"/>
      <c r="AE324" s="73"/>
      <c r="AG324" s="73">
        <f t="shared" ref="AG324:AG332" si="168">AB324</f>
        <v>440300</v>
      </c>
      <c r="AH324" s="73">
        <f t="shared" si="155"/>
        <v>4403000</v>
      </c>
    </row>
    <row r="325" spans="1:34" s="72" customFormat="1">
      <c r="A325" s="66">
        <v>15280000</v>
      </c>
      <c r="B325" s="67" t="s">
        <v>22</v>
      </c>
      <c r="C325" s="348" t="s">
        <v>997</v>
      </c>
      <c r="D325" s="67">
        <v>1</v>
      </c>
      <c r="E325" s="61" t="s">
        <v>365</v>
      </c>
      <c r="F325" s="177"/>
      <c r="G325" s="177"/>
      <c r="H325" s="177"/>
      <c r="J325" s="349">
        <v>44440</v>
      </c>
      <c r="K325" s="65" t="str">
        <f t="shared" si="156"/>
        <v>SI</v>
      </c>
      <c r="L325" s="139">
        <f t="shared" si="157"/>
        <v>3049999</v>
      </c>
      <c r="M325" s="67">
        <v>3049999</v>
      </c>
      <c r="N325" s="67">
        <v>3049999</v>
      </c>
      <c r="O325" s="139">
        <f t="shared" si="158"/>
        <v>3049999</v>
      </c>
      <c r="P325" s="72">
        <v>15922000</v>
      </c>
      <c r="Q325" s="73" t="s">
        <v>29</v>
      </c>
      <c r="R325" s="67">
        <v>0</v>
      </c>
      <c r="S325" s="67">
        <v>0</v>
      </c>
      <c r="T325" s="139">
        <f t="shared" si="159"/>
        <v>0</v>
      </c>
      <c r="U325" s="38">
        <f t="shared" si="160"/>
        <v>3049999</v>
      </c>
      <c r="V325" s="350">
        <v>4</v>
      </c>
      <c r="W325" s="116">
        <f t="shared" si="161"/>
        <v>4</v>
      </c>
      <c r="X325" s="116">
        <f t="shared" si="162"/>
        <v>44</v>
      </c>
      <c r="Y325" s="38">
        <f t="shared" si="163"/>
        <v>63541.645833333336</v>
      </c>
      <c r="Z325" s="38">
        <f t="shared" si="164"/>
        <v>254166.58333333334</v>
      </c>
      <c r="AA325" s="38">
        <f t="shared" si="165"/>
        <v>3049999</v>
      </c>
      <c r="AB325" s="38">
        <f t="shared" si="166"/>
        <v>254167</v>
      </c>
      <c r="AC325" s="38">
        <f t="shared" si="167"/>
        <v>2795832</v>
      </c>
      <c r="AD325" s="73"/>
      <c r="AE325" s="73"/>
      <c r="AG325" s="73">
        <f t="shared" si="168"/>
        <v>254167</v>
      </c>
      <c r="AH325" s="73">
        <f t="shared" si="155"/>
        <v>3049999</v>
      </c>
    </row>
    <row r="326" spans="1:34" s="72" customFormat="1">
      <c r="A326" s="66">
        <v>15280000</v>
      </c>
      <c r="B326" s="67" t="s">
        <v>22</v>
      </c>
      <c r="C326" s="348" t="s">
        <v>997</v>
      </c>
      <c r="D326" s="67">
        <v>1</v>
      </c>
      <c r="E326" s="61" t="s">
        <v>365</v>
      </c>
      <c r="F326" s="177"/>
      <c r="G326" s="177"/>
      <c r="H326" s="177"/>
      <c r="J326" s="349">
        <v>44440</v>
      </c>
      <c r="K326" s="65" t="str">
        <f t="shared" si="156"/>
        <v>SI</v>
      </c>
      <c r="L326" s="139">
        <f t="shared" si="157"/>
        <v>2950000</v>
      </c>
      <c r="M326" s="67">
        <v>2950000</v>
      </c>
      <c r="N326" s="67">
        <v>2950000</v>
      </c>
      <c r="O326" s="139">
        <f t="shared" si="158"/>
        <v>2950000</v>
      </c>
      <c r="P326" s="72">
        <v>15922000</v>
      </c>
      <c r="Q326" s="73" t="s">
        <v>29</v>
      </c>
      <c r="R326" s="67">
        <v>0</v>
      </c>
      <c r="S326" s="67">
        <v>0</v>
      </c>
      <c r="T326" s="139">
        <f t="shared" si="159"/>
        <v>0</v>
      </c>
      <c r="U326" s="38">
        <f t="shared" si="160"/>
        <v>2950000</v>
      </c>
      <c r="V326" s="350">
        <v>5</v>
      </c>
      <c r="W326" s="116">
        <f t="shared" si="161"/>
        <v>4</v>
      </c>
      <c r="X326" s="116">
        <f t="shared" si="162"/>
        <v>56</v>
      </c>
      <c r="Y326" s="38">
        <f t="shared" si="163"/>
        <v>49166.666666666664</v>
      </c>
      <c r="Z326" s="38">
        <f t="shared" si="164"/>
        <v>196666.66666666666</v>
      </c>
      <c r="AA326" s="38">
        <f t="shared" si="165"/>
        <v>2950000</v>
      </c>
      <c r="AB326" s="38">
        <f t="shared" si="166"/>
        <v>196667</v>
      </c>
      <c r="AC326" s="38">
        <f t="shared" si="167"/>
        <v>2753333</v>
      </c>
      <c r="AD326" s="73"/>
      <c r="AE326" s="73"/>
      <c r="AG326" s="73">
        <f t="shared" si="168"/>
        <v>196667</v>
      </c>
      <c r="AH326" s="73">
        <f t="shared" si="155"/>
        <v>2950000</v>
      </c>
    </row>
    <row r="327" spans="1:34" s="72" customFormat="1">
      <c r="A327" s="66">
        <v>15280000</v>
      </c>
      <c r="B327" s="67" t="s">
        <v>22</v>
      </c>
      <c r="C327" s="348" t="s">
        <v>997</v>
      </c>
      <c r="D327" s="67">
        <v>1</v>
      </c>
      <c r="E327" s="61" t="s">
        <v>365</v>
      </c>
      <c r="F327" s="177"/>
      <c r="G327" s="177"/>
      <c r="H327" s="177"/>
      <c r="J327" s="349">
        <v>44440</v>
      </c>
      <c r="K327" s="65" t="str">
        <f t="shared" si="156"/>
        <v>SI</v>
      </c>
      <c r="L327" s="139">
        <f t="shared" si="157"/>
        <v>2950000</v>
      </c>
      <c r="M327" s="67">
        <v>2950000</v>
      </c>
      <c r="N327" s="67">
        <v>2950000</v>
      </c>
      <c r="O327" s="139">
        <f t="shared" si="158"/>
        <v>2950000</v>
      </c>
      <c r="P327" s="72">
        <v>15922000</v>
      </c>
      <c r="Q327" s="73" t="s">
        <v>29</v>
      </c>
      <c r="R327" s="67">
        <v>0</v>
      </c>
      <c r="S327" s="67">
        <v>0</v>
      </c>
      <c r="T327" s="139">
        <f t="shared" si="159"/>
        <v>0</v>
      </c>
      <c r="U327" s="38">
        <f t="shared" si="160"/>
        <v>2950000</v>
      </c>
      <c r="V327" s="350">
        <v>5</v>
      </c>
      <c r="W327" s="116">
        <f t="shared" si="161"/>
        <v>4</v>
      </c>
      <c r="X327" s="116">
        <f t="shared" si="162"/>
        <v>56</v>
      </c>
      <c r="Y327" s="38">
        <f t="shared" si="163"/>
        <v>49166.666666666664</v>
      </c>
      <c r="Z327" s="38">
        <f t="shared" si="164"/>
        <v>196666.66666666666</v>
      </c>
      <c r="AA327" s="38">
        <f t="shared" si="165"/>
        <v>2950000</v>
      </c>
      <c r="AB327" s="38">
        <f t="shared" si="166"/>
        <v>196667</v>
      </c>
      <c r="AC327" s="38">
        <f t="shared" si="167"/>
        <v>2753333</v>
      </c>
      <c r="AD327" s="73"/>
      <c r="AE327" s="73"/>
      <c r="AG327" s="73">
        <f t="shared" si="168"/>
        <v>196667</v>
      </c>
      <c r="AH327" s="73">
        <f t="shared" si="155"/>
        <v>2950000</v>
      </c>
    </row>
    <row r="328" spans="1:34" s="72" customFormat="1">
      <c r="A328" s="66">
        <v>15280000</v>
      </c>
      <c r="B328" s="67" t="s">
        <v>22</v>
      </c>
      <c r="C328" s="348" t="s">
        <v>997</v>
      </c>
      <c r="D328" s="67">
        <v>1</v>
      </c>
      <c r="E328" s="61" t="s">
        <v>365</v>
      </c>
      <c r="F328" s="177"/>
      <c r="G328" s="177"/>
      <c r="H328" s="177"/>
      <c r="J328" s="349">
        <v>44470</v>
      </c>
      <c r="K328" s="65" t="str">
        <f t="shared" si="156"/>
        <v>SI</v>
      </c>
      <c r="L328" s="139">
        <f t="shared" si="157"/>
        <v>2998800</v>
      </c>
      <c r="M328" s="67">
        <v>2998800</v>
      </c>
      <c r="N328" s="67">
        <v>2998800</v>
      </c>
      <c r="O328" s="139">
        <f t="shared" si="158"/>
        <v>2998800</v>
      </c>
      <c r="P328" s="72">
        <v>15922000</v>
      </c>
      <c r="Q328" s="73" t="s">
        <v>29</v>
      </c>
      <c r="R328" s="67">
        <v>0</v>
      </c>
      <c r="S328" s="67">
        <v>0</v>
      </c>
      <c r="T328" s="139">
        <f t="shared" si="159"/>
        <v>0</v>
      </c>
      <c r="U328" s="38">
        <f t="shared" si="160"/>
        <v>2998800</v>
      </c>
      <c r="V328" s="350">
        <v>5</v>
      </c>
      <c r="W328" s="116">
        <f t="shared" si="161"/>
        <v>3</v>
      </c>
      <c r="X328" s="116">
        <f t="shared" si="162"/>
        <v>57</v>
      </c>
      <c r="Y328" s="38">
        <f t="shared" si="163"/>
        <v>49980</v>
      </c>
      <c r="Z328" s="38">
        <f t="shared" si="164"/>
        <v>149940</v>
      </c>
      <c r="AA328" s="38">
        <f t="shared" si="165"/>
        <v>2998800</v>
      </c>
      <c r="AB328" s="38">
        <f t="shared" si="166"/>
        <v>149940</v>
      </c>
      <c r="AC328" s="38">
        <f t="shared" si="167"/>
        <v>2848860</v>
      </c>
      <c r="AD328" s="73"/>
      <c r="AE328" s="73"/>
      <c r="AF328" s="73"/>
      <c r="AG328" s="73">
        <f t="shared" si="168"/>
        <v>149940</v>
      </c>
      <c r="AH328" s="73">
        <f t="shared" si="155"/>
        <v>2998800</v>
      </c>
    </row>
    <row r="329" spans="1:34" s="72" customFormat="1">
      <c r="A329" s="66">
        <v>15280000</v>
      </c>
      <c r="B329" s="67" t="s">
        <v>22</v>
      </c>
      <c r="C329" s="348" t="s">
        <v>997</v>
      </c>
      <c r="D329" s="67">
        <v>1</v>
      </c>
      <c r="E329" s="61" t="s">
        <v>365</v>
      </c>
      <c r="F329" s="177"/>
      <c r="G329" s="177"/>
      <c r="H329" s="177"/>
      <c r="J329" s="349">
        <v>44501</v>
      </c>
      <c r="K329" s="65" t="str">
        <f t="shared" si="156"/>
        <v>SI</v>
      </c>
      <c r="L329" s="139">
        <f t="shared" si="157"/>
        <v>4403000</v>
      </c>
      <c r="M329" s="67">
        <v>4403000</v>
      </c>
      <c r="N329" s="67">
        <v>4403000</v>
      </c>
      <c r="O329" s="139">
        <f t="shared" si="158"/>
        <v>4403000</v>
      </c>
      <c r="P329" s="72">
        <v>15922000</v>
      </c>
      <c r="Q329" s="73" t="s">
        <v>29</v>
      </c>
      <c r="R329" s="67">
        <v>0</v>
      </c>
      <c r="S329" s="67">
        <v>0</v>
      </c>
      <c r="T329" s="139">
        <f t="shared" si="159"/>
        <v>0</v>
      </c>
      <c r="U329" s="38">
        <f t="shared" si="160"/>
        <v>4403000</v>
      </c>
      <c r="V329" s="350">
        <v>5</v>
      </c>
      <c r="W329" s="116">
        <f t="shared" si="161"/>
        <v>2</v>
      </c>
      <c r="X329" s="116">
        <f t="shared" si="162"/>
        <v>58</v>
      </c>
      <c r="Y329" s="38">
        <f t="shared" si="163"/>
        <v>73383.333333333328</v>
      </c>
      <c r="Z329" s="38">
        <f t="shared" si="164"/>
        <v>146766.66666666666</v>
      </c>
      <c r="AA329" s="38">
        <f t="shared" si="165"/>
        <v>4403000</v>
      </c>
      <c r="AB329" s="38">
        <f t="shared" si="166"/>
        <v>146767</v>
      </c>
      <c r="AC329" s="38">
        <f t="shared" si="167"/>
        <v>4256233</v>
      </c>
      <c r="AD329" s="73"/>
      <c r="AE329" s="73"/>
      <c r="AF329" s="73"/>
      <c r="AG329" s="73">
        <f t="shared" si="168"/>
        <v>146767</v>
      </c>
      <c r="AH329" s="73">
        <f t="shared" si="155"/>
        <v>4403000</v>
      </c>
    </row>
    <row r="330" spans="1:34" s="72" customFormat="1">
      <c r="A330" s="66">
        <v>15280000</v>
      </c>
      <c r="B330" s="67" t="s">
        <v>22</v>
      </c>
      <c r="C330" s="348" t="s">
        <v>997</v>
      </c>
      <c r="D330" s="67">
        <v>1</v>
      </c>
      <c r="E330" s="61" t="s">
        <v>365</v>
      </c>
      <c r="F330" s="177"/>
      <c r="G330" s="177"/>
      <c r="H330" s="177"/>
      <c r="J330" s="349">
        <v>44501</v>
      </c>
      <c r="K330" s="65" t="str">
        <f t="shared" si="156"/>
        <v>SI</v>
      </c>
      <c r="L330" s="139">
        <f t="shared" si="157"/>
        <v>3095000</v>
      </c>
      <c r="M330" s="67">
        <v>3095000</v>
      </c>
      <c r="N330" s="67">
        <v>3095000</v>
      </c>
      <c r="O330" s="139">
        <f t="shared" si="158"/>
        <v>3095000</v>
      </c>
      <c r="P330" s="72">
        <v>15922000</v>
      </c>
      <c r="Q330" s="73" t="s">
        <v>29</v>
      </c>
      <c r="R330" s="67">
        <v>0</v>
      </c>
      <c r="S330" s="67">
        <v>0</v>
      </c>
      <c r="T330" s="139">
        <f t="shared" si="159"/>
        <v>0</v>
      </c>
      <c r="U330" s="38">
        <f t="shared" si="160"/>
        <v>3095000</v>
      </c>
      <c r="V330" s="350">
        <v>5</v>
      </c>
      <c r="W330" s="116">
        <f t="shared" si="161"/>
        <v>2</v>
      </c>
      <c r="X330" s="116">
        <f t="shared" si="162"/>
        <v>58</v>
      </c>
      <c r="Y330" s="38">
        <f t="shared" si="163"/>
        <v>51583.333333333336</v>
      </c>
      <c r="Z330" s="38">
        <f t="shared" si="164"/>
        <v>103166.66666666667</v>
      </c>
      <c r="AA330" s="38">
        <f t="shared" si="165"/>
        <v>3095000</v>
      </c>
      <c r="AB330" s="38">
        <f t="shared" si="166"/>
        <v>103167</v>
      </c>
      <c r="AC330" s="38">
        <f t="shared" si="167"/>
        <v>2991833</v>
      </c>
      <c r="AD330" s="73"/>
      <c r="AE330" s="73"/>
      <c r="AF330" s="73"/>
      <c r="AG330" s="73">
        <f t="shared" si="168"/>
        <v>103167</v>
      </c>
      <c r="AH330" s="73">
        <f t="shared" si="155"/>
        <v>3095000</v>
      </c>
    </row>
    <row r="331" spans="1:34" s="72" customFormat="1">
      <c r="A331" s="66">
        <v>15280000</v>
      </c>
      <c r="B331" s="67" t="s">
        <v>22</v>
      </c>
      <c r="C331" s="348" t="s">
        <v>997</v>
      </c>
      <c r="D331" s="67">
        <v>1</v>
      </c>
      <c r="E331" s="61" t="s">
        <v>365</v>
      </c>
      <c r="F331" s="177"/>
      <c r="G331" s="177"/>
      <c r="H331" s="177"/>
      <c r="J331" s="349">
        <v>44531</v>
      </c>
      <c r="K331" s="65" t="str">
        <f t="shared" si="156"/>
        <v>SI</v>
      </c>
      <c r="L331" s="139">
        <f t="shared" si="157"/>
        <v>4403000</v>
      </c>
      <c r="M331" s="67">
        <v>4403000</v>
      </c>
      <c r="N331" s="67">
        <v>4403000</v>
      </c>
      <c r="O331" s="139">
        <f t="shared" si="158"/>
        <v>4403000</v>
      </c>
      <c r="P331" s="72">
        <v>15922000</v>
      </c>
      <c r="Q331" s="73" t="s">
        <v>29</v>
      </c>
      <c r="R331" s="67">
        <v>0</v>
      </c>
      <c r="S331" s="67">
        <v>0</v>
      </c>
      <c r="T331" s="139">
        <f t="shared" si="159"/>
        <v>0</v>
      </c>
      <c r="U331" s="38">
        <f t="shared" si="160"/>
        <v>4403000</v>
      </c>
      <c r="V331" s="350">
        <v>5</v>
      </c>
      <c r="W331" s="116">
        <f t="shared" si="161"/>
        <v>1</v>
      </c>
      <c r="X331" s="116">
        <f t="shared" si="162"/>
        <v>59</v>
      </c>
      <c r="Y331" s="38">
        <f t="shared" si="163"/>
        <v>73383.333333333328</v>
      </c>
      <c r="Z331" s="38">
        <f t="shared" si="164"/>
        <v>73383.333333333328</v>
      </c>
      <c r="AA331" s="38">
        <f t="shared" si="165"/>
        <v>4403000</v>
      </c>
      <c r="AB331" s="38">
        <f t="shared" si="166"/>
        <v>73383</v>
      </c>
      <c r="AC331" s="38">
        <f t="shared" si="167"/>
        <v>4329617</v>
      </c>
      <c r="AD331" s="73"/>
      <c r="AE331" s="73"/>
      <c r="AF331" s="73"/>
      <c r="AG331" s="73">
        <f t="shared" si="168"/>
        <v>73383</v>
      </c>
      <c r="AH331" s="73">
        <f t="shared" si="155"/>
        <v>4403000</v>
      </c>
    </row>
    <row r="332" spans="1:34" s="72" customFormat="1">
      <c r="A332" s="66">
        <v>15280000</v>
      </c>
      <c r="B332" s="67" t="s">
        <v>22</v>
      </c>
      <c r="C332" s="348" t="s">
        <v>997</v>
      </c>
      <c r="D332" s="67">
        <v>1</v>
      </c>
      <c r="E332" s="61" t="s">
        <v>365</v>
      </c>
      <c r="F332" s="177"/>
      <c r="G332" s="177"/>
      <c r="H332" s="177"/>
      <c r="J332" s="349">
        <v>44561</v>
      </c>
      <c r="K332" s="65" t="str">
        <f t="shared" si="156"/>
        <v>SI</v>
      </c>
      <c r="L332" s="139">
        <f t="shared" si="157"/>
        <v>2272900</v>
      </c>
      <c r="M332" s="67">
        <v>2272900</v>
      </c>
      <c r="N332" s="67">
        <v>2272900</v>
      </c>
      <c r="O332" s="139">
        <f t="shared" si="158"/>
        <v>2272900</v>
      </c>
      <c r="P332" s="72">
        <v>15922000</v>
      </c>
      <c r="Q332" s="73" t="s">
        <v>29</v>
      </c>
      <c r="R332" s="67">
        <v>0</v>
      </c>
      <c r="S332" s="67">
        <v>0</v>
      </c>
      <c r="T332" s="139">
        <f t="shared" si="159"/>
        <v>0</v>
      </c>
      <c r="U332" s="38">
        <f t="shared" si="160"/>
        <v>2272900</v>
      </c>
      <c r="V332" s="350">
        <v>5</v>
      </c>
      <c r="W332" s="116">
        <f t="shared" si="161"/>
        <v>0</v>
      </c>
      <c r="X332" s="116">
        <f t="shared" si="162"/>
        <v>60</v>
      </c>
      <c r="Y332" s="38">
        <f t="shared" si="163"/>
        <v>37881.666666666664</v>
      </c>
      <c r="Z332" s="38">
        <f t="shared" si="164"/>
        <v>0</v>
      </c>
      <c r="AA332" s="38">
        <f t="shared" si="165"/>
        <v>2272900</v>
      </c>
      <c r="AB332" s="38">
        <f t="shared" si="166"/>
        <v>0</v>
      </c>
      <c r="AC332" s="38">
        <f t="shared" si="167"/>
        <v>2272900</v>
      </c>
      <c r="AD332" s="73"/>
      <c r="AE332" s="73"/>
      <c r="AF332" s="73"/>
      <c r="AG332" s="73">
        <f t="shared" si="168"/>
        <v>0</v>
      </c>
      <c r="AH332" s="73">
        <f t="shared" si="155"/>
        <v>2272900</v>
      </c>
    </row>
    <row r="333" spans="1:34" s="72" customFormat="1">
      <c r="AE333" s="73"/>
      <c r="AF333" s="73"/>
    </row>
    <row r="334" spans="1:34" s="73" customFormat="1">
      <c r="A334" s="72">
        <v>15400000</v>
      </c>
      <c r="B334" s="73" t="s">
        <v>23</v>
      </c>
      <c r="C334" s="74" t="s">
        <v>998</v>
      </c>
      <c r="D334" s="73">
        <v>1</v>
      </c>
      <c r="E334" s="36" t="s">
        <v>366</v>
      </c>
      <c r="F334" s="144"/>
      <c r="G334" s="144"/>
      <c r="H334" s="144"/>
      <c r="I334" s="170"/>
      <c r="J334" s="77">
        <v>41856</v>
      </c>
      <c r="K334" s="52" t="str">
        <f>IF(L334&gt;($M$21*50),"SI","NO")</f>
        <v>SI</v>
      </c>
      <c r="L334" s="113">
        <f t="shared" ref="L334:L342" si="169">M334/D334</f>
        <v>57841416</v>
      </c>
      <c r="M334" s="73">
        <v>57841416</v>
      </c>
      <c r="N334" s="145">
        <v>57841416</v>
      </c>
      <c r="O334" s="113">
        <f t="shared" ref="O334:O342" si="170">IF(K334="SI",N334,0)</f>
        <v>57841416</v>
      </c>
      <c r="P334" s="72">
        <v>15923500</v>
      </c>
      <c r="Q334" s="73" t="s">
        <v>30</v>
      </c>
      <c r="R334" s="73">
        <v>51093251</v>
      </c>
      <c r="S334" s="73">
        <v>51093251</v>
      </c>
      <c r="T334" s="113">
        <f t="shared" ref="T334:T342" si="171">IF(O334&gt;0,S334,0)</f>
        <v>51093251</v>
      </c>
      <c r="U334" s="38">
        <f t="shared" ref="U334:U342" si="172">IF(O334&gt;0,N334-S334,0)</f>
        <v>6748165</v>
      </c>
      <c r="V334" s="148">
        <v>5</v>
      </c>
      <c r="W334" s="116">
        <f>IF(ROUND(($W$27-J334)/30,0)&gt;(V334*12),(V334*12),(ROUND(($W$27-J334)/30,0)))</f>
        <v>60</v>
      </c>
      <c r="X334" s="116">
        <f t="shared" ref="X334:X342" si="173">(V334*12)-W334</f>
        <v>0</v>
      </c>
      <c r="Y334" s="38">
        <f t="shared" ref="Y334:Y342" si="174">N334/(V334*12)</f>
        <v>964023.6</v>
      </c>
      <c r="Z334" s="38">
        <f t="shared" ref="Z334:Z342" si="175">IF(U334&gt;0,W334*Y334,0)</f>
        <v>57841416</v>
      </c>
      <c r="AA334" s="38">
        <f t="shared" ref="AA334:AA342" si="176">ROUND(IF(U334&gt;0,N334,0),0)</f>
        <v>57841416</v>
      </c>
      <c r="AB334" s="38">
        <f t="shared" ref="AB334:AB342" si="177">ROUND(IF(U334&gt;0,Z334,0),0)</f>
        <v>57841416</v>
      </c>
      <c r="AC334" s="38">
        <f t="shared" ref="AC334:AC342" si="178">AA334-AB334</f>
        <v>0</v>
      </c>
      <c r="AD334" s="365" t="s">
        <v>1049</v>
      </c>
      <c r="AG334" s="73">
        <f>AB334-'P, Pl y Eq 2020'!AB290</f>
        <v>0</v>
      </c>
    </row>
    <row r="335" spans="1:34" s="73" customFormat="1">
      <c r="A335" s="72">
        <v>15400000</v>
      </c>
      <c r="B335" s="73" t="s">
        <v>23</v>
      </c>
      <c r="C335" s="74" t="s">
        <v>999</v>
      </c>
      <c r="D335" s="73">
        <v>1</v>
      </c>
      <c r="E335" s="36" t="s">
        <v>366</v>
      </c>
      <c r="F335" s="144"/>
      <c r="G335" s="144"/>
      <c r="H335" s="144"/>
      <c r="I335" s="170"/>
      <c r="J335" s="77">
        <v>42714</v>
      </c>
      <c r="K335" s="52" t="str">
        <f>IF(L335&gt;($M$22*50),"SI","NO")</f>
        <v>SI</v>
      </c>
      <c r="L335" s="113">
        <f t="shared" si="169"/>
        <v>39000000</v>
      </c>
      <c r="M335" s="73">
        <v>39000000</v>
      </c>
      <c r="N335" s="145">
        <v>39000000</v>
      </c>
      <c r="O335" s="113">
        <f t="shared" si="170"/>
        <v>39000000</v>
      </c>
      <c r="P335" s="72">
        <v>15923500</v>
      </c>
      <c r="Q335" s="73" t="s">
        <v>30</v>
      </c>
      <c r="R335" s="73">
        <v>16250000</v>
      </c>
      <c r="S335" s="73">
        <v>16250000</v>
      </c>
      <c r="T335" s="113">
        <f t="shared" si="171"/>
        <v>16250000</v>
      </c>
      <c r="U335" s="38">
        <f t="shared" si="172"/>
        <v>22750000</v>
      </c>
      <c r="V335" s="148">
        <v>5</v>
      </c>
      <c r="W335" s="116">
        <f>IF(ROUND(($W$27-J335)/30,0)&gt;(V335*12),(V335*12),(ROUND(($W$27-J335)/30,0)))</f>
        <v>60</v>
      </c>
      <c r="X335" s="116">
        <f t="shared" si="173"/>
        <v>0</v>
      </c>
      <c r="Y335" s="38">
        <f t="shared" si="174"/>
        <v>650000</v>
      </c>
      <c r="Z335" s="38">
        <f t="shared" si="175"/>
        <v>39000000</v>
      </c>
      <c r="AA335" s="38">
        <f t="shared" si="176"/>
        <v>39000000</v>
      </c>
      <c r="AB335" s="38">
        <f t="shared" si="177"/>
        <v>39000000</v>
      </c>
      <c r="AC335" s="38">
        <f t="shared" si="178"/>
        <v>0</v>
      </c>
      <c r="AD335" s="365" t="s">
        <v>1047</v>
      </c>
      <c r="AG335" s="73">
        <f>AB335-'P, Pl y Eq 2020'!AB291</f>
        <v>7150000</v>
      </c>
    </row>
    <row r="336" spans="1:34" s="73" customFormat="1">
      <c r="A336" s="72">
        <v>15400000</v>
      </c>
      <c r="B336" s="73" t="s">
        <v>23</v>
      </c>
      <c r="C336" s="164" t="s">
        <v>1000</v>
      </c>
      <c r="D336" s="73">
        <v>1</v>
      </c>
      <c r="E336" s="36" t="s">
        <v>366</v>
      </c>
      <c r="F336" s="144"/>
      <c r="G336" s="144"/>
      <c r="H336" s="144"/>
      <c r="I336" s="170"/>
      <c r="J336" s="77">
        <v>42614</v>
      </c>
      <c r="K336" s="52" t="str">
        <f>IF(L336&gt;($M$22*50),"SI","NO")</f>
        <v>SI</v>
      </c>
      <c r="L336" s="113">
        <f t="shared" si="169"/>
        <v>1645445608.25</v>
      </c>
      <c r="M336" s="73">
        <v>1645445608.25</v>
      </c>
      <c r="N336" s="145">
        <v>1645445608.25</v>
      </c>
      <c r="O336" s="113">
        <f t="shared" si="170"/>
        <v>1645445608.25</v>
      </c>
      <c r="P336" s="72">
        <v>15923500</v>
      </c>
      <c r="Q336" s="73" t="s">
        <v>30</v>
      </c>
      <c r="R336" s="73">
        <v>383937309</v>
      </c>
      <c r="S336" s="73">
        <v>383937309</v>
      </c>
      <c r="T336" s="113">
        <f t="shared" si="171"/>
        <v>383937309</v>
      </c>
      <c r="U336" s="38">
        <f t="shared" si="172"/>
        <v>1261508299.25</v>
      </c>
      <c r="V336" s="148">
        <v>10</v>
      </c>
      <c r="W336" s="116">
        <f>IF(ROUND(($W$27-J336)/30,0)&gt;(V336*12),(V336*12),(ROUND(($W$27-J336)/30,0)))-1</f>
        <v>64</v>
      </c>
      <c r="X336" s="116">
        <f t="shared" si="173"/>
        <v>56</v>
      </c>
      <c r="Y336" s="38">
        <f t="shared" si="174"/>
        <v>13712046.735416668</v>
      </c>
      <c r="Z336" s="38">
        <f t="shared" si="175"/>
        <v>877570991.06666672</v>
      </c>
      <c r="AA336" s="38">
        <f t="shared" si="176"/>
        <v>1645445608</v>
      </c>
      <c r="AB336" s="38">
        <f t="shared" si="177"/>
        <v>877570991</v>
      </c>
      <c r="AC336" s="38">
        <f t="shared" si="178"/>
        <v>767874617</v>
      </c>
      <c r="AE336" s="72"/>
      <c r="AF336" s="72"/>
      <c r="AG336" s="73">
        <f>AB336-'P, Pl y Eq 2020'!AB292</f>
        <v>164544561</v>
      </c>
    </row>
    <row r="337" spans="1:34" s="73" customFormat="1">
      <c r="A337" s="72">
        <v>15400000</v>
      </c>
      <c r="B337" s="73" t="s">
        <v>23</v>
      </c>
      <c r="C337" s="171" t="s">
        <v>1000</v>
      </c>
      <c r="D337" s="73">
        <v>1</v>
      </c>
      <c r="E337" s="36" t="s">
        <v>366</v>
      </c>
      <c r="F337" s="144"/>
      <c r="G337" s="144"/>
      <c r="H337" s="144"/>
      <c r="I337" s="170"/>
      <c r="J337" s="77">
        <v>43069</v>
      </c>
      <c r="K337" s="52" t="str">
        <f>IF(L337&gt;($M$23*50),"SI","NO")</f>
        <v>SI</v>
      </c>
      <c r="L337" s="113">
        <f t="shared" si="169"/>
        <v>229968980</v>
      </c>
      <c r="M337" s="73">
        <v>229968980</v>
      </c>
      <c r="N337" s="145">
        <v>229968980</v>
      </c>
      <c r="O337" s="113">
        <f t="shared" si="170"/>
        <v>229968980</v>
      </c>
      <c r="P337" s="72">
        <v>15923500</v>
      </c>
      <c r="Q337" s="73" t="s">
        <v>30</v>
      </c>
      <c r="R337" s="73">
        <v>24913306</v>
      </c>
      <c r="S337" s="73">
        <v>24913306</v>
      </c>
      <c r="T337" s="113">
        <f t="shared" si="171"/>
        <v>24913306</v>
      </c>
      <c r="U337" s="38">
        <f t="shared" si="172"/>
        <v>205055674</v>
      </c>
      <c r="V337" s="148">
        <v>10</v>
      </c>
      <c r="W337" s="116">
        <f>IF(ROUND(($W$27-J337)/30,0)&gt;(V337*12),(V337*12),(ROUND(($W$27-J337)/30,0)))-1</f>
        <v>49</v>
      </c>
      <c r="X337" s="116">
        <f t="shared" si="173"/>
        <v>71</v>
      </c>
      <c r="Y337" s="38">
        <f t="shared" si="174"/>
        <v>1916408.1666666667</v>
      </c>
      <c r="Z337" s="38">
        <f t="shared" si="175"/>
        <v>93904000.166666672</v>
      </c>
      <c r="AA337" s="38">
        <f t="shared" si="176"/>
        <v>229968980</v>
      </c>
      <c r="AB337" s="38">
        <f t="shared" si="177"/>
        <v>93904000</v>
      </c>
      <c r="AC337" s="38">
        <f t="shared" si="178"/>
        <v>136064980</v>
      </c>
      <c r="AE337" s="23"/>
      <c r="AF337" s="23"/>
      <c r="AG337" s="73">
        <f>AB337-'P, Pl y Eq 2020'!AB293</f>
        <v>22996898</v>
      </c>
    </row>
    <row r="338" spans="1:34" s="73" customFormat="1">
      <c r="A338" s="72">
        <v>15400000</v>
      </c>
      <c r="B338" s="73" t="s">
        <v>23</v>
      </c>
      <c r="C338" s="165" t="s">
        <v>1000</v>
      </c>
      <c r="D338" s="73">
        <v>1</v>
      </c>
      <c r="E338" s="36" t="s">
        <v>366</v>
      </c>
      <c r="F338" s="144"/>
      <c r="G338" s="144"/>
      <c r="H338" s="144"/>
      <c r="I338" s="170"/>
      <c r="J338" s="77">
        <v>43100</v>
      </c>
      <c r="K338" s="52" t="str">
        <f>IF(L338&gt;($M$23*50),"SI","NO")</f>
        <v>SI</v>
      </c>
      <c r="L338" s="113">
        <f t="shared" si="169"/>
        <v>27157894</v>
      </c>
      <c r="M338" s="73">
        <v>27157894</v>
      </c>
      <c r="N338" s="145">
        <v>27157894</v>
      </c>
      <c r="O338" s="113">
        <f t="shared" si="170"/>
        <v>27157894</v>
      </c>
      <c r="P338" s="72">
        <v>15923500</v>
      </c>
      <c r="Q338" s="73" t="s">
        <v>30</v>
      </c>
      <c r="R338" s="73">
        <v>2715789</v>
      </c>
      <c r="S338" s="73">
        <v>2715789</v>
      </c>
      <c r="T338" s="113">
        <f t="shared" si="171"/>
        <v>2715789</v>
      </c>
      <c r="U338" s="38">
        <f t="shared" si="172"/>
        <v>24442105</v>
      </c>
      <c r="V338" s="148">
        <v>10</v>
      </c>
      <c r="W338" s="116">
        <f t="shared" ref="W338:W340" si="179">IF(ROUND(($W$27-J338)/30,0)&gt;(V338*12),(V338*12),(ROUND(($W$27-J338)/30,0)))-1</f>
        <v>48</v>
      </c>
      <c r="X338" s="116">
        <f t="shared" si="173"/>
        <v>72</v>
      </c>
      <c r="Y338" s="38">
        <f t="shared" si="174"/>
        <v>226315.78333333333</v>
      </c>
      <c r="Z338" s="38">
        <f t="shared" si="175"/>
        <v>10863157.6</v>
      </c>
      <c r="AA338" s="38">
        <f t="shared" si="176"/>
        <v>27157894</v>
      </c>
      <c r="AB338" s="38">
        <f t="shared" si="177"/>
        <v>10863158</v>
      </c>
      <c r="AC338" s="38">
        <f t="shared" si="178"/>
        <v>16294736</v>
      </c>
      <c r="AE338" s="23"/>
      <c r="AF338" s="23"/>
      <c r="AG338" s="73">
        <f>AB338-'P, Pl y Eq 2020'!AB294</f>
        <v>2715790</v>
      </c>
    </row>
    <row r="339" spans="1:34" s="73" customFormat="1">
      <c r="A339" s="72">
        <v>15400000</v>
      </c>
      <c r="B339" s="73" t="s">
        <v>23</v>
      </c>
      <c r="C339" s="74" t="s">
        <v>401</v>
      </c>
      <c r="D339" s="73">
        <v>1</v>
      </c>
      <c r="E339" s="36" t="s">
        <v>366</v>
      </c>
      <c r="F339" s="144"/>
      <c r="G339" s="144"/>
      <c r="H339" s="144"/>
      <c r="I339" s="170"/>
      <c r="J339" s="77">
        <v>43069</v>
      </c>
      <c r="K339" s="52" t="str">
        <f>IF(L339&gt;($M$23*50),"SI","NO")</f>
        <v>SI</v>
      </c>
      <c r="L339" s="113">
        <f t="shared" si="169"/>
        <v>111139802.3</v>
      </c>
      <c r="M339" s="73">
        <v>111139802.3</v>
      </c>
      <c r="N339" s="145">
        <v>111139802.3</v>
      </c>
      <c r="O339" s="113">
        <f t="shared" si="170"/>
        <v>111139802.3</v>
      </c>
      <c r="P339" s="72">
        <v>15923500</v>
      </c>
      <c r="Q339" s="73" t="s">
        <v>30</v>
      </c>
      <c r="R339" s="73">
        <v>12040145</v>
      </c>
      <c r="S339" s="73">
        <v>12040145</v>
      </c>
      <c r="T339" s="113">
        <f t="shared" si="171"/>
        <v>12040145</v>
      </c>
      <c r="U339" s="38">
        <f t="shared" si="172"/>
        <v>99099657.299999997</v>
      </c>
      <c r="V339" s="148">
        <v>10</v>
      </c>
      <c r="W339" s="116">
        <f t="shared" si="179"/>
        <v>49</v>
      </c>
      <c r="X339" s="116">
        <f t="shared" si="173"/>
        <v>71</v>
      </c>
      <c r="Y339" s="38">
        <f t="shared" si="174"/>
        <v>926165.01916666667</v>
      </c>
      <c r="Z339" s="38">
        <f t="shared" si="175"/>
        <v>45382085.939166665</v>
      </c>
      <c r="AA339" s="38">
        <f t="shared" si="176"/>
        <v>111139802</v>
      </c>
      <c r="AB339" s="38">
        <f t="shared" si="177"/>
        <v>45382086</v>
      </c>
      <c r="AC339" s="38">
        <f t="shared" si="178"/>
        <v>65757716</v>
      </c>
      <c r="AE339" s="23"/>
      <c r="AF339" s="23"/>
      <c r="AG339" s="73">
        <f>AB339-'P, Pl y Eq 2020'!AB295</f>
        <v>11113980</v>
      </c>
    </row>
    <row r="340" spans="1:34" s="73" customFormat="1">
      <c r="A340" s="72">
        <v>15400000</v>
      </c>
      <c r="B340" s="73" t="s">
        <v>23</v>
      </c>
      <c r="C340" s="74" t="s">
        <v>1003</v>
      </c>
      <c r="D340" s="73">
        <v>1</v>
      </c>
      <c r="E340" s="36" t="s">
        <v>366</v>
      </c>
      <c r="F340" s="144"/>
      <c r="G340" s="144"/>
      <c r="H340" s="144"/>
      <c r="I340" s="170"/>
      <c r="J340" s="77">
        <v>43069</v>
      </c>
      <c r="K340" s="52" t="str">
        <f>IF(L340&gt;($M$23*50),"SI","NO")</f>
        <v>SI</v>
      </c>
      <c r="L340" s="113">
        <f t="shared" si="169"/>
        <v>127437000</v>
      </c>
      <c r="M340" s="73">
        <v>127437000</v>
      </c>
      <c r="N340" s="145">
        <v>127437000</v>
      </c>
      <c r="O340" s="113">
        <f t="shared" si="170"/>
        <v>127437000</v>
      </c>
      <c r="P340" s="72">
        <v>15923500</v>
      </c>
      <c r="Q340" s="73" t="s">
        <v>30</v>
      </c>
      <c r="R340" s="73">
        <v>13805675</v>
      </c>
      <c r="S340" s="73">
        <v>13805675</v>
      </c>
      <c r="T340" s="113">
        <f t="shared" si="171"/>
        <v>13805675</v>
      </c>
      <c r="U340" s="38">
        <f t="shared" si="172"/>
        <v>113631325</v>
      </c>
      <c r="V340" s="148">
        <v>10</v>
      </c>
      <c r="W340" s="116">
        <f t="shared" si="179"/>
        <v>49</v>
      </c>
      <c r="X340" s="116">
        <f t="shared" si="173"/>
        <v>71</v>
      </c>
      <c r="Y340" s="38">
        <f t="shared" si="174"/>
        <v>1061975</v>
      </c>
      <c r="Z340" s="38">
        <f t="shared" si="175"/>
        <v>52036775</v>
      </c>
      <c r="AA340" s="38">
        <f t="shared" si="176"/>
        <v>127437000</v>
      </c>
      <c r="AB340" s="38">
        <f t="shared" si="177"/>
        <v>52036775</v>
      </c>
      <c r="AC340" s="38">
        <f t="shared" si="178"/>
        <v>75400225</v>
      </c>
      <c r="AE340" s="23"/>
      <c r="AF340" s="23"/>
      <c r="AG340" s="73">
        <f>AB340-'P, Pl y Eq 2020'!AB296</f>
        <v>12743700</v>
      </c>
    </row>
    <row r="341" spans="1:34" s="73" customFormat="1">
      <c r="A341" s="72">
        <v>15400000</v>
      </c>
      <c r="B341" s="73" t="s">
        <v>23</v>
      </c>
      <c r="C341" s="167" t="s">
        <v>1002</v>
      </c>
      <c r="D341" s="73">
        <v>1</v>
      </c>
      <c r="E341" s="36" t="s">
        <v>366</v>
      </c>
      <c r="F341" s="144"/>
      <c r="G341" s="144"/>
      <c r="H341" s="144"/>
      <c r="I341" s="170"/>
      <c r="J341" s="168">
        <v>43322</v>
      </c>
      <c r="K341" s="52" t="str">
        <f>IF(L341&gt;($M$23*50),"SI","NO")</f>
        <v>SI</v>
      </c>
      <c r="L341" s="113">
        <f t="shared" si="169"/>
        <v>105912737</v>
      </c>
      <c r="M341" s="73">
        <v>105912737</v>
      </c>
      <c r="N341" s="145">
        <v>105912737</v>
      </c>
      <c r="O341" s="113">
        <f t="shared" si="170"/>
        <v>105912737</v>
      </c>
      <c r="P341" s="72">
        <v>15923500</v>
      </c>
      <c r="Q341" s="73" t="s">
        <v>30</v>
      </c>
      <c r="R341" s="73">
        <v>5516288</v>
      </c>
      <c r="S341" s="73">
        <v>5516288</v>
      </c>
      <c r="T341" s="113">
        <f t="shared" si="171"/>
        <v>5516288</v>
      </c>
      <c r="U341" s="38">
        <f t="shared" si="172"/>
        <v>100396449</v>
      </c>
      <c r="V341" s="148">
        <v>8</v>
      </c>
      <c r="W341" s="116">
        <f>IF(ROUND(($W$27-J341)/30,0)&gt;(V341*12),(V341*12),(ROUND(($W$27-J341)/30,0)))</f>
        <v>41</v>
      </c>
      <c r="X341" s="116">
        <f t="shared" si="173"/>
        <v>55</v>
      </c>
      <c r="Y341" s="38">
        <f t="shared" si="174"/>
        <v>1103257.6770833333</v>
      </c>
      <c r="Z341" s="38">
        <f t="shared" si="175"/>
        <v>45233564.760416664</v>
      </c>
      <c r="AA341" s="38">
        <f t="shared" si="176"/>
        <v>105912737</v>
      </c>
      <c r="AB341" s="38">
        <f t="shared" si="177"/>
        <v>45233565</v>
      </c>
      <c r="AC341" s="38">
        <f t="shared" si="178"/>
        <v>60679172</v>
      </c>
      <c r="AE341" s="23"/>
      <c r="AF341" s="23"/>
      <c r="AG341" s="73">
        <f>AB341-'P, Pl y Eq 2020'!AB297</f>
        <v>13239092</v>
      </c>
    </row>
    <row r="342" spans="1:34" s="72" customFormat="1">
      <c r="A342" s="72">
        <v>15400000</v>
      </c>
      <c r="B342" s="73" t="s">
        <v>23</v>
      </c>
      <c r="C342" s="222" t="s">
        <v>1001</v>
      </c>
      <c r="D342" s="67">
        <v>1</v>
      </c>
      <c r="E342" s="36" t="s">
        <v>366</v>
      </c>
      <c r="F342" s="177"/>
      <c r="G342" s="177"/>
      <c r="H342" s="177"/>
      <c r="I342" s="222"/>
      <c r="J342" s="223">
        <v>44133</v>
      </c>
      <c r="K342" s="65" t="str">
        <f>IF(L342&gt;($M$26*50),"SI","NO")</f>
        <v>SI</v>
      </c>
      <c r="L342" s="139">
        <f t="shared" si="169"/>
        <v>125000000</v>
      </c>
      <c r="M342" s="67">
        <v>125000000</v>
      </c>
      <c r="N342" s="67">
        <v>125000000</v>
      </c>
      <c r="O342" s="139">
        <f t="shared" si="170"/>
        <v>125000000</v>
      </c>
      <c r="P342" s="72">
        <v>15923500</v>
      </c>
      <c r="Q342" s="73" t="s">
        <v>30</v>
      </c>
      <c r="R342" s="67">
        <v>0</v>
      </c>
      <c r="S342" s="67">
        <v>0</v>
      </c>
      <c r="T342" s="139">
        <f t="shared" si="171"/>
        <v>0</v>
      </c>
      <c r="U342" s="60">
        <f t="shared" si="172"/>
        <v>125000000</v>
      </c>
      <c r="V342" s="148">
        <v>15</v>
      </c>
      <c r="W342" s="116">
        <f t="shared" ref="W342" si="180">IF(ROUND(($W$27-J342)/30,0)&gt;(V342*12),(V342*12),(ROUND(($W$27-J342)/30,0)))</f>
        <v>14</v>
      </c>
      <c r="X342" s="116">
        <f t="shared" si="173"/>
        <v>166</v>
      </c>
      <c r="Y342" s="38">
        <f t="shared" si="174"/>
        <v>694444.4444444445</v>
      </c>
      <c r="Z342" s="38">
        <f t="shared" si="175"/>
        <v>9722222.2222222239</v>
      </c>
      <c r="AA342" s="38">
        <f t="shared" si="176"/>
        <v>125000000</v>
      </c>
      <c r="AB342" s="38">
        <f t="shared" si="177"/>
        <v>9722222</v>
      </c>
      <c r="AC342" s="38">
        <f t="shared" si="178"/>
        <v>115277778</v>
      </c>
      <c r="AE342" s="23"/>
      <c r="AF342" s="23"/>
      <c r="AG342" s="73">
        <f>AB342-'P, Pl y Eq 2020'!AB298</f>
        <v>8333333</v>
      </c>
    </row>
    <row r="343" spans="1:34">
      <c r="B343" s="34"/>
      <c r="C343" s="34"/>
      <c r="D343" s="57"/>
      <c r="E343" s="134"/>
      <c r="F343" s="57"/>
      <c r="G343" s="57"/>
      <c r="H343" s="57"/>
      <c r="J343" s="57"/>
    </row>
    <row r="344" spans="1:34">
      <c r="A344" s="23"/>
      <c r="B344" s="34"/>
      <c r="M344" s="40">
        <f>SUM(M30:M343)</f>
        <v>28637334392.159988</v>
      </c>
      <c r="N344" s="40">
        <f>SUM(N30:N343)</f>
        <v>28637334392.159988</v>
      </c>
      <c r="O344" s="40">
        <f>SUM(O30:O343)</f>
        <v>28637334392.159988</v>
      </c>
      <c r="R344" s="40">
        <f>SUM(R30:R343)</f>
        <v>1300036935</v>
      </c>
      <c r="S344" s="40">
        <f>SUM(S30:S343)</f>
        <v>1300036935</v>
      </c>
      <c r="T344" s="40">
        <f>SUM(T30:T343)</f>
        <v>1300036935</v>
      </c>
      <c r="U344" s="40">
        <f>SUM(U30:U343)</f>
        <v>27337297457.159988</v>
      </c>
      <c r="Y344" s="40">
        <f>SUM(Y30:Y343)</f>
        <v>105191011.07836747</v>
      </c>
      <c r="Z344" s="40">
        <f>SUM(Z30:Z343)</f>
        <v>4691739428.4600143</v>
      </c>
      <c r="AA344" s="40">
        <f>SUM(AA30:AA343)</f>
        <v>28637334405</v>
      </c>
      <c r="AB344" s="40">
        <f>SUM(AB30:AB343)</f>
        <v>4691739406</v>
      </c>
      <c r="AC344" s="40">
        <f>SUM(AC30:AC343)</f>
        <v>23945594999</v>
      </c>
      <c r="AG344" s="40">
        <f>SUM(AG30:AG343)</f>
        <v>1206171733</v>
      </c>
      <c r="AH344" s="40">
        <f>SUM(AH30:AH343)</f>
        <v>759611225.72000003</v>
      </c>
    </row>
    <row r="345" spans="1:34">
      <c r="A345" s="23"/>
      <c r="AA345" s="23">
        <f>SUM(C3:C14)-C4</f>
        <v>28637334392.150002</v>
      </c>
      <c r="AB345" s="23">
        <f>-SUM(C15:C22)</f>
        <v>4691739429.0900002</v>
      </c>
      <c r="AC345" s="23">
        <f>SUM(C3:C22)-C4</f>
        <v>23945594963.059998</v>
      </c>
    </row>
    <row r="346" spans="1:34">
      <c r="AA346" s="23">
        <f>AA344-AA345</f>
        <v>12.849998474121094</v>
      </c>
      <c r="AB346" s="23">
        <f>AB344-AB345</f>
        <v>-23.090000152587891</v>
      </c>
      <c r="AC346" s="23">
        <f>AC344-AC345</f>
        <v>35.94000244140625</v>
      </c>
    </row>
  </sheetData>
  <sortState xmlns:xlrd2="http://schemas.microsoft.com/office/spreadsheetml/2017/richdata2" ref="AN260:AN290">
    <sortCondition ref="AN260"/>
  </sortState>
  <mergeCells count="34">
    <mergeCell ref="AH28:AH29"/>
    <mergeCell ref="V28:V29"/>
    <mergeCell ref="W28:W29"/>
    <mergeCell ref="AE28:AE29"/>
    <mergeCell ref="AF28:AF29"/>
    <mergeCell ref="AG28:AG29"/>
    <mergeCell ref="Y28:Y29"/>
    <mergeCell ref="Z28:Z29"/>
    <mergeCell ref="AA28:AA29"/>
    <mergeCell ref="AB28:AB29"/>
    <mergeCell ref="AC28:AC29"/>
    <mergeCell ref="AD28:AD29"/>
    <mergeCell ref="X28:X29"/>
    <mergeCell ref="M28:M29"/>
    <mergeCell ref="N28:N29"/>
    <mergeCell ref="O28:O29"/>
    <mergeCell ref="P28:P29"/>
    <mergeCell ref="Q28:Q29"/>
    <mergeCell ref="S28:S29"/>
    <mergeCell ref="T28:T29"/>
    <mergeCell ref="U28:U29"/>
    <mergeCell ref="F28:F29"/>
    <mergeCell ref="A28:A29"/>
    <mergeCell ref="B28:B29"/>
    <mergeCell ref="C28:C29"/>
    <mergeCell ref="D28:D29"/>
    <mergeCell ref="E28:E29"/>
    <mergeCell ref="R28:R29"/>
    <mergeCell ref="G28:G29"/>
    <mergeCell ref="H28:H29"/>
    <mergeCell ref="I28:I29"/>
    <mergeCell ref="J28:J29"/>
    <mergeCell ref="K28:K29"/>
    <mergeCell ref="L28:L29"/>
  </mergeCells>
  <conditionalFormatting sqref="U40 AA40:AC40 U291 AA291:AC291 AA245:AC286 U244:U286">
    <cfRule type="cellIs" dxfId="135" priority="127" operator="greaterThan">
      <formula>0</formula>
    </cfRule>
  </conditionalFormatting>
  <conditionalFormatting sqref="U296 AA296:AC296">
    <cfRule type="cellIs" dxfId="134" priority="117" operator="greaterThan">
      <formula>0</formula>
    </cfRule>
  </conditionalFormatting>
  <conditionalFormatting sqref="AA292:AC294 U298:U302 AA298:AC302 U36:U41 AA36:AC41 AA334:AC340 U334:U340">
    <cfRule type="cellIs" dxfId="133" priority="126" operator="greaterThan">
      <formula>0</formula>
    </cfRule>
  </conditionalFormatting>
  <conditionalFormatting sqref="AA46:AC93 U46:U93 U95:U96 AA95:AC96 U292:U295">
    <cfRule type="cellIs" dxfId="132" priority="125" operator="greaterThan">
      <formula>0</formula>
    </cfRule>
  </conditionalFormatting>
  <conditionalFormatting sqref="AA31:AC31 U31">
    <cfRule type="cellIs" dxfId="131" priority="123" operator="greaterThan">
      <formula>0</formula>
    </cfRule>
  </conditionalFormatting>
  <conditionalFormatting sqref="AA35:AC35 U35">
    <cfRule type="cellIs" dxfId="130" priority="121" operator="greaterThan">
      <formula>0</formula>
    </cfRule>
  </conditionalFormatting>
  <conditionalFormatting sqref="U34:U41 AA34:AC41">
    <cfRule type="cellIs" dxfId="129" priority="120" operator="greaterThan">
      <formula>0</formula>
    </cfRule>
  </conditionalFormatting>
  <conditionalFormatting sqref="U44:U45 AA44:AC45">
    <cfRule type="cellIs" dxfId="128" priority="119" operator="greaterThan">
      <formula>0</formula>
    </cfRule>
  </conditionalFormatting>
  <conditionalFormatting sqref="AA40:AC40">
    <cfRule type="cellIs" dxfId="127" priority="118" operator="greaterThan">
      <formula>0</formula>
    </cfRule>
  </conditionalFormatting>
  <conditionalFormatting sqref="AA98 U98 AC98">
    <cfRule type="cellIs" dxfId="126" priority="114" operator="greaterThan">
      <formula>0</formula>
    </cfRule>
  </conditionalFormatting>
  <conditionalFormatting sqref="AA97:AC97 U97">
    <cfRule type="cellIs" dxfId="125" priority="115" operator="greaterThan">
      <formula>0</formula>
    </cfRule>
  </conditionalFormatting>
  <conditionalFormatting sqref="AB98">
    <cfRule type="cellIs" dxfId="124" priority="113" operator="greaterThan">
      <formula>0</formula>
    </cfRule>
  </conditionalFormatting>
  <conditionalFormatting sqref="U303 AA303:AC303">
    <cfRule type="cellIs" dxfId="123" priority="112" operator="greaterThan">
      <formula>0</formula>
    </cfRule>
  </conditionalFormatting>
  <conditionalFormatting sqref="U304 AA304:AC304">
    <cfRule type="cellIs" dxfId="122" priority="111" operator="greaterThan">
      <formula>0</formula>
    </cfRule>
  </conditionalFormatting>
  <conditionalFormatting sqref="U99 AA99:AA241 AC99:AC241">
    <cfRule type="cellIs" dxfId="121" priority="110" operator="greaterThan">
      <formula>0</formula>
    </cfRule>
  </conditionalFormatting>
  <conditionalFormatting sqref="AB99:AB241">
    <cfRule type="cellIs" dxfId="120" priority="109" operator="greaterThan">
      <formula>0</formula>
    </cfRule>
  </conditionalFormatting>
  <conditionalFormatting sqref="U305 AA305:AC316">
    <cfRule type="cellIs" dxfId="119" priority="108" operator="greaterThan">
      <formula>0</formula>
    </cfRule>
  </conditionalFormatting>
  <conditionalFormatting sqref="AA297:AC297">
    <cfRule type="cellIs" dxfId="118" priority="107" operator="greaterThan">
      <formula>0</formula>
    </cfRule>
  </conditionalFormatting>
  <conditionalFormatting sqref="U297">
    <cfRule type="cellIs" dxfId="117" priority="106" operator="greaterThan">
      <formula>0</formula>
    </cfRule>
  </conditionalFormatting>
  <conditionalFormatting sqref="U41 AA41:AC41">
    <cfRule type="cellIs" dxfId="116" priority="105" operator="greaterThan">
      <formula>0</formula>
    </cfRule>
  </conditionalFormatting>
  <conditionalFormatting sqref="U30 AA30:AC30">
    <cfRule type="cellIs" dxfId="115" priority="104" operator="greaterThan">
      <formula>0</formula>
    </cfRule>
  </conditionalFormatting>
  <conditionalFormatting sqref="U212:U240 AA212:AC241">
    <cfRule type="cellIs" dxfId="114" priority="103" operator="greaterThan">
      <formula>0</formula>
    </cfRule>
  </conditionalFormatting>
  <conditionalFormatting sqref="AA94:AC94">
    <cfRule type="cellIs" dxfId="113" priority="94" operator="greaterThan">
      <formula>0</formula>
    </cfRule>
  </conditionalFormatting>
  <conditionalFormatting sqref="U118:U211 AA118:AC211">
    <cfRule type="cellIs" dxfId="112" priority="102" operator="greaterThan">
      <formula>0</formula>
    </cfRule>
  </conditionalFormatting>
  <conditionalFormatting sqref="AA101:AC116 U101:U116">
    <cfRule type="cellIs" dxfId="111" priority="101" operator="greaterThan">
      <formula>0</formula>
    </cfRule>
  </conditionalFormatting>
  <conditionalFormatting sqref="AA100:AA116 U100:U116 AC100:AC116">
    <cfRule type="cellIs" dxfId="110" priority="100" operator="greaterThan">
      <formula>0</formula>
    </cfRule>
  </conditionalFormatting>
  <conditionalFormatting sqref="AB100:AB116">
    <cfRule type="cellIs" dxfId="109" priority="99" operator="greaterThan">
      <formula>0</formula>
    </cfRule>
  </conditionalFormatting>
  <conditionalFormatting sqref="AA117:AC192 U117:U192">
    <cfRule type="cellIs" dxfId="108" priority="98" operator="greaterThan">
      <formula>0</formula>
    </cfRule>
  </conditionalFormatting>
  <conditionalFormatting sqref="AA117:AA192 U117:U192 AC117:AC192">
    <cfRule type="cellIs" dxfId="107" priority="97" operator="greaterThan">
      <formula>0</formula>
    </cfRule>
  </conditionalFormatting>
  <conditionalFormatting sqref="AB117:AB192">
    <cfRule type="cellIs" dxfId="106" priority="96" operator="greaterThan">
      <formula>0</formula>
    </cfRule>
  </conditionalFormatting>
  <conditionalFormatting sqref="U94">
    <cfRule type="cellIs" dxfId="105" priority="95" operator="greaterThan">
      <formula>0</formula>
    </cfRule>
  </conditionalFormatting>
  <conditionalFormatting sqref="AB306:AB307">
    <cfRule type="cellIs" dxfId="104" priority="91" operator="greaterThan">
      <formula>0</formula>
    </cfRule>
  </conditionalFormatting>
  <conditionalFormatting sqref="AA306:AC307 U306:U307">
    <cfRule type="cellIs" dxfId="103" priority="93" operator="greaterThan">
      <formula>0</formula>
    </cfRule>
  </conditionalFormatting>
  <conditionalFormatting sqref="AA306:AA307 U306:U307 AC306:AC307">
    <cfRule type="cellIs" dxfId="102" priority="92" operator="greaterThan">
      <formula>0</formula>
    </cfRule>
  </conditionalFormatting>
  <conditionalFormatting sqref="AB308:AB309">
    <cfRule type="cellIs" dxfId="101" priority="88" operator="greaterThan">
      <formula>0</formula>
    </cfRule>
  </conditionalFormatting>
  <conditionalFormatting sqref="AA308:AC309 U308:U309">
    <cfRule type="cellIs" dxfId="100" priority="90" operator="greaterThan">
      <formula>0</formula>
    </cfRule>
  </conditionalFormatting>
  <conditionalFormatting sqref="AA308:AA309 U308:U309 AC308:AC309">
    <cfRule type="cellIs" dxfId="99" priority="89" operator="greaterThan">
      <formula>0</formula>
    </cfRule>
  </conditionalFormatting>
  <conditionalFormatting sqref="AB310">
    <cfRule type="cellIs" dxfId="98" priority="85" operator="greaterThan">
      <formula>0</formula>
    </cfRule>
  </conditionalFormatting>
  <conditionalFormatting sqref="AA310:AC310 U310">
    <cfRule type="cellIs" dxfId="97" priority="87" operator="greaterThan">
      <formula>0</formula>
    </cfRule>
  </conditionalFormatting>
  <conditionalFormatting sqref="AA310 U310 AC310">
    <cfRule type="cellIs" dxfId="96" priority="86" operator="greaterThan">
      <formula>0</formula>
    </cfRule>
  </conditionalFormatting>
  <conditionalFormatting sqref="AB311">
    <cfRule type="cellIs" dxfId="95" priority="82" operator="greaterThan">
      <formula>0</formula>
    </cfRule>
  </conditionalFormatting>
  <conditionalFormatting sqref="AA311:AC311 U311">
    <cfRule type="cellIs" dxfId="94" priority="84" operator="greaterThan">
      <formula>0</formula>
    </cfRule>
  </conditionalFormatting>
  <conditionalFormatting sqref="AA311 U311 AC311">
    <cfRule type="cellIs" dxfId="93" priority="83" operator="greaterThan">
      <formula>0</formula>
    </cfRule>
  </conditionalFormatting>
  <conditionalFormatting sqref="AB312">
    <cfRule type="cellIs" dxfId="92" priority="79" operator="greaterThan">
      <formula>0</formula>
    </cfRule>
  </conditionalFormatting>
  <conditionalFormatting sqref="AA312:AC312 U312">
    <cfRule type="cellIs" dxfId="91" priority="81" operator="greaterThan">
      <formula>0</formula>
    </cfRule>
  </conditionalFormatting>
  <conditionalFormatting sqref="AA312 U312 AC312">
    <cfRule type="cellIs" dxfId="90" priority="80" operator="greaterThan">
      <formula>0</formula>
    </cfRule>
  </conditionalFormatting>
  <conditionalFormatting sqref="AB313:AB316">
    <cfRule type="cellIs" dxfId="89" priority="76" operator="greaterThan">
      <formula>0</formula>
    </cfRule>
  </conditionalFormatting>
  <conditionalFormatting sqref="AA313:AC316 U313:U316">
    <cfRule type="cellIs" dxfId="88" priority="78" operator="greaterThan">
      <formula>0</formula>
    </cfRule>
  </conditionalFormatting>
  <conditionalFormatting sqref="AA313:AA316 U313:U316 AC313:AC316">
    <cfRule type="cellIs" dxfId="87" priority="77" operator="greaterThan">
      <formula>0</formula>
    </cfRule>
  </conditionalFormatting>
  <conditionalFormatting sqref="AA317:AA322 AC317:AC322">
    <cfRule type="cellIs" dxfId="86" priority="70" operator="greaterThan">
      <formula>0</formula>
    </cfRule>
  </conditionalFormatting>
  <conditionalFormatting sqref="U317:U322">
    <cfRule type="cellIs" dxfId="85" priority="66" operator="greaterThan">
      <formula>0</formula>
    </cfRule>
  </conditionalFormatting>
  <conditionalFormatting sqref="U317:U322">
    <cfRule type="cellIs" dxfId="84" priority="65" operator="greaterThan">
      <formula>0</formula>
    </cfRule>
  </conditionalFormatting>
  <conditionalFormatting sqref="U212:U241">
    <cfRule type="cellIs" dxfId="83" priority="63" operator="greaterThan">
      <formula>0</formula>
    </cfRule>
  </conditionalFormatting>
  <conditionalFormatting sqref="U341">
    <cfRule type="cellIs" dxfId="82" priority="62" operator="greaterThan">
      <formula>0</formula>
    </cfRule>
  </conditionalFormatting>
  <conditionalFormatting sqref="AA341:AC341">
    <cfRule type="cellIs" dxfId="81" priority="61" operator="greaterThan">
      <formula>0</formula>
    </cfRule>
  </conditionalFormatting>
  <conditionalFormatting sqref="AA295 AC295">
    <cfRule type="cellIs" dxfId="80" priority="74" operator="greaterThan">
      <formula>0</formula>
    </cfRule>
  </conditionalFormatting>
  <conditionalFormatting sqref="AB295">
    <cfRule type="cellIs" dxfId="79" priority="73" operator="greaterThan">
      <formula>0</formula>
    </cfRule>
  </conditionalFormatting>
  <conditionalFormatting sqref="AA295:AC295">
    <cfRule type="cellIs" dxfId="78" priority="72" operator="greaterThan">
      <formula>0</formula>
    </cfRule>
  </conditionalFormatting>
  <conditionalFormatting sqref="AB317:AB322">
    <cfRule type="cellIs" dxfId="77" priority="69" operator="greaterThan">
      <formula>0</formula>
    </cfRule>
  </conditionalFormatting>
  <conditionalFormatting sqref="AA317:AC322">
    <cfRule type="cellIs" dxfId="76" priority="68" operator="greaterThan">
      <formula>0</formula>
    </cfRule>
  </conditionalFormatting>
  <conditionalFormatting sqref="U295">
    <cfRule type="cellIs" dxfId="75" priority="75" operator="greaterThan">
      <formula>0</formula>
    </cfRule>
  </conditionalFormatting>
  <conditionalFormatting sqref="U242">
    <cfRule type="cellIs" dxfId="74" priority="51" operator="greaterThan">
      <formula>0</formula>
    </cfRule>
  </conditionalFormatting>
  <conditionalFormatting sqref="U212:U241">
    <cfRule type="cellIs" dxfId="73" priority="64" operator="greaterThan">
      <formula>0</formula>
    </cfRule>
  </conditionalFormatting>
  <conditionalFormatting sqref="U318:U322">
    <cfRule type="cellIs" dxfId="72" priority="71" operator="greaterThan">
      <formula>0</formula>
    </cfRule>
  </conditionalFormatting>
  <conditionalFormatting sqref="U333 AA333:AC333">
    <cfRule type="cellIs" dxfId="71" priority="67" operator="greaterThan">
      <formula>0</formula>
    </cfRule>
  </conditionalFormatting>
  <conditionalFormatting sqref="AA342 AC342">
    <cfRule type="cellIs" dxfId="70" priority="59" operator="greaterThan">
      <formula>0</formula>
    </cfRule>
  </conditionalFormatting>
  <conditionalFormatting sqref="AB342">
    <cfRule type="cellIs" dxfId="69" priority="58" operator="greaterThan">
      <formula>0</formula>
    </cfRule>
  </conditionalFormatting>
  <conditionalFormatting sqref="AA342:AC342">
    <cfRule type="cellIs" dxfId="68" priority="57" operator="greaterThan">
      <formula>0</formula>
    </cfRule>
  </conditionalFormatting>
  <conditionalFormatting sqref="U342">
    <cfRule type="cellIs" dxfId="67" priority="60" operator="greaterThan">
      <formula>0</formula>
    </cfRule>
  </conditionalFormatting>
  <conditionalFormatting sqref="U342">
    <cfRule type="cellIs" dxfId="66" priority="56" operator="greaterThan">
      <formula>0</formula>
    </cfRule>
  </conditionalFormatting>
  <conditionalFormatting sqref="U342">
    <cfRule type="cellIs" dxfId="65" priority="55" operator="greaterThan">
      <formula>0</formula>
    </cfRule>
  </conditionalFormatting>
  <conditionalFormatting sqref="AA242 AC242">
    <cfRule type="cellIs" dxfId="64" priority="54" operator="greaterThan">
      <formula>0</formula>
    </cfRule>
  </conditionalFormatting>
  <conditionalFormatting sqref="AB242">
    <cfRule type="cellIs" dxfId="63" priority="53" operator="greaterThan">
      <formula>0</formula>
    </cfRule>
  </conditionalFormatting>
  <conditionalFormatting sqref="AA242:AC242">
    <cfRule type="cellIs" dxfId="62" priority="52" operator="greaterThan">
      <formula>0</formula>
    </cfRule>
  </conditionalFormatting>
  <conditionalFormatting sqref="U242">
    <cfRule type="cellIs" dxfId="61" priority="50" operator="greaterThan">
      <formula>0</formula>
    </cfRule>
  </conditionalFormatting>
  <conditionalFormatting sqref="AA243 AC243">
    <cfRule type="cellIs" dxfId="60" priority="49" operator="greaterThan">
      <formula>0</formula>
    </cfRule>
  </conditionalFormatting>
  <conditionalFormatting sqref="AB243">
    <cfRule type="cellIs" dxfId="59" priority="48" operator="greaterThan">
      <formula>0</formula>
    </cfRule>
  </conditionalFormatting>
  <conditionalFormatting sqref="AA243:AC243">
    <cfRule type="cellIs" dxfId="58" priority="47" operator="greaterThan">
      <formula>0</formula>
    </cfRule>
  </conditionalFormatting>
  <conditionalFormatting sqref="U243">
    <cfRule type="cellIs" dxfId="57" priority="46" operator="greaterThan">
      <formula>0</formula>
    </cfRule>
  </conditionalFormatting>
  <conditionalFormatting sqref="U243">
    <cfRule type="cellIs" dxfId="56" priority="45" operator="greaterThan">
      <formula>0</formula>
    </cfRule>
  </conditionalFormatting>
  <conditionalFormatting sqref="AA244:AA259 AC244:AC259">
    <cfRule type="cellIs" dxfId="55" priority="44" operator="greaterThan">
      <formula>0</formula>
    </cfRule>
  </conditionalFormatting>
  <conditionalFormatting sqref="AB244:AB259">
    <cfRule type="cellIs" dxfId="54" priority="43" operator="greaterThan">
      <formula>0</formula>
    </cfRule>
  </conditionalFormatting>
  <conditionalFormatting sqref="AA244:AC259">
    <cfRule type="cellIs" dxfId="53" priority="42" operator="greaterThan">
      <formula>0</formula>
    </cfRule>
  </conditionalFormatting>
  <conditionalFormatting sqref="U32 AA32:AC32">
    <cfRule type="cellIs" dxfId="52" priority="39" operator="greaterThan">
      <formula>0</formula>
    </cfRule>
  </conditionalFormatting>
  <conditionalFormatting sqref="AA33:AC33 U33">
    <cfRule type="cellIs" dxfId="51" priority="38" operator="greaterThan">
      <formula>0</formula>
    </cfRule>
  </conditionalFormatting>
  <conditionalFormatting sqref="U42:U43">
    <cfRule type="cellIs" dxfId="50" priority="37" operator="greaterThan">
      <formula>0</formula>
    </cfRule>
  </conditionalFormatting>
  <conditionalFormatting sqref="U42:U43">
    <cfRule type="cellIs" dxfId="49" priority="36" operator="greaterThan">
      <formula>0</formula>
    </cfRule>
  </conditionalFormatting>
  <conditionalFormatting sqref="AA42:AC43">
    <cfRule type="cellIs" dxfId="48" priority="35" operator="greaterThan">
      <formula>0</formula>
    </cfRule>
  </conditionalFormatting>
  <conditionalFormatting sqref="AA42:AC43">
    <cfRule type="cellIs" dxfId="47" priority="34" operator="greaterThan">
      <formula>0</formula>
    </cfRule>
  </conditionalFormatting>
  <conditionalFormatting sqref="U287:U290">
    <cfRule type="cellIs" dxfId="46" priority="27" operator="greaterThan">
      <formula>0</formula>
    </cfRule>
  </conditionalFormatting>
  <conditionalFormatting sqref="U287:U290">
    <cfRule type="cellIs" dxfId="45" priority="26" operator="greaterThan">
      <formula>0</formula>
    </cfRule>
  </conditionalFormatting>
  <conditionalFormatting sqref="U287:U290">
    <cfRule type="cellIs" dxfId="44" priority="25" operator="greaterThan">
      <formula>0</formula>
    </cfRule>
  </conditionalFormatting>
  <conditionalFormatting sqref="U287:U290 AA287:AC290">
    <cfRule type="cellIs" dxfId="43" priority="24" operator="greaterThan">
      <formula>0</formula>
    </cfRule>
  </conditionalFormatting>
  <conditionalFormatting sqref="AA287:AA290 AC287:AC290">
    <cfRule type="cellIs" dxfId="42" priority="23" operator="greaterThan">
      <formula>0</formula>
    </cfRule>
  </conditionalFormatting>
  <conditionalFormatting sqref="AB287:AB290">
    <cfRule type="cellIs" dxfId="41" priority="22" operator="greaterThan">
      <formula>0</formula>
    </cfRule>
  </conditionalFormatting>
  <conditionalFormatting sqref="AA287:AC290">
    <cfRule type="cellIs" dxfId="40" priority="21" operator="greaterThan">
      <formula>0</formula>
    </cfRule>
  </conditionalFormatting>
  <conditionalFormatting sqref="U287:U290">
    <cfRule type="cellIs" dxfId="39" priority="20" operator="greaterThan">
      <formula>0</formula>
    </cfRule>
  </conditionalFormatting>
  <conditionalFormatting sqref="U287:U290">
    <cfRule type="cellIs" dxfId="38" priority="19" operator="greaterThan">
      <formula>0</formula>
    </cfRule>
  </conditionalFormatting>
  <conditionalFormatting sqref="U323">
    <cfRule type="cellIs" dxfId="37" priority="18" operator="greaterThan">
      <formula>0</formula>
    </cfRule>
  </conditionalFormatting>
  <conditionalFormatting sqref="U323">
    <cfRule type="cellIs" dxfId="36" priority="17" operator="greaterThan">
      <formula>0</formula>
    </cfRule>
  </conditionalFormatting>
  <conditionalFormatting sqref="U323">
    <cfRule type="cellIs" dxfId="35" priority="16" operator="greaterThan">
      <formula>0</formula>
    </cfRule>
  </conditionalFormatting>
  <conditionalFormatting sqref="U323 AA323:AC323">
    <cfRule type="cellIs" dxfId="34" priority="15" operator="greaterThan">
      <formula>0</formula>
    </cfRule>
  </conditionalFormatting>
  <conditionalFormatting sqref="AA323 AC323">
    <cfRule type="cellIs" dxfId="33" priority="14" operator="greaterThan">
      <formula>0</formula>
    </cfRule>
  </conditionalFormatting>
  <conditionalFormatting sqref="AB323">
    <cfRule type="cellIs" dxfId="32" priority="13" operator="greaterThan">
      <formula>0</formula>
    </cfRule>
  </conditionalFormatting>
  <conditionalFormatting sqref="AA323:AC323">
    <cfRule type="cellIs" dxfId="31" priority="12" operator="greaterThan">
      <formula>0</formula>
    </cfRule>
  </conditionalFormatting>
  <conditionalFormatting sqref="U323">
    <cfRule type="cellIs" dxfId="30" priority="11" operator="greaterThan">
      <formula>0</formula>
    </cfRule>
  </conditionalFormatting>
  <conditionalFormatting sqref="U323">
    <cfRule type="cellIs" dxfId="29" priority="10" operator="greaterThan">
      <formula>0</formula>
    </cfRule>
  </conditionalFormatting>
  <conditionalFormatting sqref="U324:U332">
    <cfRule type="cellIs" dxfId="28" priority="9" operator="greaterThan">
      <formula>0</formula>
    </cfRule>
  </conditionalFormatting>
  <conditionalFormatting sqref="U324:U332">
    <cfRule type="cellIs" dxfId="27" priority="8" operator="greaterThan">
      <formula>0</formula>
    </cfRule>
  </conditionalFormatting>
  <conditionalFormatting sqref="U324:U332">
    <cfRule type="cellIs" dxfId="26" priority="7" operator="greaterThan">
      <formula>0</formula>
    </cfRule>
  </conditionalFormatting>
  <conditionalFormatting sqref="U324:U332 AA324:AC332">
    <cfRule type="cellIs" dxfId="25" priority="6" operator="greaterThan">
      <formula>0</formula>
    </cfRule>
  </conditionalFormatting>
  <conditionalFormatting sqref="AA324:AA332 AC324:AC332">
    <cfRule type="cellIs" dxfId="24" priority="5" operator="greaterThan">
      <formula>0</formula>
    </cfRule>
  </conditionalFormatting>
  <conditionalFormatting sqref="AB324:AB332">
    <cfRule type="cellIs" dxfId="23" priority="4" operator="greaterThan">
      <formula>0</formula>
    </cfRule>
  </conditionalFormatting>
  <conditionalFormatting sqref="AA324:AC332">
    <cfRule type="cellIs" dxfId="22" priority="3" operator="greaterThan">
      <formula>0</formula>
    </cfRule>
  </conditionalFormatting>
  <conditionalFormatting sqref="U324:U332">
    <cfRule type="cellIs" dxfId="21" priority="2" operator="greaterThan">
      <formula>0</formula>
    </cfRule>
  </conditionalFormatting>
  <conditionalFormatting sqref="U324:U332">
    <cfRule type="cellIs" dxfId="20" priority="1" operator="greaterThan">
      <formula>0</formula>
    </cfRule>
  </conditionalFormatting>
  <dataValidations count="3">
    <dataValidation type="list" allowBlank="1" showInputMessage="1" showErrorMessage="1" sqref="E30 E334:E343 E95:E99 E297:E305 E292:E295 E34:E93" xr:uid="{1112FC6E-7FDA-9B4D-902D-FFC3D675835C}">
      <formula1>#REF!</formula1>
    </dataValidation>
    <dataValidation type="list" allowBlank="1" showInputMessage="1" showErrorMessage="1" sqref="E32" xr:uid="{663E5D32-BFDC-124C-8099-A00F483D10C5}">
      <formula1>#REF!</formula1>
    </dataValidation>
    <dataValidation type="list" allowBlank="1" showInputMessage="1" showErrorMessage="1" sqref="E94 E100:E285 E306:E332 E287:E290" xr:uid="{142401C4-EE30-694B-AB06-78A23CDDD324}">
      <formula1>$XFC$1:$XFD$9</formula1>
    </dataValidation>
  </dataValidation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D1979-98F1-FF40-A973-678A72461C99}">
  <dimension ref="A1:U97"/>
  <sheetViews>
    <sheetView workbookViewId="0"/>
  </sheetViews>
  <sheetFormatPr baseColWidth="10" defaultColWidth="10.875" defaultRowHeight="15.75"/>
  <cols>
    <col min="1" max="2" width="10.875" style="1"/>
    <col min="3" max="6" width="13.625" style="1" customWidth="1"/>
    <col min="7" max="7" width="3.875" style="1" customWidth="1"/>
    <col min="8" max="10" width="13.625" style="1" customWidth="1"/>
    <col min="11" max="18" width="10.875" style="1"/>
    <col min="19" max="19" width="3.375" style="1" customWidth="1"/>
    <col min="20" max="20" width="10.125" style="1" bestFit="1" customWidth="1"/>
    <col min="21" max="21" width="11.5" style="1" bestFit="1" customWidth="1"/>
    <col min="22" max="16384" width="10.875" style="1"/>
  </cols>
  <sheetData>
    <row r="1" spans="1:21">
      <c r="A1" s="227" t="s">
        <v>1004</v>
      </c>
      <c r="B1" s="227"/>
    </row>
    <row r="3" spans="1:21">
      <c r="C3" s="507" t="s">
        <v>422</v>
      </c>
      <c r="D3" s="508"/>
      <c r="E3" s="508"/>
      <c r="F3" s="509"/>
      <c r="H3" s="507" t="s">
        <v>423</v>
      </c>
      <c r="I3" s="508"/>
      <c r="J3" s="509"/>
    </row>
    <row r="4" spans="1:21">
      <c r="C4" s="228"/>
      <c r="D4" s="229"/>
      <c r="E4" s="230" t="s">
        <v>424</v>
      </c>
      <c r="F4" s="231"/>
      <c r="H4" s="232"/>
      <c r="I4" s="230" t="s">
        <v>425</v>
      </c>
      <c r="J4" s="231"/>
    </row>
    <row r="5" spans="1:21">
      <c r="C5" s="232"/>
      <c r="D5" s="230" t="s">
        <v>426</v>
      </c>
      <c r="E5" s="230" t="s">
        <v>427</v>
      </c>
      <c r="F5" s="231"/>
      <c r="H5" s="232"/>
      <c r="I5" s="230" t="s">
        <v>428</v>
      </c>
      <c r="J5" s="231"/>
      <c r="L5" s="510" t="s">
        <v>429</v>
      </c>
      <c r="M5" s="511"/>
      <c r="N5" s="511"/>
      <c r="O5" s="512"/>
    </row>
    <row r="6" spans="1:21">
      <c r="A6" s="233" t="s">
        <v>430</v>
      </c>
      <c r="B6" s="233" t="s">
        <v>431</v>
      </c>
      <c r="C6" s="234" t="s">
        <v>432</v>
      </c>
      <c r="D6" s="230" t="s">
        <v>433</v>
      </c>
      <c r="E6" s="235">
        <v>0.10979</v>
      </c>
      <c r="F6" s="236" t="s">
        <v>434</v>
      </c>
      <c r="H6" s="234" t="s">
        <v>432</v>
      </c>
      <c r="I6" s="230">
        <v>60</v>
      </c>
      <c r="J6" s="236" t="s">
        <v>434</v>
      </c>
      <c r="L6" s="237" t="s">
        <v>201</v>
      </c>
      <c r="M6" s="238" t="s">
        <v>435</v>
      </c>
      <c r="N6" s="238" t="s">
        <v>201</v>
      </c>
      <c r="O6" s="239" t="s">
        <v>436</v>
      </c>
      <c r="Q6" s="227" t="s">
        <v>450</v>
      </c>
      <c r="R6" s="227" t="s">
        <v>261</v>
      </c>
      <c r="T6" s="233" t="s">
        <v>537</v>
      </c>
      <c r="U6" s="233" t="s">
        <v>538</v>
      </c>
    </row>
    <row r="7" spans="1:21">
      <c r="A7" s="240">
        <v>1</v>
      </c>
      <c r="B7" s="241">
        <v>42460</v>
      </c>
      <c r="C7" s="232">
        <v>32428183.116260301</v>
      </c>
      <c r="D7" s="229">
        <v>0</v>
      </c>
      <c r="E7" s="229">
        <f>(C7-D7)*$E$6</f>
        <v>3560290.2243342185</v>
      </c>
      <c r="F7" s="231">
        <f>C7-D7+E7</f>
        <v>35988473.340594523</v>
      </c>
      <c r="H7" s="232">
        <v>36228183.116260305</v>
      </c>
      <c r="I7" s="229">
        <f>H7/I6</f>
        <v>603803.05193767173</v>
      </c>
      <c r="J7" s="231">
        <f>H7-I7</f>
        <v>35624380.064322636</v>
      </c>
      <c r="L7" s="242"/>
      <c r="M7" s="243"/>
      <c r="N7" s="243"/>
      <c r="O7" s="244"/>
    </row>
    <row r="8" spans="1:21">
      <c r="A8" s="240">
        <v>2</v>
      </c>
      <c r="B8" s="241">
        <v>42490</v>
      </c>
      <c r="C8" s="232">
        <f>F7</f>
        <v>35988473.340594523</v>
      </c>
      <c r="D8" s="229">
        <v>3420000</v>
      </c>
      <c r="E8" s="229">
        <f>(C8-D8)*$E$6</f>
        <v>3575692.6880638725</v>
      </c>
      <c r="F8" s="231">
        <f>C8-D8+E8</f>
        <v>36144166.028658397</v>
      </c>
      <c r="H8" s="232">
        <f>J7</f>
        <v>35624380.064322636</v>
      </c>
      <c r="I8" s="229">
        <f>I7</f>
        <v>603803.05193767173</v>
      </c>
      <c r="J8" s="231">
        <f>H8-I8</f>
        <v>35020577.012384966</v>
      </c>
      <c r="L8" s="245"/>
      <c r="M8" s="229"/>
      <c r="N8" s="229"/>
      <c r="O8" s="231"/>
    </row>
    <row r="9" spans="1:21">
      <c r="A9" s="240">
        <v>3</v>
      </c>
      <c r="B9" s="241">
        <v>42521</v>
      </c>
      <c r="C9" s="232">
        <f t="shared" ref="C9:C66" si="0">F8</f>
        <v>36144166.028658397</v>
      </c>
      <c r="D9" s="229">
        <v>3420000</v>
      </c>
      <c r="E9" s="229">
        <f>(C9-D9)*$E$6</f>
        <v>3592786.1882864055</v>
      </c>
      <c r="F9" s="231">
        <f t="shared" ref="F9:F66" si="1">C9-D9+E9</f>
        <v>36316952.216944806</v>
      </c>
      <c r="H9" s="232">
        <f t="shared" ref="H9:H66" si="2">J8</f>
        <v>35020577.012384966</v>
      </c>
      <c r="I9" s="229">
        <f t="shared" ref="I9:I66" si="3">I8</f>
        <v>603803.05193767173</v>
      </c>
      <c r="J9" s="231">
        <f t="shared" ref="J9:J66" si="4">H9-I9</f>
        <v>34416773.960447297</v>
      </c>
      <c r="L9" s="245"/>
      <c r="M9" s="229"/>
      <c r="N9" s="229"/>
      <c r="O9" s="231"/>
    </row>
    <row r="10" spans="1:21">
      <c r="A10" s="240">
        <v>4</v>
      </c>
      <c r="B10" s="241">
        <v>42551</v>
      </c>
      <c r="C10" s="232">
        <f t="shared" si="0"/>
        <v>36316952.216944806</v>
      </c>
      <c r="D10" s="229">
        <v>3420000</v>
      </c>
      <c r="E10" s="229">
        <f>(C10-D10)*$E$6</f>
        <v>3611756.3838983704</v>
      </c>
      <c r="F10" s="231">
        <f t="shared" si="1"/>
        <v>36508708.600843176</v>
      </c>
      <c r="H10" s="232">
        <f t="shared" si="2"/>
        <v>34416773.960447297</v>
      </c>
      <c r="I10" s="229">
        <f t="shared" si="3"/>
        <v>603803.05193767173</v>
      </c>
      <c r="J10" s="231">
        <f t="shared" si="4"/>
        <v>33812970.908509627</v>
      </c>
      <c r="L10" s="245"/>
      <c r="M10" s="229"/>
      <c r="N10" s="229"/>
      <c r="O10" s="231"/>
    </row>
    <row r="11" spans="1:21">
      <c r="A11" s="240">
        <v>5</v>
      </c>
      <c r="B11" s="241">
        <v>42582</v>
      </c>
      <c r="C11" s="232">
        <f t="shared" si="0"/>
        <v>36508708.600843176</v>
      </c>
      <c r="D11" s="229">
        <v>3420000</v>
      </c>
      <c r="E11" s="229">
        <f t="shared" ref="E11:E65" si="5">(C11-D11)*$E$6</f>
        <v>3632809.3172865724</v>
      </c>
      <c r="F11" s="231">
        <f t="shared" si="1"/>
        <v>36721517.91812975</v>
      </c>
      <c r="H11" s="232">
        <f t="shared" si="2"/>
        <v>33812970.908509627</v>
      </c>
      <c r="I11" s="229">
        <f t="shared" si="3"/>
        <v>603803.05193767173</v>
      </c>
      <c r="J11" s="231">
        <f t="shared" si="4"/>
        <v>33209167.856571954</v>
      </c>
      <c r="L11" s="245"/>
      <c r="M11" s="229"/>
      <c r="N11" s="229"/>
      <c r="O11" s="231"/>
    </row>
    <row r="12" spans="1:21">
      <c r="A12" s="240">
        <v>6</v>
      </c>
      <c r="B12" s="241">
        <v>42613</v>
      </c>
      <c r="C12" s="232">
        <f t="shared" si="0"/>
        <v>36721517.91812975</v>
      </c>
      <c r="D12" s="229">
        <v>3420000</v>
      </c>
      <c r="E12" s="229">
        <f t="shared" si="5"/>
        <v>3656173.6522314651</v>
      </c>
      <c r="F12" s="231">
        <f t="shared" si="1"/>
        <v>36957691.570361212</v>
      </c>
      <c r="H12" s="232">
        <f t="shared" si="2"/>
        <v>33209167.856571954</v>
      </c>
      <c r="I12" s="229">
        <f t="shared" si="3"/>
        <v>603803.05193767173</v>
      </c>
      <c r="J12" s="231">
        <f t="shared" si="4"/>
        <v>32605364.804634281</v>
      </c>
      <c r="L12" s="245"/>
      <c r="M12" s="229"/>
      <c r="N12" s="229"/>
      <c r="O12" s="231"/>
    </row>
    <row r="13" spans="1:21">
      <c r="A13" s="240">
        <v>7</v>
      </c>
      <c r="B13" s="241">
        <v>42643</v>
      </c>
      <c r="C13" s="232">
        <f t="shared" si="0"/>
        <v>36957691.570361212</v>
      </c>
      <c r="D13" s="229">
        <v>3420000</v>
      </c>
      <c r="E13" s="229">
        <f t="shared" si="5"/>
        <v>3682103.1575099574</v>
      </c>
      <c r="F13" s="231">
        <f t="shared" si="1"/>
        <v>37219794.727871172</v>
      </c>
      <c r="H13" s="232">
        <f t="shared" si="2"/>
        <v>32605364.804634281</v>
      </c>
      <c r="I13" s="229">
        <f t="shared" si="3"/>
        <v>603803.05193767173</v>
      </c>
      <c r="J13" s="231">
        <f t="shared" si="4"/>
        <v>32001561.752696607</v>
      </c>
      <c r="L13" s="245"/>
      <c r="M13" s="229"/>
      <c r="N13" s="229"/>
      <c r="O13" s="231"/>
    </row>
    <row r="14" spans="1:21">
      <c r="A14" s="240">
        <v>8</v>
      </c>
      <c r="B14" s="241">
        <v>42674</v>
      </c>
      <c r="C14" s="232">
        <f t="shared" si="0"/>
        <v>37219794.727871172</v>
      </c>
      <c r="D14" s="229">
        <v>3420000</v>
      </c>
      <c r="E14" s="229">
        <f t="shared" si="5"/>
        <v>3710879.4631729759</v>
      </c>
      <c r="F14" s="231">
        <f t="shared" si="1"/>
        <v>37510674.191044152</v>
      </c>
      <c r="H14" s="232">
        <f t="shared" si="2"/>
        <v>32001561.752696607</v>
      </c>
      <c r="I14" s="229">
        <f t="shared" si="3"/>
        <v>603803.05193767173</v>
      </c>
      <c r="J14" s="231">
        <f t="shared" si="4"/>
        <v>31397758.700758934</v>
      </c>
      <c r="L14" s="245"/>
      <c r="M14" s="229"/>
      <c r="N14" s="229"/>
      <c r="O14" s="231"/>
    </row>
    <row r="15" spans="1:21">
      <c r="A15" s="240">
        <v>9</v>
      </c>
      <c r="B15" s="241">
        <v>42704</v>
      </c>
      <c r="C15" s="232">
        <f t="shared" si="0"/>
        <v>37510674.191044152</v>
      </c>
      <c r="D15" s="229">
        <v>3420000</v>
      </c>
      <c r="E15" s="229">
        <f t="shared" si="5"/>
        <v>3742815.1194347376</v>
      </c>
      <c r="F15" s="231">
        <f t="shared" si="1"/>
        <v>37833489.310478888</v>
      </c>
      <c r="H15" s="232">
        <f t="shared" si="2"/>
        <v>31397758.700758934</v>
      </c>
      <c r="I15" s="229">
        <f t="shared" si="3"/>
        <v>603803.05193767173</v>
      </c>
      <c r="J15" s="231">
        <f t="shared" si="4"/>
        <v>30793955.648821261</v>
      </c>
      <c r="L15" s="245"/>
      <c r="M15" s="229"/>
      <c r="N15" s="229"/>
      <c r="O15" s="231"/>
    </row>
    <row r="16" spans="1:21">
      <c r="A16" s="240">
        <v>10</v>
      </c>
      <c r="B16" s="241">
        <v>42735</v>
      </c>
      <c r="C16" s="232">
        <f t="shared" si="0"/>
        <v>37833489.310478888</v>
      </c>
      <c r="D16" s="229">
        <v>3420000</v>
      </c>
      <c r="E16" s="229">
        <f t="shared" si="5"/>
        <v>3778256.9913974772</v>
      </c>
      <c r="F16" s="231">
        <f t="shared" si="1"/>
        <v>38191746.301876366</v>
      </c>
      <c r="H16" s="232">
        <f t="shared" si="2"/>
        <v>30793955.648821261</v>
      </c>
      <c r="I16" s="229">
        <f t="shared" si="3"/>
        <v>603803.05193767173</v>
      </c>
      <c r="J16" s="231">
        <f t="shared" si="4"/>
        <v>30190152.596883588</v>
      </c>
      <c r="L16" s="245"/>
      <c r="M16" s="229"/>
      <c r="N16" s="229"/>
      <c r="O16" s="231"/>
    </row>
    <row r="17" spans="1:15">
      <c r="A17" s="240">
        <v>11</v>
      </c>
      <c r="B17" s="241">
        <v>42766</v>
      </c>
      <c r="C17" s="232">
        <f t="shared" si="0"/>
        <v>38191746.301876366</v>
      </c>
      <c r="D17" s="229">
        <v>3420000</v>
      </c>
      <c r="E17" s="229">
        <f t="shared" si="5"/>
        <v>3817590.0264830063</v>
      </c>
      <c r="F17" s="231">
        <f t="shared" si="1"/>
        <v>38589336.328359373</v>
      </c>
      <c r="H17" s="232">
        <f t="shared" si="2"/>
        <v>30190152.596883588</v>
      </c>
      <c r="I17" s="229">
        <f t="shared" si="3"/>
        <v>603803.05193767173</v>
      </c>
      <c r="J17" s="231">
        <f t="shared" si="4"/>
        <v>29586349.544945914</v>
      </c>
      <c r="L17" s="245"/>
      <c r="M17" s="229"/>
      <c r="N17" s="229"/>
      <c r="O17" s="231"/>
    </row>
    <row r="18" spans="1:15">
      <c r="A18" s="240">
        <v>12</v>
      </c>
      <c r="B18" s="241" t="s">
        <v>1034</v>
      </c>
      <c r="C18" s="232">
        <f t="shared" si="0"/>
        <v>38589336.328359373</v>
      </c>
      <c r="D18" s="229">
        <v>3420000</v>
      </c>
      <c r="E18" s="229">
        <f t="shared" si="5"/>
        <v>3861241.4354905756</v>
      </c>
      <c r="F18" s="231">
        <f t="shared" si="1"/>
        <v>39030577.763849951</v>
      </c>
      <c r="H18" s="232">
        <f t="shared" si="2"/>
        <v>29586349.544945914</v>
      </c>
      <c r="I18" s="229">
        <f t="shared" si="3"/>
        <v>603803.05193767173</v>
      </c>
      <c r="J18" s="231">
        <f t="shared" si="4"/>
        <v>28982546.493008241</v>
      </c>
      <c r="L18" s="245"/>
      <c r="M18" s="229"/>
      <c r="N18" s="229"/>
      <c r="O18" s="231"/>
    </row>
    <row r="19" spans="1:15">
      <c r="A19" s="240">
        <v>13</v>
      </c>
      <c r="B19" s="241">
        <v>42825</v>
      </c>
      <c r="C19" s="232">
        <f t="shared" si="0"/>
        <v>39030577.763849951</v>
      </c>
      <c r="D19" s="229">
        <v>3754134</v>
      </c>
      <c r="E19" s="229">
        <f t="shared" si="5"/>
        <v>3873000.760833086</v>
      </c>
      <c r="F19" s="231">
        <f t="shared" si="1"/>
        <v>39149444.524683036</v>
      </c>
      <c r="H19" s="232">
        <f t="shared" si="2"/>
        <v>28982546.493008241</v>
      </c>
      <c r="I19" s="229">
        <f t="shared" si="3"/>
        <v>603803.05193767173</v>
      </c>
      <c r="J19" s="231">
        <f t="shared" si="4"/>
        <v>28378743.441070568</v>
      </c>
      <c r="L19" s="245"/>
      <c r="M19" s="229"/>
      <c r="N19" s="229"/>
      <c r="O19" s="231"/>
    </row>
    <row r="20" spans="1:15">
      <c r="A20" s="240">
        <v>14</v>
      </c>
      <c r="B20" s="241">
        <v>42855</v>
      </c>
      <c r="C20" s="232">
        <f t="shared" si="0"/>
        <v>39149444.524683036</v>
      </c>
      <c r="D20" s="229">
        <v>3754134</v>
      </c>
      <c r="E20" s="229">
        <f t="shared" si="5"/>
        <v>3886051.1425049505</v>
      </c>
      <c r="F20" s="231">
        <f t="shared" si="1"/>
        <v>39281361.667187989</v>
      </c>
      <c r="H20" s="232">
        <f t="shared" si="2"/>
        <v>28378743.441070568</v>
      </c>
      <c r="I20" s="229">
        <f t="shared" si="3"/>
        <v>603803.05193767173</v>
      </c>
      <c r="J20" s="231">
        <f t="shared" si="4"/>
        <v>27774940.389132895</v>
      </c>
      <c r="L20" s="245"/>
      <c r="M20" s="229"/>
      <c r="N20" s="229"/>
      <c r="O20" s="231"/>
    </row>
    <row r="21" spans="1:15">
      <c r="A21" s="240">
        <v>15</v>
      </c>
      <c r="B21" s="241">
        <v>42886</v>
      </c>
      <c r="C21" s="232">
        <f t="shared" si="0"/>
        <v>39281361.667187989</v>
      </c>
      <c r="D21" s="229">
        <v>3754134</v>
      </c>
      <c r="E21" s="229">
        <f t="shared" si="5"/>
        <v>3900534.3255805694</v>
      </c>
      <c r="F21" s="231">
        <f t="shared" si="1"/>
        <v>39427761.992768556</v>
      </c>
      <c r="H21" s="232">
        <f t="shared" si="2"/>
        <v>27774940.389132895</v>
      </c>
      <c r="I21" s="229">
        <f t="shared" si="3"/>
        <v>603803.05193767173</v>
      </c>
      <c r="J21" s="231">
        <f t="shared" si="4"/>
        <v>27171137.337195221</v>
      </c>
      <c r="L21" s="245"/>
      <c r="M21" s="229"/>
      <c r="N21" s="229"/>
      <c r="O21" s="231"/>
    </row>
    <row r="22" spans="1:15">
      <c r="A22" s="240">
        <v>16</v>
      </c>
      <c r="B22" s="241">
        <v>42916</v>
      </c>
      <c r="C22" s="232">
        <f t="shared" si="0"/>
        <v>39427761.992768556</v>
      </c>
      <c r="D22" s="229">
        <v>3754134</v>
      </c>
      <c r="E22" s="229">
        <f t="shared" si="5"/>
        <v>3916607.6173260598</v>
      </c>
      <c r="F22" s="231">
        <f t="shared" si="1"/>
        <v>39590235.610094614</v>
      </c>
      <c r="H22" s="232">
        <f t="shared" si="2"/>
        <v>27171137.337195221</v>
      </c>
      <c r="I22" s="229">
        <f t="shared" si="3"/>
        <v>603803.05193767173</v>
      </c>
      <c r="J22" s="231">
        <f t="shared" si="4"/>
        <v>26567334.285257548</v>
      </c>
      <c r="L22" s="245"/>
      <c r="M22" s="229"/>
      <c r="N22" s="229"/>
      <c r="O22" s="231"/>
    </row>
    <row r="23" spans="1:15">
      <c r="A23" s="240">
        <v>17</v>
      </c>
      <c r="B23" s="241">
        <v>42947</v>
      </c>
      <c r="C23" s="232">
        <f t="shared" si="0"/>
        <v>39590235.610094614</v>
      </c>
      <c r="D23" s="229">
        <v>3754134</v>
      </c>
      <c r="E23" s="229">
        <f t="shared" si="5"/>
        <v>3934445.5957722878</v>
      </c>
      <c r="F23" s="231">
        <f t="shared" si="1"/>
        <v>39770547.205866903</v>
      </c>
      <c r="H23" s="232">
        <f t="shared" si="2"/>
        <v>26567334.285257548</v>
      </c>
      <c r="I23" s="229">
        <f t="shared" si="3"/>
        <v>603803.05193767173</v>
      </c>
      <c r="J23" s="231">
        <f t="shared" si="4"/>
        <v>25963531.233319875</v>
      </c>
      <c r="L23" s="245"/>
      <c r="M23" s="229"/>
      <c r="N23" s="229"/>
      <c r="O23" s="231"/>
    </row>
    <row r="24" spans="1:15">
      <c r="A24" s="240">
        <v>18</v>
      </c>
      <c r="B24" s="241">
        <v>42978</v>
      </c>
      <c r="C24" s="232">
        <f t="shared" si="0"/>
        <v>39770547.205866903</v>
      </c>
      <c r="D24" s="229">
        <v>3754134</v>
      </c>
      <c r="E24" s="229">
        <f t="shared" si="5"/>
        <v>3954242.0058721271</v>
      </c>
      <c r="F24" s="231">
        <f t="shared" si="1"/>
        <v>39970655.211739033</v>
      </c>
      <c r="H24" s="232">
        <f t="shared" si="2"/>
        <v>25963531.233319875</v>
      </c>
      <c r="I24" s="229">
        <f t="shared" si="3"/>
        <v>603803.05193767173</v>
      </c>
      <c r="J24" s="231">
        <f t="shared" si="4"/>
        <v>25359728.181382202</v>
      </c>
      <c r="L24" s="245"/>
      <c r="M24" s="229"/>
      <c r="N24" s="229"/>
      <c r="O24" s="231"/>
    </row>
    <row r="25" spans="1:15">
      <c r="A25" s="240">
        <v>19</v>
      </c>
      <c r="B25" s="241">
        <v>43008</v>
      </c>
      <c r="C25" s="232">
        <f t="shared" si="0"/>
        <v>39970655.211739033</v>
      </c>
      <c r="D25" s="229">
        <v>3754134</v>
      </c>
      <c r="E25" s="229">
        <f t="shared" si="5"/>
        <v>3976211.8638368286</v>
      </c>
      <c r="F25" s="231">
        <f t="shared" si="1"/>
        <v>40192733.075575858</v>
      </c>
      <c r="H25" s="232">
        <f t="shared" si="2"/>
        <v>25359728.181382202</v>
      </c>
      <c r="I25" s="229">
        <f t="shared" si="3"/>
        <v>603803.05193767173</v>
      </c>
      <c r="J25" s="231">
        <f t="shared" si="4"/>
        <v>24755925.129444528</v>
      </c>
      <c r="L25" s="245"/>
      <c r="M25" s="229"/>
      <c r="N25" s="229"/>
      <c r="O25" s="231"/>
    </row>
    <row r="26" spans="1:15">
      <c r="A26" s="240">
        <v>20</v>
      </c>
      <c r="B26" s="241">
        <v>43039</v>
      </c>
      <c r="C26" s="232">
        <f t="shared" si="0"/>
        <v>40192733.075575858</v>
      </c>
      <c r="D26" s="229">
        <v>3754134</v>
      </c>
      <c r="E26" s="229">
        <f t="shared" si="5"/>
        <v>4000593.7925074734</v>
      </c>
      <c r="F26" s="231">
        <f t="shared" si="1"/>
        <v>40439192.868083328</v>
      </c>
      <c r="H26" s="232">
        <f t="shared" si="2"/>
        <v>24755925.129444528</v>
      </c>
      <c r="I26" s="229">
        <f t="shared" si="3"/>
        <v>603803.05193767173</v>
      </c>
      <c r="J26" s="231">
        <f t="shared" si="4"/>
        <v>24152122.077506855</v>
      </c>
      <c r="L26" s="245"/>
      <c r="M26" s="229"/>
      <c r="N26" s="229"/>
      <c r="O26" s="231"/>
    </row>
    <row r="27" spans="1:15">
      <c r="A27" s="240">
        <v>21</v>
      </c>
      <c r="B27" s="241">
        <v>43069</v>
      </c>
      <c r="C27" s="232">
        <f t="shared" si="0"/>
        <v>40439192.868083328</v>
      </c>
      <c r="D27" s="229">
        <v>3754134</v>
      </c>
      <c r="E27" s="229">
        <f t="shared" si="5"/>
        <v>4027652.6131268684</v>
      </c>
      <c r="F27" s="231">
        <f t="shared" si="1"/>
        <v>40712711.481210195</v>
      </c>
      <c r="H27" s="232">
        <f t="shared" si="2"/>
        <v>24152122.077506855</v>
      </c>
      <c r="I27" s="229">
        <f t="shared" si="3"/>
        <v>603803.05193767173</v>
      </c>
      <c r="J27" s="231">
        <f t="shared" si="4"/>
        <v>23548319.025569182</v>
      </c>
      <c r="L27" s="245"/>
      <c r="M27" s="229"/>
      <c r="N27" s="229"/>
      <c r="O27" s="231"/>
    </row>
    <row r="28" spans="1:15">
      <c r="A28" s="240">
        <v>22</v>
      </c>
      <c r="B28" s="241">
        <v>43100</v>
      </c>
      <c r="C28" s="232">
        <f t="shared" si="0"/>
        <v>40712711.481210195</v>
      </c>
      <c r="D28" s="229">
        <v>3754134</v>
      </c>
      <c r="E28" s="229">
        <f t="shared" si="5"/>
        <v>4057682.2216620673</v>
      </c>
      <c r="F28" s="231">
        <f t="shared" si="1"/>
        <v>41016259.702872261</v>
      </c>
      <c r="H28" s="232">
        <f t="shared" si="2"/>
        <v>23548319.025569182</v>
      </c>
      <c r="I28" s="229">
        <f t="shared" si="3"/>
        <v>603803.05193767173</v>
      </c>
      <c r="J28" s="231">
        <f t="shared" si="4"/>
        <v>22944515.973631509</v>
      </c>
      <c r="L28" s="245"/>
      <c r="M28" s="229"/>
      <c r="N28" s="229"/>
      <c r="O28" s="231"/>
    </row>
    <row r="29" spans="1:15">
      <c r="A29" s="240">
        <v>23</v>
      </c>
      <c r="B29" s="241">
        <v>43131</v>
      </c>
      <c r="C29" s="232">
        <f t="shared" si="0"/>
        <v>41016259.702872261</v>
      </c>
      <c r="D29" s="229">
        <v>3754134</v>
      </c>
      <c r="E29" s="229">
        <f t="shared" si="5"/>
        <v>4091008.7809183453</v>
      </c>
      <c r="F29" s="231">
        <f t="shared" si="1"/>
        <v>41353134.483790606</v>
      </c>
      <c r="H29" s="232">
        <f t="shared" si="2"/>
        <v>22944515.973631509</v>
      </c>
      <c r="I29" s="229">
        <f t="shared" si="3"/>
        <v>603803.05193767173</v>
      </c>
      <c r="J29" s="231">
        <f t="shared" si="4"/>
        <v>22340712.921693835</v>
      </c>
      <c r="L29" s="245"/>
      <c r="M29" s="229"/>
      <c r="N29" s="229"/>
      <c r="O29" s="231"/>
    </row>
    <row r="30" spans="1:15">
      <c r="A30" s="240">
        <v>24</v>
      </c>
      <c r="B30" s="241">
        <v>43159</v>
      </c>
      <c r="C30" s="232">
        <f t="shared" si="0"/>
        <v>41353134.483790606</v>
      </c>
      <c r="D30" s="229">
        <v>3754134</v>
      </c>
      <c r="E30" s="229">
        <f t="shared" si="5"/>
        <v>4127994.2631153706</v>
      </c>
      <c r="F30" s="231">
        <f t="shared" si="1"/>
        <v>41726994.746905975</v>
      </c>
      <c r="H30" s="232">
        <f t="shared" si="2"/>
        <v>22340712.921693835</v>
      </c>
      <c r="I30" s="229">
        <f t="shared" si="3"/>
        <v>603803.05193767173</v>
      </c>
      <c r="J30" s="231">
        <f t="shared" si="4"/>
        <v>21736909.869756162</v>
      </c>
      <c r="L30" s="245"/>
      <c r="M30" s="229"/>
      <c r="N30" s="229"/>
      <c r="O30" s="231"/>
    </row>
    <row r="31" spans="1:15">
      <c r="A31" s="240">
        <v>25</v>
      </c>
      <c r="B31" s="241">
        <v>43190</v>
      </c>
      <c r="C31" s="232">
        <f t="shared" si="0"/>
        <v>41726994.746905975</v>
      </c>
      <c r="D31" s="229">
        <v>4120913</v>
      </c>
      <c r="E31" s="229">
        <f t="shared" si="5"/>
        <v>4128771.7149928068</v>
      </c>
      <c r="F31" s="231">
        <f t="shared" si="1"/>
        <v>41734853.461898781</v>
      </c>
      <c r="H31" s="232">
        <f t="shared" si="2"/>
        <v>21736909.869756162</v>
      </c>
      <c r="I31" s="229">
        <f t="shared" si="3"/>
        <v>603803.05193767173</v>
      </c>
      <c r="J31" s="231">
        <f t="shared" si="4"/>
        <v>21133106.817818489</v>
      </c>
      <c r="L31" s="245"/>
      <c r="M31" s="229"/>
      <c r="N31" s="229"/>
      <c r="O31" s="231"/>
    </row>
    <row r="32" spans="1:15">
      <c r="A32" s="240">
        <v>26</v>
      </c>
      <c r="B32" s="241">
        <v>43220</v>
      </c>
      <c r="C32" s="232">
        <f t="shared" si="0"/>
        <v>41734853.461898781</v>
      </c>
      <c r="D32" s="229">
        <v>4120913</v>
      </c>
      <c r="E32" s="229">
        <f t="shared" si="5"/>
        <v>4129634.5233118674</v>
      </c>
      <c r="F32" s="231">
        <f t="shared" si="1"/>
        <v>41743574.98521065</v>
      </c>
      <c r="H32" s="232">
        <f t="shared" si="2"/>
        <v>21133106.817818489</v>
      </c>
      <c r="I32" s="229">
        <f t="shared" si="3"/>
        <v>603803.05193767173</v>
      </c>
      <c r="J32" s="231">
        <f t="shared" si="4"/>
        <v>20529303.765880816</v>
      </c>
      <c r="L32" s="245"/>
      <c r="M32" s="229"/>
      <c r="N32" s="229"/>
      <c r="O32" s="231"/>
    </row>
    <row r="33" spans="1:21">
      <c r="A33" s="240">
        <v>27</v>
      </c>
      <c r="B33" s="241">
        <v>43251</v>
      </c>
      <c r="C33" s="232">
        <f t="shared" si="0"/>
        <v>41743574.98521065</v>
      </c>
      <c r="D33" s="229">
        <v>4120913</v>
      </c>
      <c r="E33" s="229">
        <f t="shared" si="5"/>
        <v>4130592.0593562773</v>
      </c>
      <c r="F33" s="231">
        <f t="shared" si="1"/>
        <v>41753254.044566929</v>
      </c>
      <c r="H33" s="232">
        <f t="shared" si="2"/>
        <v>20529303.765880816</v>
      </c>
      <c r="I33" s="229">
        <f t="shared" si="3"/>
        <v>603803.05193767173</v>
      </c>
      <c r="J33" s="231">
        <f t="shared" si="4"/>
        <v>19925500.713943142</v>
      </c>
      <c r="L33" s="245"/>
      <c r="M33" s="229"/>
      <c r="N33" s="229"/>
      <c r="O33" s="231"/>
    </row>
    <row r="34" spans="1:21">
      <c r="A34" s="240">
        <v>28</v>
      </c>
      <c r="B34" s="241">
        <v>43281</v>
      </c>
      <c r="C34" s="232">
        <f t="shared" si="0"/>
        <v>41753254.044566929</v>
      </c>
      <c r="D34" s="229">
        <v>4120913</v>
      </c>
      <c r="E34" s="229">
        <f t="shared" si="5"/>
        <v>4131654.7232830031</v>
      </c>
      <c r="F34" s="231">
        <f t="shared" si="1"/>
        <v>41763995.76784993</v>
      </c>
      <c r="H34" s="232">
        <f t="shared" si="2"/>
        <v>19925500.713943142</v>
      </c>
      <c r="I34" s="229">
        <f t="shared" si="3"/>
        <v>603803.05193767173</v>
      </c>
      <c r="J34" s="231">
        <f t="shared" si="4"/>
        <v>19321697.662005469</v>
      </c>
      <c r="L34" s="245"/>
      <c r="M34" s="229"/>
      <c r="N34" s="229"/>
      <c r="O34" s="231"/>
    </row>
    <row r="35" spans="1:21">
      <c r="A35" s="240">
        <v>29</v>
      </c>
      <c r="B35" s="241">
        <v>43312</v>
      </c>
      <c r="C35" s="232">
        <f t="shared" si="0"/>
        <v>41763995.76784993</v>
      </c>
      <c r="D35" s="229">
        <v>4120913</v>
      </c>
      <c r="E35" s="229">
        <f t="shared" si="5"/>
        <v>4132834.0570822437</v>
      </c>
      <c r="F35" s="231">
        <f t="shared" si="1"/>
        <v>41775916.824932173</v>
      </c>
      <c r="H35" s="232">
        <f t="shared" si="2"/>
        <v>19321697.662005469</v>
      </c>
      <c r="I35" s="229">
        <f t="shared" si="3"/>
        <v>603803.05193767173</v>
      </c>
      <c r="J35" s="231">
        <f t="shared" si="4"/>
        <v>18717894.610067796</v>
      </c>
      <c r="L35" s="245"/>
      <c r="M35" s="229"/>
      <c r="N35" s="229"/>
      <c r="O35" s="231"/>
    </row>
    <row r="36" spans="1:21">
      <c r="A36" s="240">
        <v>30</v>
      </c>
      <c r="B36" s="241">
        <v>43343</v>
      </c>
      <c r="C36" s="232">
        <f t="shared" si="0"/>
        <v>41775916.824932173</v>
      </c>
      <c r="D36" s="229">
        <v>4120913</v>
      </c>
      <c r="E36" s="229">
        <f t="shared" si="5"/>
        <v>4134142.869939303</v>
      </c>
      <c r="F36" s="231">
        <f t="shared" si="1"/>
        <v>41789146.694871478</v>
      </c>
      <c r="H36" s="232">
        <f t="shared" si="2"/>
        <v>18717894.610067796</v>
      </c>
      <c r="I36" s="229">
        <f t="shared" si="3"/>
        <v>603803.05193767173</v>
      </c>
      <c r="J36" s="231">
        <f t="shared" si="4"/>
        <v>18114091.558130123</v>
      </c>
      <c r="L36" s="245"/>
      <c r="M36" s="229"/>
      <c r="N36" s="229"/>
      <c r="O36" s="231"/>
    </row>
    <row r="37" spans="1:21">
      <c r="A37" s="240">
        <v>31</v>
      </c>
      <c r="B37" s="241">
        <v>43373</v>
      </c>
      <c r="C37" s="232">
        <f t="shared" si="0"/>
        <v>41789146.694871478</v>
      </c>
      <c r="D37" s="229">
        <v>4120913</v>
      </c>
      <c r="E37" s="229">
        <f t="shared" si="5"/>
        <v>4135595.3773599393</v>
      </c>
      <c r="F37" s="231">
        <f t="shared" si="1"/>
        <v>41803829.072231419</v>
      </c>
      <c r="H37" s="232">
        <f t="shared" si="2"/>
        <v>18114091.558130123</v>
      </c>
      <c r="I37" s="229">
        <f t="shared" si="3"/>
        <v>603803.05193767173</v>
      </c>
      <c r="J37" s="231">
        <f t="shared" si="4"/>
        <v>17510288.506192449</v>
      </c>
      <c r="L37" s="245"/>
      <c r="M37" s="229"/>
      <c r="N37" s="229"/>
      <c r="O37" s="231"/>
    </row>
    <row r="38" spans="1:21">
      <c r="A38" s="240">
        <v>32</v>
      </c>
      <c r="B38" s="241">
        <v>43404</v>
      </c>
      <c r="C38" s="232">
        <f t="shared" si="0"/>
        <v>41803829.072231419</v>
      </c>
      <c r="D38" s="229">
        <v>4120913</v>
      </c>
      <c r="E38" s="229">
        <f t="shared" si="5"/>
        <v>4137207.3555702874</v>
      </c>
      <c r="F38" s="231">
        <f t="shared" si="1"/>
        <v>41820123.427801706</v>
      </c>
      <c r="H38" s="232">
        <f t="shared" si="2"/>
        <v>17510288.506192449</v>
      </c>
      <c r="I38" s="229">
        <f t="shared" si="3"/>
        <v>603803.05193767173</v>
      </c>
      <c r="J38" s="231">
        <f t="shared" si="4"/>
        <v>16906485.454254776</v>
      </c>
      <c r="L38" s="245"/>
      <c r="M38" s="229"/>
      <c r="N38" s="229"/>
      <c r="O38" s="231"/>
    </row>
    <row r="39" spans="1:21">
      <c r="A39" s="240">
        <v>33</v>
      </c>
      <c r="B39" s="241">
        <v>43434</v>
      </c>
      <c r="C39" s="232">
        <f t="shared" si="0"/>
        <v>41820123.427801706</v>
      </c>
      <c r="D39" s="229">
        <v>4120913</v>
      </c>
      <c r="E39" s="229">
        <f t="shared" si="5"/>
        <v>4138996.3128683493</v>
      </c>
      <c r="F39" s="231">
        <f t="shared" si="1"/>
        <v>41838206.740670055</v>
      </c>
      <c r="H39" s="232">
        <f t="shared" si="2"/>
        <v>16906485.454254776</v>
      </c>
      <c r="I39" s="229">
        <f t="shared" si="3"/>
        <v>603803.05193767173</v>
      </c>
      <c r="J39" s="231">
        <f t="shared" si="4"/>
        <v>16302682.402317105</v>
      </c>
      <c r="L39" s="245"/>
      <c r="M39" s="229"/>
      <c r="N39" s="229"/>
      <c r="O39" s="231"/>
    </row>
    <row r="40" spans="1:21">
      <c r="A40" s="246">
        <v>34</v>
      </c>
      <c r="B40" s="247">
        <v>43465</v>
      </c>
      <c r="C40" s="248">
        <f t="shared" si="0"/>
        <v>41838206.740670055</v>
      </c>
      <c r="D40" s="249">
        <v>4120913</v>
      </c>
      <c r="E40" s="249">
        <f t="shared" si="5"/>
        <v>4140981.6797881653</v>
      </c>
      <c r="F40" s="250">
        <f t="shared" si="1"/>
        <v>41858275.42045822</v>
      </c>
      <c r="H40" s="248">
        <f t="shared" si="2"/>
        <v>16302682.402317105</v>
      </c>
      <c r="I40" s="249">
        <f t="shared" si="3"/>
        <v>603803.05193767173</v>
      </c>
      <c r="J40" s="250">
        <f t="shared" si="4"/>
        <v>15698879.350379433</v>
      </c>
      <c r="L40" s="245"/>
      <c r="M40" s="229"/>
      <c r="N40" s="229"/>
      <c r="O40" s="231"/>
      <c r="T40" s="1">
        <f>F40-F52</f>
        <v>4083381.5466756895</v>
      </c>
      <c r="U40" s="1">
        <f>F40-T40</f>
        <v>37774893.87378253</v>
      </c>
    </row>
    <row r="41" spans="1:21">
      <c r="A41" s="240">
        <v>35</v>
      </c>
      <c r="B41" s="241">
        <v>43496</v>
      </c>
      <c r="C41" s="232">
        <f t="shared" si="0"/>
        <v>41858275.42045822</v>
      </c>
      <c r="D41" s="229">
        <v>4120913</v>
      </c>
      <c r="E41" s="229">
        <f t="shared" si="5"/>
        <v>4143185.0201421077</v>
      </c>
      <c r="F41" s="231">
        <f t="shared" si="1"/>
        <v>41880547.440600328</v>
      </c>
      <c r="H41" s="232">
        <f t="shared" si="2"/>
        <v>15698879.350379433</v>
      </c>
      <c r="I41" s="229">
        <f t="shared" si="3"/>
        <v>603803.05193767173</v>
      </c>
      <c r="J41" s="231">
        <f t="shared" si="4"/>
        <v>15095076.298441762</v>
      </c>
      <c r="L41" s="245">
        <v>51201000</v>
      </c>
      <c r="M41" s="229">
        <f>D41</f>
        <v>4120913</v>
      </c>
      <c r="N41" s="251">
        <v>23359500</v>
      </c>
      <c r="O41" s="231">
        <f>M41</f>
        <v>4120913</v>
      </c>
    </row>
    <row r="42" spans="1:21">
      <c r="A42" s="240">
        <v>36</v>
      </c>
      <c r="B42" s="241">
        <v>43524</v>
      </c>
      <c r="C42" s="232">
        <f t="shared" si="0"/>
        <v>41880547.440600328</v>
      </c>
      <c r="D42" s="229">
        <v>4120913</v>
      </c>
      <c r="E42" s="229">
        <f t="shared" si="5"/>
        <v>4145630.2652335102</v>
      </c>
      <c r="F42" s="231">
        <f t="shared" si="1"/>
        <v>41905264.705833837</v>
      </c>
      <c r="H42" s="232">
        <f t="shared" si="2"/>
        <v>15095076.298441762</v>
      </c>
      <c r="I42" s="229">
        <f t="shared" si="3"/>
        <v>603803.05193767173</v>
      </c>
      <c r="J42" s="231">
        <f t="shared" si="4"/>
        <v>14491273.246504091</v>
      </c>
      <c r="L42" s="245">
        <v>51201000</v>
      </c>
      <c r="M42" s="229">
        <f t="shared" ref="M42:M64" si="6">D42</f>
        <v>4120913</v>
      </c>
      <c r="N42" s="251">
        <v>23359500</v>
      </c>
      <c r="O42" s="231">
        <f t="shared" ref="O42:O64" si="7">M42</f>
        <v>4120913</v>
      </c>
      <c r="Q42" s="1" t="s">
        <v>659</v>
      </c>
    </row>
    <row r="43" spans="1:21">
      <c r="A43" s="240">
        <v>37</v>
      </c>
      <c r="B43" s="241">
        <v>43555</v>
      </c>
      <c r="C43" s="232">
        <f t="shared" si="0"/>
        <v>41905264.705833837</v>
      </c>
      <c r="D43" s="229">
        <v>4120913</v>
      </c>
      <c r="E43" s="229">
        <f t="shared" si="5"/>
        <v>4148343.9737834968</v>
      </c>
      <c r="F43" s="231">
        <f t="shared" si="1"/>
        <v>41932695.67961733</v>
      </c>
      <c r="H43" s="232">
        <f t="shared" si="2"/>
        <v>14491273.246504091</v>
      </c>
      <c r="I43" s="229">
        <f t="shared" si="3"/>
        <v>603803.05193767173</v>
      </c>
      <c r="J43" s="231">
        <f t="shared" si="4"/>
        <v>13887470.194566419</v>
      </c>
      <c r="L43" s="245">
        <v>51201000</v>
      </c>
      <c r="M43" s="229">
        <f t="shared" si="6"/>
        <v>4120913</v>
      </c>
      <c r="N43" s="251">
        <v>23359500</v>
      </c>
      <c r="O43" s="231">
        <f t="shared" si="7"/>
        <v>4120913</v>
      </c>
      <c r="Q43" s="1">
        <v>2018</v>
      </c>
      <c r="R43" s="1">
        <f>ROUND(SUM(D41:D52)/1000,0)</f>
        <v>52081</v>
      </c>
    </row>
    <row r="44" spans="1:21">
      <c r="A44" s="240">
        <v>38</v>
      </c>
      <c r="B44" s="241">
        <v>43585</v>
      </c>
      <c r="C44" s="232">
        <f t="shared" si="0"/>
        <v>41932695.67961733</v>
      </c>
      <c r="D44" s="229">
        <v>4413086</v>
      </c>
      <c r="E44" s="229">
        <f t="shared" si="5"/>
        <v>4119277.9467251869</v>
      </c>
      <c r="F44" s="231">
        <f t="shared" si="1"/>
        <v>41638887.62634252</v>
      </c>
      <c r="H44" s="232">
        <f t="shared" si="2"/>
        <v>13887470.194566419</v>
      </c>
      <c r="I44" s="229">
        <f t="shared" si="3"/>
        <v>603803.05193767173</v>
      </c>
      <c r="J44" s="231">
        <f t="shared" si="4"/>
        <v>13283667.142628748</v>
      </c>
      <c r="L44" s="245">
        <v>51201000</v>
      </c>
      <c r="M44" s="229">
        <f t="shared" si="6"/>
        <v>4413086</v>
      </c>
      <c r="N44" s="251">
        <v>23359500</v>
      </c>
      <c r="O44" s="231">
        <f t="shared" si="7"/>
        <v>4413086</v>
      </c>
      <c r="Q44" s="1">
        <v>2019</v>
      </c>
      <c r="R44" s="1">
        <f>ROUND(SUM(D53:D64)/1000,0)</f>
        <v>59007</v>
      </c>
    </row>
    <row r="45" spans="1:21">
      <c r="A45" s="240">
        <v>39</v>
      </c>
      <c r="B45" s="241">
        <v>43616</v>
      </c>
      <c r="C45" s="232">
        <f t="shared" si="0"/>
        <v>41638887.62634252</v>
      </c>
      <c r="D45" s="229">
        <v>4413086</v>
      </c>
      <c r="E45" s="229">
        <f t="shared" si="5"/>
        <v>4087020.7605561451</v>
      </c>
      <c r="F45" s="231">
        <f t="shared" si="1"/>
        <v>41312822.386898667</v>
      </c>
      <c r="H45" s="232">
        <f t="shared" si="2"/>
        <v>13283667.142628748</v>
      </c>
      <c r="I45" s="229">
        <f t="shared" si="3"/>
        <v>603803.05193767173</v>
      </c>
      <c r="J45" s="231">
        <f t="shared" si="4"/>
        <v>12679864.090691077</v>
      </c>
      <c r="L45" s="245">
        <v>51201000</v>
      </c>
      <c r="M45" s="229">
        <f t="shared" si="6"/>
        <v>4413086</v>
      </c>
      <c r="N45" s="251">
        <v>23359500</v>
      </c>
      <c r="O45" s="231">
        <f t="shared" si="7"/>
        <v>4413086</v>
      </c>
    </row>
    <row r="46" spans="1:21">
      <c r="A46" s="240">
        <v>40</v>
      </c>
      <c r="B46" s="241">
        <v>43646</v>
      </c>
      <c r="C46" s="232">
        <f t="shared" si="0"/>
        <v>41312822.386898667</v>
      </c>
      <c r="D46" s="229">
        <v>4413086</v>
      </c>
      <c r="E46" s="229">
        <f t="shared" si="5"/>
        <v>4051222.0579176047</v>
      </c>
      <c r="F46" s="231">
        <f t="shared" si="1"/>
        <v>40950958.444816269</v>
      </c>
      <c r="H46" s="232">
        <f t="shared" si="2"/>
        <v>12679864.090691077</v>
      </c>
      <c r="I46" s="229">
        <f t="shared" si="3"/>
        <v>603803.05193767173</v>
      </c>
      <c r="J46" s="231">
        <f t="shared" si="4"/>
        <v>12076061.038753405</v>
      </c>
      <c r="L46" s="245">
        <v>51201000</v>
      </c>
      <c r="M46" s="229">
        <f t="shared" si="6"/>
        <v>4413086</v>
      </c>
      <c r="N46" s="251">
        <v>23359500</v>
      </c>
      <c r="O46" s="231">
        <f t="shared" si="7"/>
        <v>4413086</v>
      </c>
    </row>
    <row r="47" spans="1:21">
      <c r="A47" s="240">
        <v>41</v>
      </c>
      <c r="B47" s="241">
        <v>43677</v>
      </c>
      <c r="C47" s="232">
        <f t="shared" si="0"/>
        <v>40950958.444816269</v>
      </c>
      <c r="D47" s="229">
        <v>4413086</v>
      </c>
      <c r="E47" s="229">
        <f t="shared" si="5"/>
        <v>4011493.0157163781</v>
      </c>
      <c r="F47" s="231">
        <f t="shared" si="1"/>
        <v>40549365.46053265</v>
      </c>
      <c r="H47" s="232">
        <f t="shared" si="2"/>
        <v>12076061.038753405</v>
      </c>
      <c r="I47" s="229">
        <f t="shared" si="3"/>
        <v>603803.05193767173</v>
      </c>
      <c r="J47" s="231">
        <f t="shared" si="4"/>
        <v>11472257.986815734</v>
      </c>
      <c r="L47" s="245">
        <v>51201000</v>
      </c>
      <c r="M47" s="229">
        <f t="shared" si="6"/>
        <v>4413086</v>
      </c>
      <c r="N47" s="251">
        <v>23359500</v>
      </c>
      <c r="O47" s="231">
        <f t="shared" si="7"/>
        <v>4413086</v>
      </c>
    </row>
    <row r="48" spans="1:21">
      <c r="A48" s="240">
        <v>42</v>
      </c>
      <c r="B48" s="241">
        <v>43708</v>
      </c>
      <c r="C48" s="232">
        <f t="shared" si="0"/>
        <v>40549365.46053265</v>
      </c>
      <c r="D48" s="229">
        <v>4413086</v>
      </c>
      <c r="E48" s="229">
        <f t="shared" si="5"/>
        <v>3967402.1219718796</v>
      </c>
      <c r="F48" s="231">
        <f t="shared" si="1"/>
        <v>40103681.582504533</v>
      </c>
      <c r="H48" s="232">
        <f t="shared" si="2"/>
        <v>11472257.986815734</v>
      </c>
      <c r="I48" s="229">
        <f t="shared" si="3"/>
        <v>603803.05193767173</v>
      </c>
      <c r="J48" s="231">
        <f t="shared" si="4"/>
        <v>10868454.934878062</v>
      </c>
      <c r="L48" s="245">
        <v>51201000</v>
      </c>
      <c r="M48" s="229">
        <f t="shared" si="6"/>
        <v>4413086</v>
      </c>
      <c r="N48" s="251">
        <v>23359500</v>
      </c>
      <c r="O48" s="231">
        <f t="shared" si="7"/>
        <v>4413086</v>
      </c>
    </row>
    <row r="49" spans="1:21">
      <c r="A49" s="240">
        <v>43</v>
      </c>
      <c r="B49" s="241">
        <v>43738</v>
      </c>
      <c r="C49" s="232">
        <f t="shared" si="0"/>
        <v>40103681.582504533</v>
      </c>
      <c r="D49" s="229">
        <v>4413086</v>
      </c>
      <c r="E49" s="229">
        <f t="shared" si="5"/>
        <v>3918470.4890031726</v>
      </c>
      <c r="F49" s="231">
        <f t="shared" si="1"/>
        <v>39609066.071507707</v>
      </c>
      <c r="H49" s="232">
        <f t="shared" si="2"/>
        <v>10868454.934878062</v>
      </c>
      <c r="I49" s="229">
        <f t="shared" si="3"/>
        <v>603803.05193767173</v>
      </c>
      <c r="J49" s="231">
        <f t="shared" si="4"/>
        <v>10264651.882940391</v>
      </c>
      <c r="L49" s="245">
        <v>51201000</v>
      </c>
      <c r="M49" s="229">
        <f t="shared" si="6"/>
        <v>4413086</v>
      </c>
      <c r="N49" s="251">
        <v>23359500</v>
      </c>
      <c r="O49" s="231">
        <f t="shared" si="7"/>
        <v>4413086</v>
      </c>
    </row>
    <row r="50" spans="1:21">
      <c r="A50" s="240">
        <v>44</v>
      </c>
      <c r="B50" s="241">
        <v>43769</v>
      </c>
      <c r="C50" s="232">
        <f t="shared" si="0"/>
        <v>39609066.071507707</v>
      </c>
      <c r="D50" s="229">
        <v>4413086</v>
      </c>
      <c r="E50" s="229">
        <f t="shared" si="5"/>
        <v>3864166.6520508314</v>
      </c>
      <c r="F50" s="231">
        <f t="shared" si="1"/>
        <v>39060146.723558538</v>
      </c>
      <c r="H50" s="232">
        <f t="shared" si="2"/>
        <v>10264651.882940391</v>
      </c>
      <c r="I50" s="229">
        <f t="shared" si="3"/>
        <v>603803.05193767173</v>
      </c>
      <c r="J50" s="231">
        <f t="shared" si="4"/>
        <v>9660848.8310027197</v>
      </c>
      <c r="L50" s="245">
        <v>51201000</v>
      </c>
      <c r="M50" s="229">
        <f t="shared" si="6"/>
        <v>4413086</v>
      </c>
      <c r="N50" s="251">
        <v>23359500</v>
      </c>
      <c r="O50" s="231">
        <f t="shared" si="7"/>
        <v>4413086</v>
      </c>
    </row>
    <row r="51" spans="1:21">
      <c r="A51" s="240">
        <v>45</v>
      </c>
      <c r="B51" s="241">
        <v>43799</v>
      </c>
      <c r="C51" s="232">
        <f t="shared" si="0"/>
        <v>39060146.723558538</v>
      </c>
      <c r="D51" s="229">
        <v>4413086</v>
      </c>
      <c r="E51" s="229">
        <f t="shared" si="5"/>
        <v>3803900.7968394919</v>
      </c>
      <c r="F51" s="231">
        <f t="shared" si="1"/>
        <v>38450961.520398028</v>
      </c>
      <c r="H51" s="232">
        <f t="shared" si="2"/>
        <v>9660848.8310027197</v>
      </c>
      <c r="I51" s="229">
        <f t="shared" si="3"/>
        <v>603803.05193767173</v>
      </c>
      <c r="J51" s="231">
        <f t="shared" si="4"/>
        <v>9057045.7790650483</v>
      </c>
      <c r="L51" s="245">
        <v>51201000</v>
      </c>
      <c r="M51" s="229">
        <f t="shared" si="6"/>
        <v>4413086</v>
      </c>
      <c r="N51" s="251">
        <v>23359500</v>
      </c>
      <c r="O51" s="231">
        <f t="shared" si="7"/>
        <v>4413086</v>
      </c>
    </row>
    <row r="52" spans="1:21">
      <c r="A52" s="246">
        <v>46</v>
      </c>
      <c r="B52" s="247">
        <v>43830</v>
      </c>
      <c r="C52" s="248">
        <f t="shared" si="0"/>
        <v>38450961.520398028</v>
      </c>
      <c r="D52" s="249">
        <v>4413086</v>
      </c>
      <c r="E52" s="249">
        <f t="shared" si="5"/>
        <v>3737018.3533844994</v>
      </c>
      <c r="F52" s="250">
        <f t="shared" si="1"/>
        <v>37774893.87378253</v>
      </c>
      <c r="H52" s="248">
        <f t="shared" si="2"/>
        <v>9057045.7790650483</v>
      </c>
      <c r="I52" s="249">
        <f t="shared" si="3"/>
        <v>603803.05193767173</v>
      </c>
      <c r="J52" s="250">
        <f t="shared" si="4"/>
        <v>8453242.7271273769</v>
      </c>
      <c r="L52" s="245">
        <v>51201000</v>
      </c>
      <c r="M52" s="229">
        <f t="shared" si="6"/>
        <v>4413086</v>
      </c>
      <c r="N52" s="251">
        <v>23359500</v>
      </c>
      <c r="O52" s="231">
        <f t="shared" si="7"/>
        <v>4413086</v>
      </c>
      <c r="Q52" s="1">
        <f>J52-'HW PYMES'!E49</f>
        <v>-2.8726235032081604E-3</v>
      </c>
      <c r="R52" s="1">
        <f>F52+'HW PYMES'!E57</f>
        <v>3.7825331091880798E-3</v>
      </c>
      <c r="T52" s="1">
        <f>F52-F64</f>
        <v>28235243.577951472</v>
      </c>
      <c r="U52" s="1">
        <f>F52-T52</f>
        <v>9539650.2958310582</v>
      </c>
    </row>
    <row r="53" spans="1:21">
      <c r="A53" s="240">
        <v>47</v>
      </c>
      <c r="B53" s="241">
        <v>43861</v>
      </c>
      <c r="C53" s="232">
        <f t="shared" si="0"/>
        <v>37774893.87378253</v>
      </c>
      <c r="D53" s="229">
        <v>4413086</v>
      </c>
      <c r="E53" s="229">
        <f t="shared" si="5"/>
        <v>3662792.8864625841</v>
      </c>
      <c r="F53" s="231">
        <f t="shared" si="1"/>
        <v>37024600.760245115</v>
      </c>
      <c r="H53" s="232">
        <f t="shared" si="2"/>
        <v>8453242.7271273769</v>
      </c>
      <c r="I53" s="229">
        <f t="shared" si="3"/>
        <v>603803.05193767173</v>
      </c>
      <c r="J53" s="231">
        <f t="shared" si="4"/>
        <v>7849439.6751897056</v>
      </c>
      <c r="L53" s="245">
        <v>51201000</v>
      </c>
      <c r="M53" s="229">
        <f t="shared" si="6"/>
        <v>4413086</v>
      </c>
      <c r="N53" s="251">
        <v>23359500</v>
      </c>
      <c r="O53" s="231">
        <f t="shared" si="7"/>
        <v>4413086</v>
      </c>
    </row>
    <row r="54" spans="1:21">
      <c r="A54" s="240">
        <v>48</v>
      </c>
      <c r="B54" s="241">
        <v>43889</v>
      </c>
      <c r="C54" s="232">
        <f t="shared" si="0"/>
        <v>37024600.760245115</v>
      </c>
      <c r="D54" s="229">
        <v>4413086</v>
      </c>
      <c r="E54" s="229">
        <f t="shared" si="5"/>
        <v>3580418.2055273112</v>
      </c>
      <c r="F54" s="231">
        <f t="shared" si="1"/>
        <v>36191932.965772428</v>
      </c>
      <c r="H54" s="232">
        <f t="shared" si="2"/>
        <v>7849439.6751897056</v>
      </c>
      <c r="I54" s="229">
        <f t="shared" si="3"/>
        <v>603803.05193767173</v>
      </c>
      <c r="J54" s="231">
        <f t="shared" si="4"/>
        <v>7245636.6232520342</v>
      </c>
      <c r="L54" s="245">
        <v>51201000</v>
      </c>
      <c r="M54" s="229">
        <f t="shared" si="6"/>
        <v>4413086</v>
      </c>
      <c r="N54" s="251">
        <v>23359500</v>
      </c>
      <c r="O54" s="231">
        <f t="shared" si="7"/>
        <v>4413086</v>
      </c>
    </row>
    <row r="55" spans="1:21">
      <c r="A55" s="240">
        <v>49</v>
      </c>
      <c r="B55" s="241">
        <v>43921</v>
      </c>
      <c r="C55" s="232">
        <f t="shared" si="0"/>
        <v>36191932.965772428</v>
      </c>
      <c r="D55" s="229">
        <v>5018039</v>
      </c>
      <c r="E55" s="229">
        <f t="shared" si="5"/>
        <v>3422581.8185021547</v>
      </c>
      <c r="F55" s="231">
        <f t="shared" si="1"/>
        <v>34596475.784274586</v>
      </c>
      <c r="H55" s="232">
        <f t="shared" si="2"/>
        <v>7245636.6232520342</v>
      </c>
      <c r="I55" s="229">
        <f t="shared" si="3"/>
        <v>603803.05193767173</v>
      </c>
      <c r="J55" s="231">
        <f t="shared" si="4"/>
        <v>6641833.5713143628</v>
      </c>
      <c r="L55" s="245">
        <v>51201000</v>
      </c>
      <c r="M55" s="229">
        <f t="shared" si="6"/>
        <v>5018039</v>
      </c>
      <c r="N55" s="251">
        <v>23359500</v>
      </c>
      <c r="O55" s="231">
        <f t="shared" si="7"/>
        <v>5018039</v>
      </c>
    </row>
    <row r="56" spans="1:21">
      <c r="A56" s="240">
        <v>50</v>
      </c>
      <c r="B56" s="241">
        <v>43951</v>
      </c>
      <c r="C56" s="232">
        <f t="shared" si="0"/>
        <v>34596475.784274586</v>
      </c>
      <c r="D56" s="229">
        <v>5018039</v>
      </c>
      <c r="E56" s="229">
        <f t="shared" si="5"/>
        <v>3247416.5745455069</v>
      </c>
      <c r="F56" s="231">
        <f t="shared" si="1"/>
        <v>32825853.358820092</v>
      </c>
      <c r="H56" s="232">
        <f t="shared" si="2"/>
        <v>6641833.5713143628</v>
      </c>
      <c r="I56" s="229">
        <f t="shared" si="3"/>
        <v>603803.05193767173</v>
      </c>
      <c r="J56" s="231">
        <f t="shared" si="4"/>
        <v>6038030.5193766914</v>
      </c>
      <c r="L56" s="245">
        <v>51201000</v>
      </c>
      <c r="M56" s="229">
        <f t="shared" si="6"/>
        <v>5018039</v>
      </c>
      <c r="N56" s="251">
        <v>23359500</v>
      </c>
      <c r="O56" s="231">
        <f t="shared" si="7"/>
        <v>5018039</v>
      </c>
    </row>
    <row r="57" spans="1:21">
      <c r="A57" s="240">
        <v>51</v>
      </c>
      <c r="B57" s="241">
        <v>43982</v>
      </c>
      <c r="C57" s="232">
        <f t="shared" si="0"/>
        <v>32825853.358820092</v>
      </c>
      <c r="D57" s="229">
        <v>5018039</v>
      </c>
      <c r="E57" s="229">
        <f t="shared" si="5"/>
        <v>3053019.938454858</v>
      </c>
      <c r="F57" s="231">
        <f t="shared" si="1"/>
        <v>30860834.297274951</v>
      </c>
      <c r="H57" s="232">
        <f t="shared" si="2"/>
        <v>6038030.5193766914</v>
      </c>
      <c r="I57" s="229">
        <f t="shared" si="3"/>
        <v>603803.05193767173</v>
      </c>
      <c r="J57" s="231">
        <f t="shared" si="4"/>
        <v>5434227.4674390201</v>
      </c>
      <c r="L57" s="245">
        <v>51201000</v>
      </c>
      <c r="M57" s="229">
        <f t="shared" si="6"/>
        <v>5018039</v>
      </c>
      <c r="N57" s="251">
        <v>23359500</v>
      </c>
      <c r="O57" s="231">
        <f t="shared" si="7"/>
        <v>5018039</v>
      </c>
    </row>
    <row r="58" spans="1:21">
      <c r="A58" s="240">
        <v>52</v>
      </c>
      <c r="B58" s="241">
        <v>44012</v>
      </c>
      <c r="C58" s="232">
        <f t="shared" si="0"/>
        <v>30860834.297274951</v>
      </c>
      <c r="D58" s="229">
        <v>5018039</v>
      </c>
      <c r="E58" s="229">
        <f t="shared" si="5"/>
        <v>2837280.4956878168</v>
      </c>
      <c r="F58" s="231">
        <f t="shared" si="1"/>
        <v>28680075.792962767</v>
      </c>
      <c r="H58" s="232">
        <f t="shared" si="2"/>
        <v>5434227.4674390201</v>
      </c>
      <c r="I58" s="229">
        <f t="shared" si="3"/>
        <v>603803.05193767173</v>
      </c>
      <c r="J58" s="231">
        <f t="shared" si="4"/>
        <v>4830424.4155013487</v>
      </c>
      <c r="L58" s="245">
        <v>51201000</v>
      </c>
      <c r="M58" s="229">
        <f t="shared" si="6"/>
        <v>5018039</v>
      </c>
      <c r="N58" s="251">
        <v>23359500</v>
      </c>
      <c r="O58" s="231">
        <f t="shared" si="7"/>
        <v>5018039</v>
      </c>
    </row>
    <row r="59" spans="1:21">
      <c r="A59" s="240">
        <v>53</v>
      </c>
      <c r="B59" s="241">
        <v>44043</v>
      </c>
      <c r="C59" s="232">
        <f t="shared" si="0"/>
        <v>28680075.792962767</v>
      </c>
      <c r="D59" s="229">
        <v>5018039</v>
      </c>
      <c r="E59" s="229">
        <f t="shared" si="5"/>
        <v>2597855.019499382</v>
      </c>
      <c r="F59" s="231">
        <f t="shared" si="1"/>
        <v>26259891.812462151</v>
      </c>
      <c r="H59" s="232">
        <f t="shared" si="2"/>
        <v>4830424.4155013487</v>
      </c>
      <c r="I59" s="229">
        <f t="shared" si="3"/>
        <v>603803.05193767173</v>
      </c>
      <c r="J59" s="231">
        <f t="shared" si="4"/>
        <v>4226621.3635636773</v>
      </c>
      <c r="L59" s="245">
        <v>51201000</v>
      </c>
      <c r="M59" s="229">
        <f t="shared" si="6"/>
        <v>5018039</v>
      </c>
      <c r="N59" s="251">
        <v>23359500</v>
      </c>
      <c r="O59" s="231">
        <f t="shared" si="7"/>
        <v>5018039</v>
      </c>
    </row>
    <row r="60" spans="1:21">
      <c r="A60" s="240">
        <v>54</v>
      </c>
      <c r="B60" s="241">
        <v>44074</v>
      </c>
      <c r="C60" s="232">
        <f t="shared" si="0"/>
        <v>26259891.812462151</v>
      </c>
      <c r="D60" s="229">
        <v>5018039</v>
      </c>
      <c r="E60" s="229">
        <f t="shared" si="5"/>
        <v>2332143.0202802196</v>
      </c>
      <c r="F60" s="231">
        <f t="shared" si="1"/>
        <v>23573995.832742371</v>
      </c>
      <c r="H60" s="232">
        <f t="shared" si="2"/>
        <v>4226621.3635636773</v>
      </c>
      <c r="I60" s="229">
        <f t="shared" si="3"/>
        <v>603803.05193767173</v>
      </c>
      <c r="J60" s="231">
        <f t="shared" si="4"/>
        <v>3622818.3116260055</v>
      </c>
      <c r="L60" s="245">
        <v>51201000</v>
      </c>
      <c r="M60" s="229">
        <f t="shared" si="6"/>
        <v>5018039</v>
      </c>
      <c r="N60" s="251">
        <v>23359500</v>
      </c>
      <c r="O60" s="231">
        <f t="shared" si="7"/>
        <v>5018039</v>
      </c>
    </row>
    <row r="61" spans="1:21">
      <c r="A61" s="240">
        <v>55</v>
      </c>
      <c r="B61" s="241">
        <v>44104</v>
      </c>
      <c r="C61" s="232">
        <f t="shared" si="0"/>
        <v>23573995.832742371</v>
      </c>
      <c r="D61" s="229">
        <v>5018039</v>
      </c>
      <c r="E61" s="229">
        <f t="shared" si="5"/>
        <v>2037258.5006667848</v>
      </c>
      <c r="F61" s="231">
        <f t="shared" si="1"/>
        <v>20593215.333409157</v>
      </c>
      <c r="H61" s="232">
        <f t="shared" si="2"/>
        <v>3622818.3116260055</v>
      </c>
      <c r="I61" s="229">
        <f t="shared" si="3"/>
        <v>603803.05193767173</v>
      </c>
      <c r="J61" s="231">
        <f t="shared" si="4"/>
        <v>3019015.2596883336</v>
      </c>
      <c r="L61" s="245">
        <v>51201000</v>
      </c>
      <c r="M61" s="229">
        <f t="shared" si="6"/>
        <v>5018039</v>
      </c>
      <c r="N61" s="251">
        <v>23359500</v>
      </c>
      <c r="O61" s="231">
        <f t="shared" si="7"/>
        <v>5018039</v>
      </c>
    </row>
    <row r="62" spans="1:21">
      <c r="A62" s="240">
        <v>56</v>
      </c>
      <c r="B62" s="241">
        <v>44135</v>
      </c>
      <c r="C62" s="232">
        <f t="shared" si="0"/>
        <v>20593215.333409157</v>
      </c>
      <c r="D62" s="229">
        <v>5018039</v>
      </c>
      <c r="E62" s="229">
        <f t="shared" si="5"/>
        <v>1709998.6096449913</v>
      </c>
      <c r="F62" s="231">
        <f t="shared" si="1"/>
        <v>17285174.943054147</v>
      </c>
      <c r="H62" s="232">
        <f t="shared" si="2"/>
        <v>3019015.2596883336</v>
      </c>
      <c r="I62" s="229">
        <f t="shared" si="3"/>
        <v>603803.05193767173</v>
      </c>
      <c r="J62" s="231">
        <f t="shared" si="4"/>
        <v>2415212.2077506618</v>
      </c>
      <c r="L62" s="245">
        <v>51201000</v>
      </c>
      <c r="M62" s="229">
        <f t="shared" si="6"/>
        <v>5018039</v>
      </c>
      <c r="N62" s="251">
        <v>23359500</v>
      </c>
      <c r="O62" s="231">
        <f t="shared" si="7"/>
        <v>5018039</v>
      </c>
    </row>
    <row r="63" spans="1:21">
      <c r="A63" s="240">
        <v>57</v>
      </c>
      <c r="B63" s="241">
        <v>44165</v>
      </c>
      <c r="C63" s="232">
        <f t="shared" si="0"/>
        <v>17285174.943054147</v>
      </c>
      <c r="D63" s="229">
        <v>5018039</v>
      </c>
      <c r="E63" s="229">
        <f t="shared" si="5"/>
        <v>1346808.8551879148</v>
      </c>
      <c r="F63" s="231">
        <f t="shared" si="1"/>
        <v>13613944.798242062</v>
      </c>
      <c r="H63" s="232">
        <f t="shared" si="2"/>
        <v>2415212.2077506618</v>
      </c>
      <c r="I63" s="229">
        <f t="shared" si="3"/>
        <v>603803.05193767173</v>
      </c>
      <c r="J63" s="231">
        <f t="shared" si="4"/>
        <v>1811409.1558129899</v>
      </c>
      <c r="L63" s="245">
        <v>51201000</v>
      </c>
      <c r="M63" s="229">
        <f t="shared" si="6"/>
        <v>5018039</v>
      </c>
      <c r="N63" s="251">
        <v>23359500</v>
      </c>
      <c r="O63" s="231">
        <f t="shared" si="7"/>
        <v>5018039</v>
      </c>
    </row>
    <row r="64" spans="1:21">
      <c r="A64" s="246">
        <v>58</v>
      </c>
      <c r="B64" s="247">
        <v>44196</v>
      </c>
      <c r="C64" s="248">
        <f t="shared" si="0"/>
        <v>13613944.798242062</v>
      </c>
      <c r="D64" s="249">
        <v>5018039</v>
      </c>
      <c r="E64" s="249">
        <f t="shared" si="5"/>
        <v>943744.49758899596</v>
      </c>
      <c r="F64" s="250">
        <f t="shared" si="1"/>
        <v>9539650.2958310582</v>
      </c>
      <c r="H64" s="248">
        <f t="shared" si="2"/>
        <v>1811409.1558129899</v>
      </c>
      <c r="I64" s="249">
        <f t="shared" si="3"/>
        <v>603803.05193767173</v>
      </c>
      <c r="J64" s="250">
        <f t="shared" si="4"/>
        <v>1207606.1038753181</v>
      </c>
      <c r="L64" s="245">
        <v>51201000</v>
      </c>
      <c r="M64" s="229">
        <f t="shared" si="6"/>
        <v>5018039</v>
      </c>
      <c r="N64" s="251">
        <v>23359500</v>
      </c>
      <c r="O64" s="231">
        <f t="shared" si="7"/>
        <v>5018039</v>
      </c>
      <c r="Q64" s="1">
        <f>J64-'HW PYMES'!I49</f>
        <v>-6.1246822588145733E-3</v>
      </c>
      <c r="R64" s="1">
        <f>F64+'HW PYMES'!I57</f>
        <v>5.831059068441391E-3</v>
      </c>
      <c r="T64" s="1">
        <f>F64-F66</f>
        <v>9539650.2958306689</v>
      </c>
      <c r="U64" s="1">
        <f>F64-T64</f>
        <v>3.8929283618927002E-7</v>
      </c>
    </row>
    <row r="65" spans="1:15">
      <c r="A65" s="240">
        <v>59</v>
      </c>
      <c r="B65" s="241">
        <v>44227</v>
      </c>
      <c r="C65" s="232">
        <f t="shared" si="0"/>
        <v>9539650.2958310582</v>
      </c>
      <c r="D65" s="229">
        <v>5018039</v>
      </c>
      <c r="E65" s="229">
        <f t="shared" si="5"/>
        <v>496427.70416929189</v>
      </c>
      <c r="F65" s="231">
        <f t="shared" si="1"/>
        <v>5018039.0000003502</v>
      </c>
      <c r="H65" s="232">
        <f t="shared" si="2"/>
        <v>1207606.1038753181</v>
      </c>
      <c r="I65" s="229">
        <f t="shared" si="3"/>
        <v>603803.05193767173</v>
      </c>
      <c r="J65" s="231">
        <f t="shared" si="4"/>
        <v>603803.05193764635</v>
      </c>
      <c r="L65" s="245">
        <v>51201000</v>
      </c>
      <c r="M65" s="229">
        <f t="shared" ref="M65:M66" si="8">D65</f>
        <v>5018039</v>
      </c>
      <c r="N65" s="251">
        <v>23359500</v>
      </c>
      <c r="O65" s="231">
        <f t="shared" ref="O65:O66" si="9">M65</f>
        <v>5018039</v>
      </c>
    </row>
    <row r="66" spans="1:15">
      <c r="A66" s="240">
        <v>60</v>
      </c>
      <c r="B66" s="241" t="s">
        <v>1033</v>
      </c>
      <c r="C66" s="252">
        <f t="shared" si="0"/>
        <v>5018039.0000003502</v>
      </c>
      <c r="D66" s="253">
        <v>5018039</v>
      </c>
      <c r="E66" s="253">
        <f>(C66-D66)*$E$6</f>
        <v>3.8445964455604551E-8</v>
      </c>
      <c r="F66" s="254">
        <f t="shared" si="1"/>
        <v>3.8862325251102449E-7</v>
      </c>
      <c r="H66" s="252">
        <f t="shared" si="2"/>
        <v>603803.05193764635</v>
      </c>
      <c r="I66" s="253">
        <f t="shared" si="3"/>
        <v>603803.05193767173</v>
      </c>
      <c r="J66" s="254">
        <f t="shared" si="4"/>
        <v>-2.537854015827179E-8</v>
      </c>
      <c r="L66" s="255">
        <v>51201000</v>
      </c>
      <c r="M66" s="253">
        <f t="shared" si="8"/>
        <v>5018039</v>
      </c>
      <c r="N66" s="445">
        <v>23359500</v>
      </c>
      <c r="O66" s="254">
        <f t="shared" si="9"/>
        <v>5018039</v>
      </c>
    </row>
    <row r="68" spans="1:15">
      <c r="C68" s="227" t="s">
        <v>437</v>
      </c>
      <c r="H68" s="227" t="s">
        <v>437</v>
      </c>
    </row>
    <row r="70" spans="1:15">
      <c r="C70" s="256" t="s">
        <v>438</v>
      </c>
      <c r="E70" s="1">
        <f>E7</f>
        <v>3560290.2243342185</v>
      </c>
      <c r="H70" s="256" t="s">
        <v>439</v>
      </c>
      <c r="K70" s="1">
        <f>I7</f>
        <v>603803.05193767173</v>
      </c>
    </row>
    <row r="71" spans="1:15">
      <c r="C71" s="1" t="s">
        <v>440</v>
      </c>
      <c r="F71" s="1">
        <f>E70</f>
        <v>3560290.2243342185</v>
      </c>
      <c r="H71" s="256" t="s">
        <v>441</v>
      </c>
      <c r="L71" s="1">
        <f>K70</f>
        <v>603803.05193767173</v>
      </c>
    </row>
    <row r="73" spans="1:15">
      <c r="C73" s="227" t="s">
        <v>442</v>
      </c>
      <c r="H73" s="227" t="s">
        <v>442</v>
      </c>
    </row>
    <row r="75" spans="1:15">
      <c r="C75" s="256" t="s">
        <v>438</v>
      </c>
      <c r="E75" s="1">
        <f>E8</f>
        <v>3575692.6880638725</v>
      </c>
      <c r="H75" s="256" t="s">
        <v>439</v>
      </c>
      <c r="K75" s="1">
        <f>I8</f>
        <v>603803.05193767173</v>
      </c>
    </row>
    <row r="76" spans="1:15">
      <c r="C76" s="1" t="s">
        <v>440</v>
      </c>
      <c r="F76" s="1">
        <f>E75</f>
        <v>3575692.6880638725</v>
      </c>
      <c r="H76" s="256" t="s">
        <v>441</v>
      </c>
      <c r="L76" s="1">
        <f>K75</f>
        <v>603803.05193767173</v>
      </c>
    </row>
    <row r="78" spans="1:15">
      <c r="C78" s="1" t="s">
        <v>443</v>
      </c>
      <c r="E78" s="1">
        <f>D8</f>
        <v>3420000</v>
      </c>
    </row>
    <row r="79" spans="1:15">
      <c r="C79" s="1" t="s">
        <v>444</v>
      </c>
      <c r="F79" s="1">
        <f>E78</f>
        <v>3420000</v>
      </c>
    </row>
    <row r="81" spans="12:17">
      <c r="L81" s="227" t="s">
        <v>448</v>
      </c>
    </row>
    <row r="82" spans="12:17">
      <c r="M82" s="1" t="s">
        <v>445</v>
      </c>
      <c r="P82" s="1">
        <f>SUM(E41:E52)</f>
        <v>47997131.453324303</v>
      </c>
    </row>
    <row r="83" spans="12:17">
      <c r="M83" s="1" t="s">
        <v>422</v>
      </c>
      <c r="Q83" s="1">
        <f>P82</f>
        <v>47997131.453324303</v>
      </c>
    </row>
    <row r="85" spans="12:17">
      <c r="M85" s="256" t="s">
        <v>446</v>
      </c>
      <c r="P85" s="1">
        <f>SUM(I41:I52)</f>
        <v>7245636.6232520593</v>
      </c>
    </row>
    <row r="86" spans="12:17">
      <c r="M86" s="256" t="s">
        <v>447</v>
      </c>
      <c r="Q86" s="1">
        <f>P85</f>
        <v>7245636.6232520593</v>
      </c>
    </row>
    <row r="88" spans="12:17">
      <c r="L88" s="227" t="s">
        <v>1032</v>
      </c>
    </row>
    <row r="89" spans="12:17">
      <c r="L89" s="257"/>
      <c r="M89" s="1" t="s">
        <v>422</v>
      </c>
      <c r="P89" s="1">
        <f>SUM(O53:O64)</f>
        <v>59006562</v>
      </c>
    </row>
    <row r="90" spans="12:17">
      <c r="L90" s="257">
        <v>51201000</v>
      </c>
      <c r="M90" s="257" t="s">
        <v>86</v>
      </c>
      <c r="Q90" s="1">
        <f>SUM(M53:M64)</f>
        <v>59006562</v>
      </c>
    </row>
    <row r="92" spans="12:17">
      <c r="L92" s="227" t="s">
        <v>1044</v>
      </c>
    </row>
    <row r="93" spans="12:17">
      <c r="M93" s="1" t="s">
        <v>445</v>
      </c>
      <c r="P93" s="1">
        <f>SUM(E53:E64)</f>
        <v>30771318.42204852</v>
      </c>
    </row>
    <row r="94" spans="12:17">
      <c r="M94" s="1" t="s">
        <v>422</v>
      </c>
      <c r="Q94" s="1">
        <f>P93</f>
        <v>30771318.42204852</v>
      </c>
    </row>
    <row r="96" spans="12:17">
      <c r="M96" s="256" t="s">
        <v>446</v>
      </c>
      <c r="P96" s="1">
        <f>SUM(I53:I64)</f>
        <v>7245636.6232520593</v>
      </c>
    </row>
    <row r="97" spans="13:17">
      <c r="M97" s="256" t="s">
        <v>447</v>
      </c>
      <c r="Q97" s="1">
        <f>P96</f>
        <v>7245636.6232520593</v>
      </c>
    </row>
  </sheetData>
  <mergeCells count="3">
    <mergeCell ref="C3:F3"/>
    <mergeCell ref="H3:J3"/>
    <mergeCell ref="L5:O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A6E26-6227-974E-9882-8D5E8237E6A2}">
  <dimension ref="A1:XFD67"/>
  <sheetViews>
    <sheetView workbookViewId="0"/>
  </sheetViews>
  <sheetFormatPr baseColWidth="10" defaultRowHeight="15"/>
  <cols>
    <col min="1" max="1" width="10.5" style="22" customWidth="1"/>
    <col min="2" max="2" width="31.375" style="23" customWidth="1"/>
    <col min="3" max="3" width="16.5" style="23" bestFit="1" customWidth="1"/>
    <col min="4" max="4" width="13.125" style="23" customWidth="1"/>
    <col min="5" max="5" width="21.5" style="23" bestFit="1" customWidth="1"/>
    <col min="6" max="6" width="12.125" style="26" bestFit="1" customWidth="1"/>
    <col min="7" max="7" width="13.125" style="26" bestFit="1" customWidth="1"/>
    <col min="8" max="8" width="13.125" style="26" customWidth="1"/>
    <col min="9" max="9" width="46.625" style="23" customWidth="1"/>
    <col min="10" max="10" width="10.5" style="22" customWidth="1"/>
    <col min="11" max="11" width="31.375" style="23" customWidth="1"/>
    <col min="12" max="12" width="10.875" style="23"/>
    <col min="13" max="13" width="17.375" style="23" customWidth="1"/>
    <col min="14" max="15" width="11.625" style="23" bestFit="1" customWidth="1"/>
    <col min="16" max="18" width="14.375" style="23" customWidth="1"/>
    <col min="19" max="19" width="23.5" style="23" bestFit="1" customWidth="1"/>
    <col min="20" max="20" width="12.375" style="23" customWidth="1"/>
    <col min="21" max="16383" width="10.875" style="23"/>
    <col min="16384" max="16384" width="27.375" style="23" bestFit="1" customWidth="1"/>
  </cols>
  <sheetData>
    <row r="1" spans="1:19 16384:16384">
      <c r="C1" s="24" t="s">
        <v>1061</v>
      </c>
      <c r="F1" s="23"/>
      <c r="XFD1" s="27" t="s">
        <v>412</v>
      </c>
    </row>
    <row r="2" spans="1:19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F2" s="24" t="s">
        <v>311</v>
      </c>
      <c r="XFD2" s="27" t="s">
        <v>413</v>
      </c>
    </row>
    <row r="3" spans="1:19 16384:16384">
      <c r="A3" s="22">
        <v>16259501</v>
      </c>
      <c r="B3" s="23" t="s">
        <v>266</v>
      </c>
      <c r="C3" s="23">
        <v>416249657.66000003</v>
      </c>
      <c r="D3" s="23">
        <f ca="1">SUMIF($A$15:$C$30,A3,$C$15:$C$30)-C3</f>
        <v>0</v>
      </c>
      <c r="E3" s="23">
        <f>C3-'HW PYMES'!I50</f>
        <v>0</v>
      </c>
      <c r="F3" s="23"/>
      <c r="XFD3" s="27" t="s">
        <v>414</v>
      </c>
    </row>
    <row r="4" spans="1:19 16384:16384">
      <c r="A4" s="22">
        <v>16350100</v>
      </c>
      <c r="B4" s="23" t="s">
        <v>31</v>
      </c>
      <c r="C4" s="23">
        <v>104477541</v>
      </c>
      <c r="D4" s="23">
        <f ca="1">SUMIF($A$15:$C$30,A4,$C$15:$C$30)-C4</f>
        <v>0</v>
      </c>
      <c r="E4" s="23">
        <f>C4-'HW PYMES'!I51</f>
        <v>0</v>
      </c>
      <c r="F4" s="23"/>
      <c r="XFD4" s="27" t="s">
        <v>415</v>
      </c>
    </row>
    <row r="5" spans="1:19 16384:16384">
      <c r="A5" s="22">
        <v>16984000</v>
      </c>
      <c r="B5" s="23" t="s">
        <v>32</v>
      </c>
      <c r="C5" s="23">
        <v>-12420425.949999999</v>
      </c>
      <c r="D5" s="23">
        <f ca="1">-SUMIF($J$15:$O$30,A5,$O$15:$O$30)-C5</f>
        <v>0</v>
      </c>
      <c r="E5" s="23">
        <f>C5-'HW PYMES'!I53</f>
        <v>0</v>
      </c>
      <c r="F5" s="23"/>
      <c r="XFD5" s="27" t="s">
        <v>416</v>
      </c>
    </row>
    <row r="6" spans="1:19 16384:16384">
      <c r="C6" s="29">
        <f>SUM(C3:C5)</f>
        <v>508306772.71000004</v>
      </c>
      <c r="F6" s="23"/>
      <c r="XFD6" s="27" t="s">
        <v>418</v>
      </c>
    </row>
    <row r="7" spans="1:19 16384:16384">
      <c r="B7" s="30" t="s">
        <v>206</v>
      </c>
      <c r="C7" s="30">
        <f>C6-R30</f>
        <v>-0.28999996185302734</v>
      </c>
      <c r="F7" s="23"/>
      <c r="G7" s="23"/>
      <c r="H7" s="23"/>
      <c r="K7" s="22"/>
    </row>
    <row r="8" spans="1:19 16384:16384">
      <c r="F8" s="23"/>
      <c r="G8" s="23"/>
      <c r="H8" s="23"/>
      <c r="K8" s="22"/>
    </row>
    <row r="9" spans="1:19 16384:16384">
      <c r="G9" s="110" t="s">
        <v>371</v>
      </c>
      <c r="H9" s="111">
        <v>29753</v>
      </c>
      <c r="K9" s="22"/>
    </row>
    <row r="10" spans="1:19 16384:16384">
      <c r="G10" s="110" t="s">
        <v>373</v>
      </c>
      <c r="H10" s="111">
        <v>31859</v>
      </c>
      <c r="K10" s="22"/>
    </row>
    <row r="11" spans="1:19 16384:16384">
      <c r="G11" s="173" t="s">
        <v>404</v>
      </c>
      <c r="H11" s="174">
        <v>33156</v>
      </c>
      <c r="K11" s="22"/>
      <c r="L11" s="110" t="s">
        <v>372</v>
      </c>
    </row>
    <row r="12" spans="1:19 16384:16384">
      <c r="G12" s="173" t="s">
        <v>406</v>
      </c>
      <c r="H12" s="174">
        <v>34270</v>
      </c>
      <c r="K12" s="22"/>
      <c r="L12" s="112">
        <v>44196</v>
      </c>
    </row>
    <row r="13" spans="1:19 16384:16384" ht="15" customHeight="1">
      <c r="A13" s="474" t="s">
        <v>209</v>
      </c>
      <c r="B13" s="476" t="s">
        <v>210</v>
      </c>
      <c r="C13" s="513" t="s">
        <v>1064</v>
      </c>
      <c r="D13" s="493" t="s">
        <v>263</v>
      </c>
      <c r="E13" s="493" t="s">
        <v>407</v>
      </c>
      <c r="F13" s="478" t="s">
        <v>381</v>
      </c>
      <c r="G13" s="485" t="s">
        <v>408</v>
      </c>
      <c r="H13" s="478" t="s">
        <v>382</v>
      </c>
      <c r="I13" s="479" t="s">
        <v>417</v>
      </c>
      <c r="J13" s="474" t="s">
        <v>209</v>
      </c>
      <c r="K13" s="476" t="s">
        <v>210</v>
      </c>
      <c r="L13" s="479" t="s">
        <v>390</v>
      </c>
      <c r="M13" s="479" t="s">
        <v>391</v>
      </c>
      <c r="N13" s="475" t="s">
        <v>409</v>
      </c>
      <c r="O13" s="475" t="s">
        <v>410</v>
      </c>
      <c r="P13" s="503" t="s">
        <v>394</v>
      </c>
      <c r="Q13" s="503" t="s">
        <v>411</v>
      </c>
      <c r="R13" s="503" t="s">
        <v>396</v>
      </c>
      <c r="S13" s="476" t="s">
        <v>311</v>
      </c>
    </row>
    <row r="14" spans="1:19 16384:16384" ht="35.1" customHeight="1">
      <c r="A14" s="475"/>
      <c r="B14" s="477"/>
      <c r="C14" s="514"/>
      <c r="D14" s="479"/>
      <c r="E14" s="479"/>
      <c r="F14" s="472"/>
      <c r="G14" s="486"/>
      <c r="H14" s="472"/>
      <c r="I14" s="480"/>
      <c r="J14" s="475"/>
      <c r="K14" s="477"/>
      <c r="L14" s="480"/>
      <c r="M14" s="480"/>
      <c r="N14" s="500"/>
      <c r="O14" s="500"/>
      <c r="P14" s="504"/>
      <c r="Q14" s="504"/>
      <c r="R14" s="504"/>
      <c r="S14" s="477"/>
    </row>
    <row r="15" spans="1:19 16384:16384">
      <c r="A15" s="22">
        <v>16350100</v>
      </c>
      <c r="B15" s="23" t="s">
        <v>31</v>
      </c>
      <c r="C15" s="73">
        <v>16104713</v>
      </c>
      <c r="D15" s="73">
        <v>16104713</v>
      </c>
      <c r="E15" s="36" t="s">
        <v>412</v>
      </c>
      <c r="F15" s="224">
        <v>43001</v>
      </c>
      <c r="G15" s="116">
        <v>5</v>
      </c>
      <c r="H15" s="116" t="str">
        <f t="shared" ref="H15:H19" si="0">IF(OR(E15="Intangible en desarrollo",E15="Programas de computador"),IF(D15&gt;($H$12*50),"SI","NO"),"N/A")</f>
        <v>SI</v>
      </c>
      <c r="I15" s="225" t="s">
        <v>1005</v>
      </c>
      <c r="J15" s="22">
        <v>16984000</v>
      </c>
      <c r="K15" s="23" t="s">
        <v>32</v>
      </c>
      <c r="L15" s="116">
        <f>IF(ROUND(($L$12-F15)/30,0)&gt;(G15*12),(G15*12),(ROUND(($L$12-F15)/30,0)))-1</f>
        <v>39</v>
      </c>
      <c r="M15" s="116">
        <f>(G15*12)-L15</f>
        <v>21</v>
      </c>
      <c r="N15" s="38">
        <f>D15/(G15*12)</f>
        <v>268411.88333333336</v>
      </c>
      <c r="O15" s="38">
        <f>IF(F15&gt;0,L15*N15,0)</f>
        <v>10468063.450000001</v>
      </c>
      <c r="P15" s="38">
        <f>ROUND(IF(F15&gt;0,D15,0),0)</f>
        <v>16104713</v>
      </c>
      <c r="Q15" s="38">
        <f>ROUND(IF(F15&gt;0,O15,0),0)</f>
        <v>10468063</v>
      </c>
      <c r="R15" s="38">
        <f>P15-Q15</f>
        <v>5636650</v>
      </c>
    </row>
    <row r="16" spans="1:19 16384:16384">
      <c r="A16" s="22">
        <v>16350100</v>
      </c>
      <c r="B16" s="23" t="s">
        <v>31</v>
      </c>
      <c r="C16" s="73">
        <v>3549750</v>
      </c>
      <c r="D16" s="73">
        <v>3549750</v>
      </c>
      <c r="E16" s="36" t="s">
        <v>412</v>
      </c>
      <c r="F16" s="224">
        <v>43190</v>
      </c>
      <c r="G16" s="116">
        <v>5</v>
      </c>
      <c r="H16" s="116" t="str">
        <f t="shared" si="0"/>
        <v>SI</v>
      </c>
      <c r="I16" s="225" t="s">
        <v>1005</v>
      </c>
      <c r="J16" s="22">
        <v>16984000</v>
      </c>
      <c r="K16" s="23" t="s">
        <v>32</v>
      </c>
      <c r="L16" s="116">
        <f>IF(ROUND(($L$12-F16)/30,0)&gt;(G16*12),(G16*12),(ROUND(($L$12-F16)/30,0)))-1</f>
        <v>33</v>
      </c>
      <c r="M16" s="116">
        <f>(G16*12)-L16</f>
        <v>27</v>
      </c>
      <c r="N16" s="38">
        <f>D16/(G16*12)</f>
        <v>59162.5</v>
      </c>
      <c r="O16" s="38">
        <f>IF(F16&gt;0,L16*N16,0)</f>
        <v>1952362.5</v>
      </c>
      <c r="P16" s="38">
        <f>ROUND(IF(F16&gt;0,D16,0),0)</f>
        <v>3549750</v>
      </c>
      <c r="Q16" s="38">
        <f>ROUND(IF(F16&gt;0,O16,0),0)</f>
        <v>1952363</v>
      </c>
      <c r="R16" s="38">
        <f>P16-Q16</f>
        <v>1597387</v>
      </c>
    </row>
    <row r="17" spans="1:19">
      <c r="A17" s="22">
        <v>16350100</v>
      </c>
      <c r="B17" s="23" t="s">
        <v>31</v>
      </c>
      <c r="C17" s="73">
        <v>0</v>
      </c>
      <c r="D17" s="73">
        <v>2142000</v>
      </c>
      <c r="E17" s="36" t="s">
        <v>412</v>
      </c>
      <c r="F17" s="224">
        <v>43511</v>
      </c>
      <c r="G17" s="116">
        <v>1</v>
      </c>
      <c r="H17" s="116" t="str">
        <f t="shared" si="0"/>
        <v>SI</v>
      </c>
      <c r="I17" s="225" t="s">
        <v>1005</v>
      </c>
      <c r="J17" s="22">
        <v>16984000</v>
      </c>
      <c r="K17" s="23" t="s">
        <v>32</v>
      </c>
      <c r="L17" s="116">
        <f t="shared" ref="L17:L18" si="1">IF(ROUND(($L$12-F17)/30,0)&gt;(G17*12),(G17*12),(ROUND(($L$12-F17)/30,0)))</f>
        <v>12</v>
      </c>
      <c r="M17" s="116">
        <f>(G17*12)-L17</f>
        <v>0</v>
      </c>
      <c r="N17" s="38">
        <f>C17/(G17*12)</f>
        <v>0</v>
      </c>
      <c r="O17" s="38">
        <f t="shared" ref="O17:O18" si="2">IF(F17&gt;0,L17*N17,0)</f>
        <v>0</v>
      </c>
      <c r="P17" s="38">
        <f>ROUND(IF(F17&gt;0,C17,0),0)</f>
        <v>0</v>
      </c>
      <c r="Q17" s="38">
        <f t="shared" ref="Q17:Q21" si="3">ROUND(IF(F17&gt;0,O17,0),0)</f>
        <v>0</v>
      </c>
      <c r="R17" s="38">
        <f>P17-Q17</f>
        <v>0</v>
      </c>
    </row>
    <row r="18" spans="1:19">
      <c r="A18" s="22">
        <v>16350100</v>
      </c>
      <c r="B18" s="23" t="s">
        <v>31</v>
      </c>
      <c r="C18" s="73">
        <v>0</v>
      </c>
      <c r="D18" s="73">
        <v>1901620</v>
      </c>
      <c r="E18" s="36" t="s">
        <v>412</v>
      </c>
      <c r="F18" s="224">
        <v>43522</v>
      </c>
      <c r="G18" s="116">
        <v>1</v>
      </c>
      <c r="H18" s="116" t="str">
        <f t="shared" si="0"/>
        <v>SI</v>
      </c>
      <c r="I18" s="225" t="s">
        <v>1005</v>
      </c>
      <c r="J18" s="22">
        <v>16984000</v>
      </c>
      <c r="K18" s="23" t="s">
        <v>32</v>
      </c>
      <c r="L18" s="116">
        <f t="shared" si="1"/>
        <v>12</v>
      </c>
      <c r="M18" s="116">
        <f>(G18*12)-L18</f>
        <v>0</v>
      </c>
      <c r="N18" s="38">
        <f t="shared" ref="N18:N19" si="4">C18/(G18*12)</f>
        <v>0</v>
      </c>
      <c r="O18" s="38">
        <f t="shared" si="2"/>
        <v>0</v>
      </c>
      <c r="P18" s="38">
        <f t="shared" ref="P18:P19" si="5">ROUND(IF(F18&gt;0,C18,0),0)</f>
        <v>0</v>
      </c>
      <c r="Q18" s="38">
        <f t="shared" si="3"/>
        <v>0</v>
      </c>
      <c r="R18" s="38">
        <f>P18-Q18</f>
        <v>0</v>
      </c>
    </row>
    <row r="19" spans="1:19">
      <c r="A19" s="22">
        <v>16350100</v>
      </c>
      <c r="B19" s="23" t="s">
        <v>31</v>
      </c>
      <c r="C19" s="73">
        <v>0</v>
      </c>
      <c r="D19" s="73">
        <v>2124150</v>
      </c>
      <c r="E19" s="36" t="s">
        <v>412</v>
      </c>
      <c r="F19" s="224">
        <v>43820</v>
      </c>
      <c r="G19" s="116">
        <v>1</v>
      </c>
      <c r="H19" s="116" t="str">
        <f t="shared" si="0"/>
        <v>SI</v>
      </c>
      <c r="I19" s="225" t="s">
        <v>1005</v>
      </c>
      <c r="J19" s="22">
        <v>16984000</v>
      </c>
      <c r="K19" s="23" t="s">
        <v>32</v>
      </c>
      <c r="L19" s="116">
        <f>IF(ROUND(($L$12-F19)/30,0)&gt;(G19*12),(G19*12),(ROUND(($L$12-F19)/30,0)))</f>
        <v>12</v>
      </c>
      <c r="M19" s="116">
        <f>(G19*12)-L19</f>
        <v>0</v>
      </c>
      <c r="N19" s="38">
        <f t="shared" si="4"/>
        <v>0</v>
      </c>
      <c r="O19" s="38">
        <f t="shared" ref="O19:O21" si="6">IF(F19&gt;0,L19*N19,0)</f>
        <v>0</v>
      </c>
      <c r="P19" s="38">
        <f t="shared" si="5"/>
        <v>0</v>
      </c>
      <c r="Q19" s="38">
        <f t="shared" si="3"/>
        <v>0</v>
      </c>
      <c r="R19" s="38">
        <f>P19-Q19</f>
        <v>0</v>
      </c>
    </row>
    <row r="20" spans="1:19" s="22" customFormat="1"/>
    <row r="21" spans="1:19">
      <c r="A21" s="22">
        <v>16350100</v>
      </c>
      <c r="B21" s="23" t="s">
        <v>31</v>
      </c>
      <c r="C21" s="73">
        <f>5780095+6403280</f>
        <v>12183375</v>
      </c>
      <c r="D21" s="73">
        <v>12183375</v>
      </c>
      <c r="E21" s="36" t="s">
        <v>412</v>
      </c>
      <c r="F21" s="224">
        <v>43901</v>
      </c>
      <c r="G21" s="116" t="s">
        <v>419</v>
      </c>
      <c r="H21" s="116" t="str">
        <f t="shared" ref="H21:H27" si="7">IF(OR(E21="Intangible en desarrollo",E21="Programas de computador"),IF(D21&gt;($H$12*50),"SI","NO"),"N/A")</f>
        <v>SI</v>
      </c>
      <c r="I21" s="225" t="s">
        <v>1005</v>
      </c>
      <c r="L21" s="116">
        <f>IF(G21="Indefinida",0,IF(ROUND(($L$12-F19)/30,0)&gt;(G19*12),(G19*12),(ROUND(($L$12-F19)/30,0))))</f>
        <v>0</v>
      </c>
      <c r="M21" s="116">
        <f>IF(G21="Indefinida",0,((G21*12)-L21))</f>
        <v>0</v>
      </c>
      <c r="N21" s="38">
        <f>IF(G21="Indefinida",0,(D21/(G21*12)))</f>
        <v>0</v>
      </c>
      <c r="O21" s="38">
        <f t="shared" si="6"/>
        <v>0</v>
      </c>
      <c r="P21" s="38">
        <f t="shared" ref="P21" si="8">ROUND(IF(F21&gt;0,D21,0),0)</f>
        <v>12183375</v>
      </c>
      <c r="Q21" s="38">
        <f t="shared" si="3"/>
        <v>0</v>
      </c>
      <c r="R21" s="38">
        <f t="shared" ref="R21" si="9">P21-Q21</f>
        <v>12183375</v>
      </c>
    </row>
    <row r="22" spans="1:19">
      <c r="A22" s="22">
        <v>16350100</v>
      </c>
      <c r="B22" s="23" t="s">
        <v>31</v>
      </c>
      <c r="C22" s="23">
        <f>5638990+6246950</f>
        <v>11885940</v>
      </c>
      <c r="D22" s="73">
        <v>11885940</v>
      </c>
      <c r="E22" s="36" t="s">
        <v>412</v>
      </c>
      <c r="F22" s="224">
        <v>43933</v>
      </c>
      <c r="G22" s="116" t="s">
        <v>419</v>
      </c>
      <c r="H22" s="116" t="str">
        <f t="shared" si="7"/>
        <v>SI</v>
      </c>
      <c r="I22" s="225" t="s">
        <v>1005</v>
      </c>
      <c r="L22" s="116">
        <f t="shared" ref="L22:L27" si="10">IF(G22="Indefinida",0,IF(ROUND(($L$12-F20)/30,0)&gt;(G20*12),(G20*12),(ROUND(($L$12-F20)/30,0))))</f>
        <v>0</v>
      </c>
      <c r="M22" s="116">
        <f t="shared" ref="M22:M27" si="11">IF(G22="Indefinida",0,((G22*12)-L22))</f>
        <v>0</v>
      </c>
      <c r="N22" s="38">
        <f t="shared" ref="N22:N29" si="12">IF(G22="Indefinida",0,(D22/(G22*12)))</f>
        <v>0</v>
      </c>
      <c r="O22" s="38">
        <f t="shared" ref="O22:O27" si="13">IF(F22&gt;0,L22*N22,0)</f>
        <v>0</v>
      </c>
      <c r="P22" s="38">
        <f t="shared" ref="P22:P27" si="14">ROUND(IF(F22&gt;0,D22,0),0)</f>
        <v>11885940</v>
      </c>
      <c r="Q22" s="38">
        <f t="shared" ref="Q22:Q27" si="15">ROUND(IF(F22&gt;0,O22,0),0)</f>
        <v>0</v>
      </c>
      <c r="R22" s="38">
        <f t="shared" ref="R22:R27" si="16">P22-Q22</f>
        <v>11885940</v>
      </c>
    </row>
    <row r="23" spans="1:19">
      <c r="A23" s="22">
        <v>16350100</v>
      </c>
      <c r="B23" s="23" t="s">
        <v>31</v>
      </c>
      <c r="C23" s="23">
        <f>6000394+6647318</f>
        <v>12647712</v>
      </c>
      <c r="D23" s="73">
        <v>12647712</v>
      </c>
      <c r="E23" s="36" t="s">
        <v>412</v>
      </c>
      <c r="F23" s="224">
        <v>43964</v>
      </c>
      <c r="G23" s="116" t="s">
        <v>419</v>
      </c>
      <c r="H23" s="116" t="str">
        <f t="shared" si="7"/>
        <v>SI</v>
      </c>
      <c r="I23" s="225" t="s">
        <v>1005</v>
      </c>
      <c r="L23" s="116">
        <f t="shared" si="10"/>
        <v>0</v>
      </c>
      <c r="M23" s="116">
        <f t="shared" si="11"/>
        <v>0</v>
      </c>
      <c r="N23" s="38">
        <f t="shared" si="12"/>
        <v>0</v>
      </c>
      <c r="O23" s="38">
        <f t="shared" si="13"/>
        <v>0</v>
      </c>
      <c r="P23" s="38">
        <f t="shared" si="14"/>
        <v>12647712</v>
      </c>
      <c r="Q23" s="38">
        <f t="shared" si="15"/>
        <v>0</v>
      </c>
      <c r="R23" s="38">
        <f t="shared" si="16"/>
        <v>12647712</v>
      </c>
    </row>
    <row r="24" spans="1:19">
      <c r="A24" s="22">
        <v>16350100</v>
      </c>
      <c r="B24" s="23" t="s">
        <v>31</v>
      </c>
      <c r="C24" s="23">
        <f>6047579+6699661</f>
        <v>12747240</v>
      </c>
      <c r="D24" s="73">
        <v>12747240</v>
      </c>
      <c r="E24" s="36" t="s">
        <v>412</v>
      </c>
      <c r="F24" s="224">
        <v>43986</v>
      </c>
      <c r="G24" s="116" t="s">
        <v>419</v>
      </c>
      <c r="H24" s="116" t="str">
        <f t="shared" si="7"/>
        <v>SI</v>
      </c>
      <c r="I24" s="225" t="s">
        <v>1005</v>
      </c>
      <c r="L24" s="116">
        <f t="shared" si="10"/>
        <v>0</v>
      </c>
      <c r="M24" s="116">
        <f t="shared" si="11"/>
        <v>0</v>
      </c>
      <c r="N24" s="38">
        <f t="shared" si="12"/>
        <v>0</v>
      </c>
      <c r="O24" s="38">
        <f t="shared" si="13"/>
        <v>0</v>
      </c>
      <c r="P24" s="38">
        <f t="shared" si="14"/>
        <v>12747240</v>
      </c>
      <c r="Q24" s="38">
        <f t="shared" si="15"/>
        <v>0</v>
      </c>
      <c r="R24" s="38">
        <f t="shared" si="16"/>
        <v>12747240</v>
      </c>
    </row>
    <row r="25" spans="1:19">
      <c r="A25" s="22">
        <v>16350100</v>
      </c>
      <c r="B25" s="23" t="s">
        <v>31</v>
      </c>
      <c r="C25" s="73">
        <f>5884164+6518556</f>
        <v>12402720</v>
      </c>
      <c r="D25" s="73">
        <v>12402720</v>
      </c>
      <c r="E25" s="36" t="s">
        <v>412</v>
      </c>
      <c r="F25" s="224">
        <v>44025</v>
      </c>
      <c r="G25" s="116" t="s">
        <v>419</v>
      </c>
      <c r="H25" s="116" t="str">
        <f t="shared" si="7"/>
        <v>SI</v>
      </c>
      <c r="I25" s="225" t="s">
        <v>1005</v>
      </c>
      <c r="L25" s="116">
        <f t="shared" si="10"/>
        <v>0</v>
      </c>
      <c r="M25" s="116">
        <f t="shared" si="11"/>
        <v>0</v>
      </c>
      <c r="N25" s="38">
        <f t="shared" si="12"/>
        <v>0</v>
      </c>
      <c r="O25" s="38">
        <f t="shared" si="13"/>
        <v>0</v>
      </c>
      <c r="P25" s="38">
        <f t="shared" si="14"/>
        <v>12402720</v>
      </c>
      <c r="Q25" s="38">
        <f t="shared" si="15"/>
        <v>0</v>
      </c>
      <c r="R25" s="38">
        <f t="shared" si="16"/>
        <v>12402720</v>
      </c>
    </row>
    <row r="26" spans="1:19">
      <c r="A26" s="22">
        <v>16350100</v>
      </c>
      <c r="B26" s="23" t="s">
        <v>31</v>
      </c>
      <c r="C26" s="23">
        <f>6265545+6941055</f>
        <v>13206600</v>
      </c>
      <c r="D26" s="73">
        <v>13206600</v>
      </c>
      <c r="E26" s="36" t="s">
        <v>412</v>
      </c>
      <c r="F26" s="224">
        <v>44059</v>
      </c>
      <c r="G26" s="116" t="s">
        <v>419</v>
      </c>
      <c r="H26" s="116" t="str">
        <f t="shared" si="7"/>
        <v>SI</v>
      </c>
      <c r="I26" s="225" t="s">
        <v>1005</v>
      </c>
      <c r="L26" s="116">
        <f t="shared" si="10"/>
        <v>0</v>
      </c>
      <c r="M26" s="116">
        <f t="shared" si="11"/>
        <v>0</v>
      </c>
      <c r="N26" s="38">
        <f t="shared" si="12"/>
        <v>0</v>
      </c>
      <c r="O26" s="38">
        <f t="shared" si="13"/>
        <v>0</v>
      </c>
      <c r="P26" s="38">
        <f t="shared" si="14"/>
        <v>13206600</v>
      </c>
      <c r="Q26" s="38">
        <f t="shared" si="15"/>
        <v>0</v>
      </c>
      <c r="R26" s="38">
        <f t="shared" si="16"/>
        <v>13206600</v>
      </c>
    </row>
    <row r="27" spans="1:19">
      <c r="A27" s="22">
        <v>16350100</v>
      </c>
      <c r="B27" s="23" t="s">
        <v>31</v>
      </c>
      <c r="C27" s="23">
        <f>5161495+4587996</f>
        <v>9749491</v>
      </c>
      <c r="D27" s="73">
        <v>9749491</v>
      </c>
      <c r="E27" s="36" t="s">
        <v>412</v>
      </c>
      <c r="F27" s="224">
        <v>44177</v>
      </c>
      <c r="G27" s="116" t="s">
        <v>419</v>
      </c>
      <c r="H27" s="116" t="str">
        <f t="shared" si="7"/>
        <v>SI</v>
      </c>
      <c r="I27" s="225" t="s">
        <v>1005</v>
      </c>
      <c r="L27" s="116">
        <f t="shared" si="10"/>
        <v>0</v>
      </c>
      <c r="M27" s="116">
        <f t="shared" si="11"/>
        <v>0</v>
      </c>
      <c r="N27" s="38">
        <f t="shared" si="12"/>
        <v>0</v>
      </c>
      <c r="O27" s="38">
        <f t="shared" si="13"/>
        <v>0</v>
      </c>
      <c r="P27" s="38">
        <f t="shared" si="14"/>
        <v>9749491</v>
      </c>
      <c r="Q27" s="38">
        <f t="shared" si="15"/>
        <v>0</v>
      </c>
      <c r="R27" s="38">
        <f t="shared" si="16"/>
        <v>9749491</v>
      </c>
    </row>
    <row r="28" spans="1:19" s="22" customFormat="1"/>
    <row r="29" spans="1:19">
      <c r="A29" s="22">
        <v>16259501</v>
      </c>
      <c r="B29" s="23" t="s">
        <v>31</v>
      </c>
      <c r="C29" s="73">
        <v>416249657.66000003</v>
      </c>
      <c r="D29" s="73">
        <v>416249657.66000003</v>
      </c>
      <c r="E29" s="36" t="s">
        <v>412</v>
      </c>
      <c r="F29" s="224">
        <v>44196</v>
      </c>
      <c r="G29" s="116" t="s">
        <v>419</v>
      </c>
      <c r="H29" s="116" t="str">
        <f>IF(OR(E29="Intangible en desarrollo",E29="Programas de computador"),IF(D29&gt;($H$12*50),"SI","NO"),"N/A")</f>
        <v>SI</v>
      </c>
      <c r="I29" s="225" t="s">
        <v>1005</v>
      </c>
      <c r="L29" s="116">
        <f>IF(G29="Indefinida",0,IF(ROUND(($L$12-F27)/30,0)&gt;(G27*12),(G27*12),(ROUND(($L$12-F27)/30,0))))</f>
        <v>0</v>
      </c>
      <c r="M29" s="116">
        <f>IF(G29="Indefinida",0,((G29*12)-L29))</f>
        <v>0</v>
      </c>
      <c r="N29" s="38">
        <f t="shared" si="12"/>
        <v>0</v>
      </c>
      <c r="O29" s="38">
        <f t="shared" ref="O29" si="17">IF(F29&gt;0,L29*N29,0)</f>
        <v>0</v>
      </c>
      <c r="P29" s="38">
        <f t="shared" ref="P29" si="18">ROUND(IF(F29&gt;0,D29,0),0)</f>
        <v>416249658</v>
      </c>
      <c r="Q29" s="38">
        <f t="shared" ref="Q29" si="19">ROUND(IF(F29&gt;0,O29,0),0)</f>
        <v>0</v>
      </c>
      <c r="R29" s="38">
        <f t="shared" ref="R29" si="20">P29-Q29</f>
        <v>416249658</v>
      </c>
    </row>
    <row r="30" spans="1:19">
      <c r="C30" s="40">
        <f>SUM(C15:C29)</f>
        <v>520727198.66000003</v>
      </c>
      <c r="P30" s="40">
        <f>SUM(P15:P29)</f>
        <v>520727199</v>
      </c>
      <c r="Q30" s="40">
        <f>SUM(Q15:Q29)</f>
        <v>12420426</v>
      </c>
      <c r="R30" s="40">
        <f>SUM(R15:R29)</f>
        <v>508306773</v>
      </c>
    </row>
    <row r="31" spans="1:19">
      <c r="P31" s="23">
        <f>P30-C4-C3</f>
        <v>0.3399999737739563</v>
      </c>
      <c r="Q31" s="23">
        <f>Q30+C5</f>
        <v>5.000000074505806E-2</v>
      </c>
      <c r="R31" s="23">
        <f>R30-C6</f>
        <v>0.28999996185302734</v>
      </c>
    </row>
    <row r="32" spans="1:19">
      <c r="A32" s="41"/>
      <c r="B32" s="43"/>
      <c r="C32" s="43"/>
      <c r="D32" s="43"/>
      <c r="E32" s="43"/>
      <c r="F32" s="45"/>
      <c r="G32" s="45"/>
      <c r="H32" s="45"/>
      <c r="I32" s="43"/>
      <c r="J32" s="41"/>
      <c r="K32" s="43"/>
      <c r="L32" s="43"/>
      <c r="M32" s="43"/>
      <c r="N32" s="43"/>
      <c r="O32" s="43"/>
      <c r="P32" s="43"/>
      <c r="Q32" s="43"/>
      <c r="R32" s="43"/>
      <c r="S32" s="43"/>
    </row>
    <row r="33" spans="1:20 16384:16384">
      <c r="C33" s="24" t="s">
        <v>1061</v>
      </c>
      <c r="F33" s="23"/>
      <c r="XFD33" s="27"/>
    </row>
    <row r="34" spans="1:20 16384:16384">
      <c r="A34" s="337" t="s">
        <v>201</v>
      </c>
      <c r="B34" s="24" t="s">
        <v>202</v>
      </c>
      <c r="C34" s="24" t="s">
        <v>1030</v>
      </c>
      <c r="D34" s="24" t="s">
        <v>203</v>
      </c>
      <c r="E34" s="24" t="s">
        <v>261</v>
      </c>
      <c r="F34" s="24" t="s">
        <v>311</v>
      </c>
      <c r="XFD34" s="27" t="s">
        <v>413</v>
      </c>
    </row>
    <row r="35" spans="1:20 16384:16384">
      <c r="A35" s="22">
        <v>16259501</v>
      </c>
      <c r="B35" s="23" t="s">
        <v>720</v>
      </c>
      <c r="C35" s="23">
        <v>416249657.66000003</v>
      </c>
      <c r="D35" s="23">
        <f ca="1">SUMIF($A$47:$C$65,A35,$C$47:$C$65)-C35</f>
        <v>0</v>
      </c>
      <c r="E35" s="23">
        <f>C35-'HW PYMES'!M50</f>
        <v>0</v>
      </c>
      <c r="F35" s="23"/>
      <c r="XFD35" s="27" t="s">
        <v>414</v>
      </c>
    </row>
    <row r="36" spans="1:20 16384:16384">
      <c r="A36" s="22">
        <v>16350100</v>
      </c>
      <c r="B36" s="23" t="s">
        <v>31</v>
      </c>
      <c r="C36" s="23">
        <v>125581387.2</v>
      </c>
      <c r="D36" s="23">
        <f ca="1">SUMIF($A$47:$C$65,A36,$C$47:$C$65)-C36</f>
        <v>0</v>
      </c>
      <c r="E36" s="23">
        <f>C36-'HW PYMES'!M51</f>
        <v>0</v>
      </c>
      <c r="F36" s="23"/>
      <c r="XFD36" s="27" t="s">
        <v>415</v>
      </c>
    </row>
    <row r="37" spans="1:20 16384:16384">
      <c r="A37" s="22">
        <v>16984000</v>
      </c>
      <c r="B37" s="23" t="s">
        <v>32</v>
      </c>
      <c r="C37" s="23">
        <v>-46030315.749999985</v>
      </c>
      <c r="D37" s="23">
        <f ca="1">-SUMIF($J$47:$O$65,A37,$O$47:$O$65)-C37</f>
        <v>0</v>
      </c>
      <c r="E37" s="23">
        <f>C37-'HW PYMES'!M53</f>
        <v>0</v>
      </c>
      <c r="F37" s="23"/>
      <c r="XFD37" s="27" t="s">
        <v>416</v>
      </c>
    </row>
    <row r="38" spans="1:20 16384:16384">
      <c r="C38" s="29">
        <f>SUM(C35:C37)</f>
        <v>495800729.11000001</v>
      </c>
      <c r="F38" s="23"/>
      <c r="XFD38" s="27" t="s">
        <v>284</v>
      </c>
    </row>
    <row r="39" spans="1:20 16384:16384">
      <c r="B39" s="30" t="s">
        <v>206</v>
      </c>
      <c r="C39" s="30">
        <f>C38-R66</f>
        <v>0.11000001430511475</v>
      </c>
      <c r="F39" s="23"/>
      <c r="G39" s="23"/>
      <c r="H39" s="23"/>
      <c r="K39" s="22"/>
    </row>
    <row r="40" spans="1:20 16384:16384">
      <c r="F40" s="23"/>
      <c r="G40" s="110" t="s">
        <v>371</v>
      </c>
      <c r="H40" s="111">
        <v>29753</v>
      </c>
      <c r="K40" s="22"/>
    </row>
    <row r="41" spans="1:20 16384:16384">
      <c r="G41" s="110" t="s">
        <v>373</v>
      </c>
      <c r="H41" s="111">
        <v>31859</v>
      </c>
      <c r="K41" s="22"/>
    </row>
    <row r="42" spans="1:20 16384:16384">
      <c r="G42" s="173" t="s">
        <v>404</v>
      </c>
      <c r="H42" s="174">
        <v>33156</v>
      </c>
      <c r="K42" s="22"/>
    </row>
    <row r="43" spans="1:20 16384:16384">
      <c r="G43" s="173" t="s">
        <v>406</v>
      </c>
      <c r="H43" s="174">
        <v>34270</v>
      </c>
      <c r="K43" s="22"/>
      <c r="L43" s="110" t="s">
        <v>372</v>
      </c>
    </row>
    <row r="44" spans="1:20 16384:16384">
      <c r="G44" s="173" t="s">
        <v>768</v>
      </c>
      <c r="H44" s="174">
        <v>35607</v>
      </c>
      <c r="K44" s="22"/>
      <c r="L44" s="112">
        <v>44561</v>
      </c>
    </row>
    <row r="45" spans="1:20 16384:16384" ht="15" customHeight="1">
      <c r="A45" s="474" t="s">
        <v>209</v>
      </c>
      <c r="B45" s="476" t="s">
        <v>210</v>
      </c>
      <c r="C45" s="513" t="s">
        <v>1064</v>
      </c>
      <c r="D45" s="493" t="s">
        <v>263</v>
      </c>
      <c r="E45" s="493" t="s">
        <v>407</v>
      </c>
      <c r="F45" s="478" t="s">
        <v>381</v>
      </c>
      <c r="G45" s="485" t="s">
        <v>408</v>
      </c>
      <c r="H45" s="478" t="s">
        <v>382</v>
      </c>
      <c r="I45" s="479" t="s">
        <v>417</v>
      </c>
      <c r="J45" s="474" t="s">
        <v>209</v>
      </c>
      <c r="K45" s="476" t="s">
        <v>210</v>
      </c>
      <c r="L45" s="479" t="s">
        <v>390</v>
      </c>
      <c r="M45" s="479" t="s">
        <v>391</v>
      </c>
      <c r="N45" s="475" t="s">
        <v>409</v>
      </c>
      <c r="O45" s="475" t="s">
        <v>410</v>
      </c>
      <c r="P45" s="503" t="s">
        <v>394</v>
      </c>
      <c r="Q45" s="503" t="s">
        <v>411</v>
      </c>
      <c r="R45" s="503" t="s">
        <v>396</v>
      </c>
      <c r="S45" s="476" t="s">
        <v>311</v>
      </c>
      <c r="T45" s="476" t="s">
        <v>904</v>
      </c>
    </row>
    <row r="46" spans="1:20 16384:16384" ht="35.1" customHeight="1">
      <c r="A46" s="475"/>
      <c r="B46" s="477"/>
      <c r="C46" s="514"/>
      <c r="D46" s="479"/>
      <c r="E46" s="479"/>
      <c r="F46" s="472"/>
      <c r="G46" s="486"/>
      <c r="H46" s="472"/>
      <c r="I46" s="480"/>
      <c r="J46" s="475"/>
      <c r="K46" s="477"/>
      <c r="L46" s="480"/>
      <c r="M46" s="480"/>
      <c r="N46" s="500"/>
      <c r="O46" s="500"/>
      <c r="P46" s="504"/>
      <c r="Q46" s="504"/>
      <c r="R46" s="504"/>
      <c r="S46" s="477"/>
      <c r="T46" s="477"/>
    </row>
    <row r="47" spans="1:20 16384:16384">
      <c r="A47" s="22">
        <v>16350100</v>
      </c>
      <c r="B47" s="23" t="s">
        <v>31</v>
      </c>
      <c r="C47" s="73">
        <v>16104713</v>
      </c>
      <c r="D47" s="73">
        <v>16104713</v>
      </c>
      <c r="E47" s="36" t="s">
        <v>412</v>
      </c>
      <c r="F47" s="224">
        <v>43001</v>
      </c>
      <c r="G47" s="116">
        <v>5</v>
      </c>
      <c r="H47" s="116" t="str">
        <f t="shared" ref="H47:H51" si="21">IF(OR(E47="Intangible en desarrollo",E47="Programas de computador"),IF(D47&gt;($H$12*50),"SI","NO"),"N/A")</f>
        <v>SI</v>
      </c>
      <c r="I47" s="225" t="s">
        <v>1005</v>
      </c>
      <c r="J47" s="22">
        <v>16984000</v>
      </c>
      <c r="K47" s="23" t="s">
        <v>32</v>
      </c>
      <c r="L47" s="116">
        <f>IF(ROUND(($L$44-F47)/30,0)&gt;(G47*12),(G47*12),(ROUND(($L$44-F47)/30,0)))-1</f>
        <v>51</v>
      </c>
      <c r="M47" s="116">
        <f>(G47*12)-L47</f>
        <v>9</v>
      </c>
      <c r="N47" s="38">
        <f>D47/(G47*12)</f>
        <v>268411.88333333336</v>
      </c>
      <c r="O47" s="38">
        <f>IF(F47&gt;0,L47*N47,0)</f>
        <v>13689006.050000001</v>
      </c>
      <c r="P47" s="38">
        <f>ROUND(IF(F47&gt;0,D47,0),0)</f>
        <v>16104713</v>
      </c>
      <c r="Q47" s="38">
        <f>ROUND(IF(F47&gt;0,O47,0),0)</f>
        <v>13689006</v>
      </c>
      <c r="R47" s="38">
        <f>P47-Q47</f>
        <v>2415707</v>
      </c>
      <c r="T47" s="368">
        <f>Q47-Q15</f>
        <v>3220943</v>
      </c>
    </row>
    <row r="48" spans="1:20 16384:16384">
      <c r="A48" s="22">
        <v>16350100</v>
      </c>
      <c r="B48" s="23" t="s">
        <v>31</v>
      </c>
      <c r="C48" s="73">
        <v>3549750</v>
      </c>
      <c r="D48" s="73">
        <v>3549750</v>
      </c>
      <c r="E48" s="36" t="s">
        <v>412</v>
      </c>
      <c r="F48" s="224">
        <v>43190</v>
      </c>
      <c r="G48" s="116">
        <v>5</v>
      </c>
      <c r="H48" s="116" t="str">
        <f t="shared" si="21"/>
        <v>SI</v>
      </c>
      <c r="I48" s="225" t="s">
        <v>1005</v>
      </c>
      <c r="J48" s="22">
        <v>16984000</v>
      </c>
      <c r="K48" s="23" t="s">
        <v>32</v>
      </c>
      <c r="L48" s="116">
        <f>IF(ROUND(($L$44-F48)/30,0)&gt;(G48*12),(G48*12),(ROUND(($L$44-F48)/30,0)))-1</f>
        <v>45</v>
      </c>
      <c r="M48" s="116">
        <f>(G48*12)-L48</f>
        <v>15</v>
      </c>
      <c r="N48" s="38">
        <f>D48/(G48*12)</f>
        <v>59162.5</v>
      </c>
      <c r="O48" s="38">
        <f>IF(F48&gt;0,L48*N48,0)</f>
        <v>2662312.5</v>
      </c>
      <c r="P48" s="38">
        <f>ROUND(IF(F48&gt;0,D48,0),0)</f>
        <v>3549750</v>
      </c>
      <c r="Q48" s="38">
        <f>ROUND(IF(F48&gt;0,O48,0),0)</f>
        <v>2662313</v>
      </c>
      <c r="R48" s="38">
        <f>P48-Q48</f>
        <v>887437</v>
      </c>
      <c r="T48" s="369">
        <f t="shared" ref="T48:T51" si="22">Q48-Q16</f>
        <v>709950</v>
      </c>
    </row>
    <row r="49" spans="1:20">
      <c r="A49" s="22">
        <v>16350100</v>
      </c>
      <c r="B49" s="23" t="s">
        <v>31</v>
      </c>
      <c r="C49" s="73">
        <v>0</v>
      </c>
      <c r="D49" s="73">
        <v>2142000</v>
      </c>
      <c r="E49" s="36" t="s">
        <v>412</v>
      </c>
      <c r="F49" s="224">
        <v>43511</v>
      </c>
      <c r="G49" s="116">
        <v>1</v>
      </c>
      <c r="H49" s="116" t="str">
        <f t="shared" si="21"/>
        <v>SI</v>
      </c>
      <c r="I49" s="225" t="s">
        <v>1005</v>
      </c>
      <c r="J49" s="22">
        <v>16984000</v>
      </c>
      <c r="K49" s="23" t="s">
        <v>32</v>
      </c>
      <c r="L49" s="116">
        <f t="shared" ref="L49:L51" si="23">IF(ROUND(($L$44-F49)/30,0)&gt;(G49*12),(G49*12),(ROUND(($L$44-F49)/30,0)))</f>
        <v>12</v>
      </c>
      <c r="M49" s="116">
        <f>(G49*12)-L49</f>
        <v>0</v>
      </c>
      <c r="N49" s="38">
        <f>C49/(G49*12)</f>
        <v>0</v>
      </c>
      <c r="O49" s="38">
        <f t="shared" ref="O49:O51" si="24">IF(F49&gt;0,L49*N49,0)</f>
        <v>0</v>
      </c>
      <c r="P49" s="38">
        <f>ROUND(IF(F49&gt;0,C49,0),0)</f>
        <v>0</v>
      </c>
      <c r="Q49" s="38">
        <f t="shared" ref="Q49:Q51" si="25">ROUND(IF(F49&gt;0,O49,0),0)</f>
        <v>0</v>
      </c>
      <c r="R49" s="38">
        <f>P49-Q49</f>
        <v>0</v>
      </c>
      <c r="T49" s="369">
        <f t="shared" si="22"/>
        <v>0</v>
      </c>
    </row>
    <row r="50" spans="1:20">
      <c r="A50" s="22">
        <v>16350100</v>
      </c>
      <c r="B50" s="23" t="s">
        <v>31</v>
      </c>
      <c r="C50" s="73">
        <v>0</v>
      </c>
      <c r="D50" s="73">
        <v>1901620</v>
      </c>
      <c r="E50" s="36" t="s">
        <v>412</v>
      </c>
      <c r="F50" s="224">
        <v>43522</v>
      </c>
      <c r="G50" s="116">
        <v>1</v>
      </c>
      <c r="H50" s="116" t="str">
        <f t="shared" si="21"/>
        <v>SI</v>
      </c>
      <c r="I50" s="225" t="s">
        <v>1005</v>
      </c>
      <c r="J50" s="22">
        <v>16984000</v>
      </c>
      <c r="K50" s="23" t="s">
        <v>32</v>
      </c>
      <c r="L50" s="116">
        <f t="shared" si="23"/>
        <v>12</v>
      </c>
      <c r="M50" s="116">
        <f>(G50*12)-L50</f>
        <v>0</v>
      </c>
      <c r="N50" s="38">
        <f t="shared" ref="N50:N51" si="26">C50/(G50*12)</f>
        <v>0</v>
      </c>
      <c r="O50" s="38">
        <f t="shared" si="24"/>
        <v>0</v>
      </c>
      <c r="P50" s="38">
        <f t="shared" ref="P50:P51" si="27">ROUND(IF(F50&gt;0,C50,0),0)</f>
        <v>0</v>
      </c>
      <c r="Q50" s="38">
        <f t="shared" si="25"/>
        <v>0</v>
      </c>
      <c r="R50" s="38">
        <f>P50-Q50</f>
        <v>0</v>
      </c>
      <c r="T50" s="369">
        <f t="shared" si="22"/>
        <v>0</v>
      </c>
    </row>
    <row r="51" spans="1:20">
      <c r="A51" s="22">
        <v>16350100</v>
      </c>
      <c r="B51" s="23" t="s">
        <v>31</v>
      </c>
      <c r="C51" s="73">
        <v>0</v>
      </c>
      <c r="D51" s="73">
        <v>2124150</v>
      </c>
      <c r="E51" s="36" t="s">
        <v>412</v>
      </c>
      <c r="F51" s="224">
        <v>43820</v>
      </c>
      <c r="G51" s="116">
        <v>1</v>
      </c>
      <c r="H51" s="116" t="str">
        <f t="shared" si="21"/>
        <v>SI</v>
      </c>
      <c r="I51" s="225" t="s">
        <v>1005</v>
      </c>
      <c r="J51" s="22">
        <v>16984000</v>
      </c>
      <c r="K51" s="23" t="s">
        <v>32</v>
      </c>
      <c r="L51" s="116">
        <f t="shared" si="23"/>
        <v>12</v>
      </c>
      <c r="M51" s="116">
        <f>(G51*12)-L51</f>
        <v>0</v>
      </c>
      <c r="N51" s="38">
        <f t="shared" si="26"/>
        <v>0</v>
      </c>
      <c r="O51" s="38">
        <f t="shared" si="24"/>
        <v>0</v>
      </c>
      <c r="P51" s="38">
        <f t="shared" si="27"/>
        <v>0</v>
      </c>
      <c r="Q51" s="38">
        <f t="shared" si="25"/>
        <v>0</v>
      </c>
      <c r="R51" s="38">
        <f>P51-Q51</f>
        <v>0</v>
      </c>
      <c r="T51" s="370">
        <f t="shared" si="22"/>
        <v>0</v>
      </c>
    </row>
    <row r="52" spans="1:20" s="22" customFormat="1"/>
    <row r="53" spans="1:20">
      <c r="A53" s="22">
        <v>16350100</v>
      </c>
      <c r="B53" s="23" t="s">
        <v>31</v>
      </c>
      <c r="C53" s="73">
        <f>5780095+6403280</f>
        <v>12183375</v>
      </c>
      <c r="D53" s="73">
        <v>12183375</v>
      </c>
      <c r="E53" s="36" t="s">
        <v>412</v>
      </c>
      <c r="F53" s="224">
        <v>43901</v>
      </c>
      <c r="G53" s="116" t="s">
        <v>419</v>
      </c>
      <c r="H53" s="116" t="str">
        <f t="shared" ref="H53:H59" si="28">IF(OR(E53="Intangible en desarrollo",E53="Programas de computador"),IF(D53&gt;($H$12*50),"SI","NO"),"N/A")</f>
        <v>SI</v>
      </c>
      <c r="I53" s="225" t="s">
        <v>1005</v>
      </c>
      <c r="L53" s="116">
        <f>IF(G53="Indefinida",0,IF(ROUND(($L$12-F51)/30,0)&gt;(G51*12),(G51*12),(ROUND(($L$12-F51)/30,0))))</f>
        <v>0</v>
      </c>
      <c r="M53" s="116">
        <f>IF(G53="Indefinida",0,((G53*12)-L53))</f>
        <v>0</v>
      </c>
      <c r="N53" s="38">
        <f>IF(G53="Indefinida",0,(D53/(G53*12)))</f>
        <v>0</v>
      </c>
      <c r="O53" s="38">
        <f t="shared" ref="O53:O59" si="29">IF(F53&gt;0,L53*N53,0)</f>
        <v>0</v>
      </c>
      <c r="P53" s="38">
        <f t="shared" ref="P53:P58" si="30">ROUND(IF(F53&gt;0,D53,0),0)</f>
        <v>12183375</v>
      </c>
      <c r="Q53" s="38">
        <f t="shared" ref="Q53:Q59" si="31">ROUND(IF(F53&gt;0,O53,0),0)</f>
        <v>0</v>
      </c>
      <c r="R53" s="38">
        <f t="shared" ref="R53:R58" si="32">P53-Q53</f>
        <v>12183375</v>
      </c>
    </row>
    <row r="54" spans="1:20">
      <c r="A54" s="22">
        <v>16350100</v>
      </c>
      <c r="B54" s="23" t="s">
        <v>31</v>
      </c>
      <c r="C54" s="23">
        <f>5638990+6246950</f>
        <v>11885940</v>
      </c>
      <c r="D54" s="73">
        <v>11885940</v>
      </c>
      <c r="E54" s="36" t="s">
        <v>412</v>
      </c>
      <c r="F54" s="224">
        <v>43933</v>
      </c>
      <c r="G54" s="116" t="s">
        <v>419</v>
      </c>
      <c r="H54" s="116" t="str">
        <f t="shared" si="28"/>
        <v>SI</v>
      </c>
      <c r="I54" s="225" t="s">
        <v>1005</v>
      </c>
      <c r="L54" s="116">
        <f t="shared" ref="L54:L58" si="33">IF(G54="Indefinida",0,IF(ROUND(($L$12-F52)/30,0)&gt;(G52*12),(G52*12),(ROUND(($L$12-F52)/30,0))))</f>
        <v>0</v>
      </c>
      <c r="M54" s="116">
        <f t="shared" ref="M54:M58" si="34">IF(G54="Indefinida",0,((G54*12)-L54))</f>
        <v>0</v>
      </c>
      <c r="N54" s="38">
        <f t="shared" ref="N54:N58" si="35">IF(G54="Indefinida",0,(D54/(G54*12)))</f>
        <v>0</v>
      </c>
      <c r="O54" s="38">
        <f t="shared" si="29"/>
        <v>0</v>
      </c>
      <c r="P54" s="38">
        <f t="shared" si="30"/>
        <v>11885940</v>
      </c>
      <c r="Q54" s="38">
        <f t="shared" si="31"/>
        <v>0</v>
      </c>
      <c r="R54" s="38">
        <f t="shared" si="32"/>
        <v>11885940</v>
      </c>
    </row>
    <row r="55" spans="1:20">
      <c r="A55" s="22">
        <v>16350100</v>
      </c>
      <c r="B55" s="23" t="s">
        <v>31</v>
      </c>
      <c r="C55" s="23">
        <f>6000394+6647318</f>
        <v>12647712</v>
      </c>
      <c r="D55" s="73">
        <v>12647712</v>
      </c>
      <c r="E55" s="36" t="s">
        <v>412</v>
      </c>
      <c r="F55" s="224">
        <v>43964</v>
      </c>
      <c r="G55" s="116" t="s">
        <v>419</v>
      </c>
      <c r="H55" s="116" t="str">
        <f t="shared" si="28"/>
        <v>SI</v>
      </c>
      <c r="I55" s="225" t="s">
        <v>1005</v>
      </c>
      <c r="L55" s="116">
        <f t="shared" si="33"/>
        <v>0</v>
      </c>
      <c r="M55" s="116">
        <f t="shared" si="34"/>
        <v>0</v>
      </c>
      <c r="N55" s="38">
        <f t="shared" si="35"/>
        <v>0</v>
      </c>
      <c r="O55" s="38">
        <f t="shared" si="29"/>
        <v>0</v>
      </c>
      <c r="P55" s="38">
        <f t="shared" si="30"/>
        <v>12647712</v>
      </c>
      <c r="Q55" s="38">
        <f t="shared" si="31"/>
        <v>0</v>
      </c>
      <c r="R55" s="38">
        <f t="shared" si="32"/>
        <v>12647712</v>
      </c>
    </row>
    <row r="56" spans="1:20">
      <c r="A56" s="22">
        <v>16350100</v>
      </c>
      <c r="B56" s="23" t="s">
        <v>31</v>
      </c>
      <c r="C56" s="23">
        <f>6047579+6699661</f>
        <v>12747240</v>
      </c>
      <c r="D56" s="73">
        <v>12747240</v>
      </c>
      <c r="E56" s="36" t="s">
        <v>412</v>
      </c>
      <c r="F56" s="224">
        <v>43986</v>
      </c>
      <c r="G56" s="116" t="s">
        <v>419</v>
      </c>
      <c r="H56" s="116" t="str">
        <f t="shared" si="28"/>
        <v>SI</v>
      </c>
      <c r="I56" s="225" t="s">
        <v>1005</v>
      </c>
      <c r="L56" s="116">
        <f t="shared" si="33"/>
        <v>0</v>
      </c>
      <c r="M56" s="116">
        <f t="shared" si="34"/>
        <v>0</v>
      </c>
      <c r="N56" s="38">
        <f t="shared" si="35"/>
        <v>0</v>
      </c>
      <c r="O56" s="38">
        <f t="shared" si="29"/>
        <v>0</v>
      </c>
      <c r="P56" s="38">
        <f t="shared" si="30"/>
        <v>12747240</v>
      </c>
      <c r="Q56" s="38">
        <f t="shared" si="31"/>
        <v>0</v>
      </c>
      <c r="R56" s="38">
        <f t="shared" si="32"/>
        <v>12747240</v>
      </c>
    </row>
    <row r="57" spans="1:20">
      <c r="A57" s="22">
        <v>16350100</v>
      </c>
      <c r="B57" s="23" t="s">
        <v>31</v>
      </c>
      <c r="C57" s="73">
        <f>5884164+6518556</f>
        <v>12402720</v>
      </c>
      <c r="D57" s="73">
        <v>12402720</v>
      </c>
      <c r="E57" s="36" t="s">
        <v>412</v>
      </c>
      <c r="F57" s="224">
        <v>44025</v>
      </c>
      <c r="G57" s="116" t="s">
        <v>419</v>
      </c>
      <c r="H57" s="116" t="str">
        <f t="shared" si="28"/>
        <v>SI</v>
      </c>
      <c r="I57" s="225" t="s">
        <v>1005</v>
      </c>
      <c r="L57" s="116">
        <f t="shared" si="33"/>
        <v>0</v>
      </c>
      <c r="M57" s="116">
        <f t="shared" si="34"/>
        <v>0</v>
      </c>
      <c r="N57" s="38">
        <f t="shared" si="35"/>
        <v>0</v>
      </c>
      <c r="O57" s="38">
        <f t="shared" si="29"/>
        <v>0</v>
      </c>
      <c r="P57" s="38">
        <f t="shared" si="30"/>
        <v>12402720</v>
      </c>
      <c r="Q57" s="38">
        <f t="shared" si="31"/>
        <v>0</v>
      </c>
      <c r="R57" s="38">
        <f t="shared" si="32"/>
        <v>12402720</v>
      </c>
    </row>
    <row r="58" spans="1:20">
      <c r="A58" s="22">
        <v>16350100</v>
      </c>
      <c r="B58" s="23" t="s">
        <v>31</v>
      </c>
      <c r="C58" s="23">
        <f>6265545+6941055</f>
        <v>13206600</v>
      </c>
      <c r="D58" s="73">
        <v>13206600</v>
      </c>
      <c r="E58" s="36" t="s">
        <v>412</v>
      </c>
      <c r="F58" s="224">
        <v>44059</v>
      </c>
      <c r="G58" s="116" t="s">
        <v>419</v>
      </c>
      <c r="H58" s="116" t="str">
        <f t="shared" si="28"/>
        <v>SI</v>
      </c>
      <c r="I58" s="225" t="s">
        <v>1005</v>
      </c>
      <c r="L58" s="116">
        <f t="shared" si="33"/>
        <v>0</v>
      </c>
      <c r="M58" s="116">
        <f t="shared" si="34"/>
        <v>0</v>
      </c>
      <c r="N58" s="38">
        <f t="shared" si="35"/>
        <v>0</v>
      </c>
      <c r="O58" s="38">
        <f t="shared" si="29"/>
        <v>0</v>
      </c>
      <c r="P58" s="38">
        <f t="shared" si="30"/>
        <v>13206600</v>
      </c>
      <c r="Q58" s="38">
        <f t="shared" si="31"/>
        <v>0</v>
      </c>
      <c r="R58" s="38">
        <f t="shared" si="32"/>
        <v>13206600</v>
      </c>
    </row>
    <row r="59" spans="1:20">
      <c r="A59" s="22">
        <v>16350100</v>
      </c>
      <c r="B59" s="23" t="s">
        <v>31</v>
      </c>
      <c r="C59" s="23">
        <f>5161495+4587996</f>
        <v>9749491</v>
      </c>
      <c r="D59" s="73">
        <v>9749491</v>
      </c>
      <c r="E59" s="36" t="s">
        <v>412</v>
      </c>
      <c r="F59" s="224">
        <v>44177</v>
      </c>
      <c r="G59" s="116">
        <v>1</v>
      </c>
      <c r="H59" s="116" t="str">
        <f t="shared" si="28"/>
        <v>SI</v>
      </c>
      <c r="I59" s="225" t="s">
        <v>1005</v>
      </c>
      <c r="J59" s="22">
        <v>16984000</v>
      </c>
      <c r="K59" s="23" t="s">
        <v>32</v>
      </c>
      <c r="L59" s="116">
        <f t="shared" ref="L59" si="36">IF(ROUND(($L$44-F59)/30,0)&gt;(G59*12),(G59*12),(ROUND(($L$44-F59)/30,0)))</f>
        <v>12</v>
      </c>
      <c r="M59" s="116">
        <f>(G59*12)-L59</f>
        <v>0</v>
      </c>
      <c r="N59" s="38">
        <f t="shared" ref="N59" si="37">C59/(G59*12)</f>
        <v>812457.58333333337</v>
      </c>
      <c r="O59" s="38">
        <f t="shared" si="29"/>
        <v>9749491</v>
      </c>
      <c r="P59" s="38">
        <f t="shared" ref="P59" si="38">ROUND(IF(F59&gt;0,C59,0),0)</f>
        <v>9749491</v>
      </c>
      <c r="Q59" s="38">
        <f t="shared" si="31"/>
        <v>9749491</v>
      </c>
      <c r="R59" s="38">
        <f>P59-Q59</f>
        <v>0</v>
      </c>
      <c r="T59" s="368">
        <f>Q59</f>
        <v>9749491</v>
      </c>
    </row>
    <row r="60" spans="1:20">
      <c r="A60" s="22">
        <v>16350100</v>
      </c>
      <c r="B60" s="23" t="s">
        <v>31</v>
      </c>
      <c r="C60" s="23">
        <v>1542889</v>
      </c>
      <c r="D60" s="23">
        <v>1542889</v>
      </c>
      <c r="E60" s="36" t="s">
        <v>412</v>
      </c>
      <c r="F60" s="224">
        <v>44228</v>
      </c>
      <c r="G60" s="116">
        <v>1</v>
      </c>
      <c r="H60" s="366" t="str">
        <f>IF(OR(E60="Intangible en desarrollo",E60="Programas de computador"),IF(D60&gt;($H$44*50),"SI","NO"),"N/A")</f>
        <v>NO</v>
      </c>
      <c r="I60" s="225" t="s">
        <v>1005</v>
      </c>
      <c r="J60" s="22">
        <v>16984000</v>
      </c>
      <c r="K60" s="23" t="s">
        <v>32</v>
      </c>
      <c r="L60" s="116">
        <f t="shared" ref="L60:L63" si="39">IF(ROUND(($L$44-F60)/30,0)&gt;(G60*12),(G60*12),(ROUND(($L$44-F60)/30,0)))</f>
        <v>11</v>
      </c>
      <c r="M60" s="116">
        <f t="shared" ref="M60:M63" si="40">(G60*12)-L60</f>
        <v>1</v>
      </c>
      <c r="N60" s="38">
        <f t="shared" ref="N60:N63" si="41">C60/(G60*12)</f>
        <v>128574.08333333333</v>
      </c>
      <c r="O60" s="38">
        <f t="shared" ref="O60:O63" si="42">IF(F60&gt;0,L60*N60,0)</f>
        <v>1414314.9166666665</v>
      </c>
      <c r="P60" s="38">
        <f t="shared" ref="P60:P63" si="43">ROUND(IF(F60&gt;0,C60,0),0)</f>
        <v>1542889</v>
      </c>
      <c r="Q60" s="38">
        <f t="shared" ref="Q60:Q63" si="44">ROUND(IF(F60&gt;0,O60,0),0)</f>
        <v>1414315</v>
      </c>
      <c r="R60" s="38">
        <f t="shared" ref="R60:R63" si="45">P60-Q60</f>
        <v>128574</v>
      </c>
      <c r="T60" s="369">
        <f t="shared" ref="T60:T63" si="46">Q60</f>
        <v>1414315</v>
      </c>
    </row>
    <row r="61" spans="1:20">
      <c r="A61" s="22">
        <v>16350100</v>
      </c>
      <c r="B61" s="23" t="s">
        <v>31</v>
      </c>
      <c r="C61" s="23">
        <v>17398156.199999999</v>
      </c>
      <c r="D61" s="23">
        <v>17398156.199999999</v>
      </c>
      <c r="E61" s="36" t="s">
        <v>412</v>
      </c>
      <c r="F61" s="224">
        <v>44197</v>
      </c>
      <c r="G61" s="116">
        <v>1</v>
      </c>
      <c r="H61" s="116" t="str">
        <f t="shared" ref="H61:H63" si="47">IF(OR(E61="Intangible en desarrollo",E61="Programas de computador"),IF(D61&gt;($H$44*50),"SI","NO"),"N/A")</f>
        <v>SI</v>
      </c>
      <c r="I61" s="225" t="s">
        <v>1005</v>
      </c>
      <c r="J61" s="22">
        <v>16984000</v>
      </c>
      <c r="K61" s="23" t="s">
        <v>32</v>
      </c>
      <c r="L61" s="116">
        <f t="shared" si="39"/>
        <v>12</v>
      </c>
      <c r="M61" s="116">
        <f t="shared" si="40"/>
        <v>0</v>
      </c>
      <c r="N61" s="38">
        <f t="shared" si="41"/>
        <v>1449846.3499999999</v>
      </c>
      <c r="O61" s="38">
        <f t="shared" si="42"/>
        <v>17398156.199999999</v>
      </c>
      <c r="P61" s="38">
        <f t="shared" si="43"/>
        <v>17398156</v>
      </c>
      <c r="Q61" s="38">
        <f t="shared" si="44"/>
        <v>17398156</v>
      </c>
      <c r="R61" s="38">
        <f t="shared" si="45"/>
        <v>0</v>
      </c>
      <c r="T61" s="369">
        <f t="shared" si="46"/>
        <v>17398156</v>
      </c>
    </row>
    <row r="62" spans="1:20">
      <c r="A62" s="22">
        <v>16350100</v>
      </c>
      <c r="B62" s="23" t="s">
        <v>31</v>
      </c>
      <c r="C62" s="23">
        <v>427615</v>
      </c>
      <c r="D62" s="23">
        <v>427615</v>
      </c>
      <c r="E62" s="36" t="s">
        <v>412</v>
      </c>
      <c r="F62" s="224">
        <v>44342</v>
      </c>
      <c r="G62" s="116">
        <v>1</v>
      </c>
      <c r="H62" s="366" t="str">
        <f t="shared" si="47"/>
        <v>NO</v>
      </c>
      <c r="I62" s="225" t="s">
        <v>1005</v>
      </c>
      <c r="J62" s="22">
        <v>16984000</v>
      </c>
      <c r="K62" s="23" t="s">
        <v>32</v>
      </c>
      <c r="L62" s="116">
        <f t="shared" si="39"/>
        <v>7</v>
      </c>
      <c r="M62" s="116">
        <f t="shared" si="40"/>
        <v>5</v>
      </c>
      <c r="N62" s="38">
        <f t="shared" si="41"/>
        <v>35634.583333333336</v>
      </c>
      <c r="O62" s="38">
        <f t="shared" si="42"/>
        <v>249442.08333333334</v>
      </c>
      <c r="P62" s="38">
        <f t="shared" si="43"/>
        <v>427615</v>
      </c>
      <c r="Q62" s="38">
        <f t="shared" si="44"/>
        <v>249442</v>
      </c>
      <c r="R62" s="38">
        <f t="shared" si="45"/>
        <v>178173</v>
      </c>
      <c r="T62" s="369">
        <f t="shared" si="46"/>
        <v>249442</v>
      </c>
    </row>
    <row r="63" spans="1:20">
      <c r="A63" s="22">
        <v>16350100</v>
      </c>
      <c r="B63" s="23" t="s">
        <v>31</v>
      </c>
      <c r="C63" s="23">
        <v>1735186</v>
      </c>
      <c r="D63" s="23">
        <v>1735186</v>
      </c>
      <c r="E63" s="36" t="s">
        <v>412</v>
      </c>
      <c r="F63" s="224">
        <v>44378</v>
      </c>
      <c r="G63" s="116">
        <v>1</v>
      </c>
      <c r="H63" s="366" t="str">
        <f t="shared" si="47"/>
        <v>NO</v>
      </c>
      <c r="I63" s="225" t="s">
        <v>1005</v>
      </c>
      <c r="J63" s="22">
        <v>16984000</v>
      </c>
      <c r="K63" s="23" t="s">
        <v>32</v>
      </c>
      <c r="L63" s="116">
        <f t="shared" si="39"/>
        <v>6</v>
      </c>
      <c r="M63" s="116">
        <f t="shared" si="40"/>
        <v>6</v>
      </c>
      <c r="N63" s="38">
        <f t="shared" si="41"/>
        <v>144598.83333333334</v>
      </c>
      <c r="O63" s="38">
        <f t="shared" si="42"/>
        <v>867593</v>
      </c>
      <c r="P63" s="38">
        <f t="shared" si="43"/>
        <v>1735186</v>
      </c>
      <c r="Q63" s="38">
        <f t="shared" si="44"/>
        <v>867593</v>
      </c>
      <c r="R63" s="38">
        <f t="shared" si="45"/>
        <v>867593</v>
      </c>
      <c r="T63" s="370">
        <f t="shared" si="46"/>
        <v>867593</v>
      </c>
    </row>
    <row r="64" spans="1:20" s="22" customFormat="1"/>
    <row r="65" spans="1:20">
      <c r="A65" s="22">
        <v>16259501</v>
      </c>
      <c r="B65" s="23" t="s">
        <v>31</v>
      </c>
      <c r="C65" s="73">
        <v>416249657.66000003</v>
      </c>
      <c r="D65" s="73">
        <v>416249657.66000003</v>
      </c>
      <c r="E65" s="36" t="s">
        <v>412</v>
      </c>
      <c r="F65" s="224">
        <v>44196</v>
      </c>
      <c r="G65" s="116" t="s">
        <v>419</v>
      </c>
      <c r="H65" s="116" t="str">
        <f>IF(OR(E65="Intangible en desarrollo",E65="Programas de computador"),IF(D65&gt;($H$12*50),"SI","NO"),"N/A")</f>
        <v>SI</v>
      </c>
      <c r="I65" s="225" t="s">
        <v>1005</v>
      </c>
      <c r="L65" s="116">
        <f>IF(G65="Indefinida",0,IF(ROUND(($L$12-F59)/30,0)&gt;(G59*12),(G59*12),(ROUND(($L$12-F59)/30,0))))</f>
        <v>0</v>
      </c>
      <c r="M65" s="116">
        <f>IF(G65="Indefinida",0,((G65*12)-L65))</f>
        <v>0</v>
      </c>
      <c r="N65" s="38">
        <f t="shared" ref="N65" si="48">IF(G65="Indefinida",0,(D65/(G65*12)))</f>
        <v>0</v>
      </c>
      <c r="O65" s="38">
        <f t="shared" ref="O65" si="49">IF(F65&gt;0,L65*N65,0)</f>
        <v>0</v>
      </c>
      <c r="P65" s="38">
        <f t="shared" ref="P65" si="50">ROUND(IF(F65&gt;0,D65,0),0)</f>
        <v>416249658</v>
      </c>
      <c r="Q65" s="38">
        <f t="shared" ref="Q65" si="51">ROUND(IF(F65&gt;0,O65,0),0)</f>
        <v>0</v>
      </c>
      <c r="R65" s="38">
        <f t="shared" ref="R65" si="52">P65-Q65</f>
        <v>416249658</v>
      </c>
    </row>
    <row r="66" spans="1:20">
      <c r="C66" s="40">
        <f>SUM(C47:C65)</f>
        <v>541831044.86000001</v>
      </c>
      <c r="P66" s="40">
        <f>SUM(P47:P65)</f>
        <v>541831045</v>
      </c>
      <c r="Q66" s="40">
        <f>SUM(Q47:Q65)</f>
        <v>46030316</v>
      </c>
      <c r="R66" s="40">
        <f>SUM(R47:R65)</f>
        <v>495800729</v>
      </c>
      <c r="T66" s="23">
        <f>SUM(T47:T63)</f>
        <v>33609890</v>
      </c>
    </row>
    <row r="67" spans="1:20">
      <c r="P67" s="23">
        <f>P66-C36-C35</f>
        <v>0.13999998569488525</v>
      </c>
      <c r="Q67" s="23">
        <f>Q66+C37</f>
        <v>0.25000001490116119</v>
      </c>
      <c r="R67" s="23">
        <f>R66-C38</f>
        <v>-0.11000001430511475</v>
      </c>
    </row>
  </sheetData>
  <mergeCells count="39">
    <mergeCell ref="T45:T46"/>
    <mergeCell ref="P45:P46"/>
    <mergeCell ref="Q45:Q46"/>
    <mergeCell ref="R45:R46"/>
    <mergeCell ref="S45:S46"/>
    <mergeCell ref="K45:K46"/>
    <mergeCell ref="L45:L46"/>
    <mergeCell ref="M45:M46"/>
    <mergeCell ref="N45:N46"/>
    <mergeCell ref="O45:O46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O13:O14"/>
    <mergeCell ref="P13:P14"/>
    <mergeCell ref="Q13:Q14"/>
    <mergeCell ref="R13:R14"/>
    <mergeCell ref="S13:S14"/>
    <mergeCell ref="N13:N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</mergeCells>
  <conditionalFormatting sqref="P15:R15 P17:R18 P21:R27 P17:P19">
    <cfRule type="cellIs" dxfId="19" priority="20" operator="greaterThan">
      <formula>0</formula>
    </cfRule>
  </conditionalFormatting>
  <conditionalFormatting sqref="P16:R16">
    <cfRule type="cellIs" dxfId="18" priority="19" operator="greaterThan">
      <formula>0</formula>
    </cfRule>
  </conditionalFormatting>
  <conditionalFormatting sqref="P30:R30">
    <cfRule type="cellIs" dxfId="17" priority="18" operator="greaterThan">
      <formula>0</formula>
    </cfRule>
  </conditionalFormatting>
  <conditionalFormatting sqref="P20:R20 P19 R19">
    <cfRule type="cellIs" dxfId="16" priority="17" operator="greaterThan">
      <formula>0</formula>
    </cfRule>
  </conditionalFormatting>
  <conditionalFormatting sqref="P28:R28">
    <cfRule type="cellIs" dxfId="15" priority="16" operator="greaterThan">
      <formula>0</formula>
    </cfRule>
  </conditionalFormatting>
  <conditionalFormatting sqref="Q19">
    <cfRule type="cellIs" dxfId="14" priority="15" operator="greaterThan">
      <formula>0</formula>
    </cfRule>
  </conditionalFormatting>
  <conditionalFormatting sqref="P29:R29">
    <cfRule type="cellIs" dxfId="13" priority="14" operator="greaterThan">
      <formula>0</formula>
    </cfRule>
  </conditionalFormatting>
  <conditionalFormatting sqref="P47:R47 P49:R50 P51 P53:R58">
    <cfRule type="cellIs" dxfId="12" priority="13" operator="greaterThan">
      <formula>0</formula>
    </cfRule>
  </conditionalFormatting>
  <conditionalFormatting sqref="P48:R48">
    <cfRule type="cellIs" dxfId="11" priority="12" operator="greaterThan">
      <formula>0</formula>
    </cfRule>
  </conditionalFormatting>
  <conditionalFormatting sqref="P66:R66">
    <cfRule type="cellIs" dxfId="10" priority="11" operator="greaterThan">
      <formula>0</formula>
    </cfRule>
  </conditionalFormatting>
  <conditionalFormatting sqref="P52:R52 P51 R51">
    <cfRule type="cellIs" dxfId="9" priority="10" operator="greaterThan">
      <formula>0</formula>
    </cfRule>
  </conditionalFormatting>
  <conditionalFormatting sqref="P64:R64">
    <cfRule type="cellIs" dxfId="8" priority="9" operator="greaterThan">
      <formula>0</formula>
    </cfRule>
  </conditionalFormatting>
  <conditionalFormatting sqref="Q51">
    <cfRule type="cellIs" dxfId="7" priority="8" operator="greaterThan">
      <formula>0</formula>
    </cfRule>
  </conditionalFormatting>
  <conditionalFormatting sqref="P65:R65">
    <cfRule type="cellIs" dxfId="6" priority="7" operator="greaterThan">
      <formula>0</formula>
    </cfRule>
  </conditionalFormatting>
  <conditionalFormatting sqref="P59">
    <cfRule type="cellIs" dxfId="5" priority="6" operator="greaterThan">
      <formula>0</formula>
    </cfRule>
  </conditionalFormatting>
  <conditionalFormatting sqref="P59 R59">
    <cfRule type="cellIs" dxfId="4" priority="5" operator="greaterThan">
      <formula>0</formula>
    </cfRule>
  </conditionalFormatting>
  <conditionalFormatting sqref="Q59">
    <cfRule type="cellIs" dxfId="3" priority="4" operator="greaterThan">
      <formula>0</formula>
    </cfRule>
  </conditionalFormatting>
  <conditionalFormatting sqref="P60:P63">
    <cfRule type="cellIs" dxfId="2" priority="3" operator="greaterThan">
      <formula>0</formula>
    </cfRule>
  </conditionalFormatting>
  <conditionalFormatting sqref="P60:P63 R60:R63">
    <cfRule type="cellIs" dxfId="1" priority="2" operator="greaterThan">
      <formula>0</formula>
    </cfRule>
  </conditionalFormatting>
  <conditionalFormatting sqref="Q60:Q63">
    <cfRule type="cellIs" dxfId="0" priority="1" operator="greaterThan">
      <formula>0</formula>
    </cfRule>
  </conditionalFormatting>
  <dataValidations count="1">
    <dataValidation type="list" allowBlank="1" showInputMessage="1" showErrorMessage="1" sqref="E53:E63 E15:E19 E21:E27 E29 E47:E51 E65" xr:uid="{37E50D15-4D65-5E4F-B5A2-A7CB66A896D1}">
      <formula1>$XFD$1:$XFD$6</formula1>
    </dataValidation>
  </dataValidations>
  <pageMargins left="0.7" right="0.7" top="0.75" bottom="0.75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1E751-6341-0847-B832-76D32D683559}">
  <dimension ref="A1:XFD65"/>
  <sheetViews>
    <sheetView workbookViewId="0"/>
  </sheetViews>
  <sheetFormatPr baseColWidth="10" defaultRowHeight="15"/>
  <cols>
    <col min="1" max="1" width="10.5" style="22" customWidth="1"/>
    <col min="2" max="2" width="31.375" style="23" customWidth="1"/>
    <col min="3" max="3" width="18" style="23" customWidth="1"/>
    <col min="4" max="4" width="13.125" style="23" customWidth="1"/>
    <col min="5" max="5" width="14.625" style="23" bestFit="1" customWidth="1"/>
    <col min="6" max="6" width="28.625" style="23" bestFit="1" customWidth="1"/>
    <col min="7" max="8" width="13.625" style="23" bestFit="1" customWidth="1"/>
    <col min="9" max="9" width="11.625" style="23" customWidth="1"/>
    <col min="10" max="11" width="11.875" style="23" customWidth="1"/>
    <col min="12" max="12" width="21" style="23" bestFit="1" customWidth="1"/>
    <col min="13" max="13" width="11.875" style="23" customWidth="1"/>
    <col min="14" max="14" width="10.875" style="26"/>
    <col min="15" max="15" width="14.5" style="26" bestFit="1" customWidth="1"/>
    <col min="16" max="16" width="13.625" style="26" bestFit="1" customWidth="1"/>
    <col min="17" max="17" width="50.625" style="23" customWidth="1"/>
    <col min="18" max="19" width="12" style="23" bestFit="1" customWidth="1"/>
    <col min="20" max="20" width="10.875" style="23"/>
    <col min="21" max="21" width="23.625" style="23" bestFit="1" customWidth="1"/>
    <col min="22" max="22" width="8.125" style="23" bestFit="1" customWidth="1"/>
    <col min="23" max="23" width="3.875" style="23" bestFit="1" customWidth="1"/>
    <col min="24" max="16378" width="10.875" style="23"/>
    <col min="16379" max="16382" width="11.5" style="23" customWidth="1"/>
    <col min="16383" max="16384" width="29.5" style="23" customWidth="1"/>
  </cols>
  <sheetData>
    <row r="1" spans="1:16 16383:16384">
      <c r="C1" s="24" t="s">
        <v>1061</v>
      </c>
      <c r="XFC1" s="27"/>
      <c r="XFD1" s="27" t="s">
        <v>136</v>
      </c>
    </row>
    <row r="2" spans="1:16 16383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XFC2" s="27"/>
      <c r="XFD2" s="27" t="s">
        <v>453</v>
      </c>
    </row>
    <row r="3" spans="1:16 16383:16384">
      <c r="A3" s="269">
        <v>21051000</v>
      </c>
      <c r="B3" s="136" t="s">
        <v>33</v>
      </c>
      <c r="C3" s="23">
        <v>10878896000</v>
      </c>
      <c r="D3" s="23">
        <f ca="1">SUMIF($A$13:$H$18,A3,$H$13:$H$18)-C3</f>
        <v>0</v>
      </c>
      <c r="E3" s="23">
        <f>C3+'HW PYMES'!I54</f>
        <v>0</v>
      </c>
      <c r="XFC3" s="27"/>
      <c r="XFD3" s="27" t="s">
        <v>454</v>
      </c>
    </row>
    <row r="4" spans="1:16 16383:16384">
      <c r="A4" s="269">
        <v>21051001</v>
      </c>
      <c r="B4" s="136" t="s">
        <v>50</v>
      </c>
      <c r="C4" s="23">
        <v>63475352.590000004</v>
      </c>
      <c r="D4" s="23">
        <f t="shared" ref="D4:D6" ca="1" si="0">SUMIF($A$13:$H$18,A4,$H$13:$H$18)-C4</f>
        <v>0</v>
      </c>
      <c r="E4" s="23">
        <f>C4+'HW PYMES'!I55</f>
        <v>0</v>
      </c>
      <c r="XFC4" s="27"/>
      <c r="XFD4" s="27" t="s">
        <v>454</v>
      </c>
    </row>
    <row r="5" spans="1:16 16383:16384">
      <c r="A5" s="269">
        <v>21052000</v>
      </c>
      <c r="B5" s="136" t="s">
        <v>34</v>
      </c>
      <c r="C5" s="23">
        <v>280012</v>
      </c>
      <c r="D5" s="23">
        <f t="shared" ca="1" si="0"/>
        <v>0</v>
      </c>
      <c r="E5" s="23">
        <f>C5+'HW PYMES'!I56</f>
        <v>0</v>
      </c>
      <c r="XFC5" s="27"/>
    </row>
    <row r="6" spans="1:16 16383:16384">
      <c r="A6" s="269">
        <v>26050500</v>
      </c>
      <c r="B6" s="136" t="s">
        <v>50</v>
      </c>
      <c r="C6" s="23">
        <v>0</v>
      </c>
      <c r="D6" s="23">
        <f t="shared" ca="1" si="0"/>
        <v>0</v>
      </c>
      <c r="E6" s="23">
        <f>C6+'HW PYMES'!I78</f>
        <v>0</v>
      </c>
      <c r="XFC6" s="27"/>
    </row>
    <row r="7" spans="1:16 16383:16384" ht="15" customHeight="1">
      <c r="C7" s="29">
        <f>SUM(C3:C6)</f>
        <v>10942651364.59</v>
      </c>
    </row>
    <row r="8" spans="1:16 16383:16384">
      <c r="B8" s="30" t="s">
        <v>206</v>
      </c>
      <c r="C8" s="30">
        <f>C7-H19</f>
        <v>0</v>
      </c>
    </row>
    <row r="9" spans="1:16 16383:16384">
      <c r="B9" s="34"/>
    </row>
    <row r="10" spans="1:16 16383:16384">
      <c r="B10" s="34"/>
    </row>
    <row r="11" spans="1:16 16383:16384">
      <c r="A11" s="23"/>
      <c r="N11" s="23"/>
      <c r="O11" s="23"/>
      <c r="P11" s="23"/>
    </row>
    <row r="12" spans="1:16 16383:16384">
      <c r="A12" s="23"/>
      <c r="N12" s="23"/>
      <c r="O12" s="112">
        <v>44196</v>
      </c>
      <c r="P12" s="23"/>
    </row>
    <row r="13" spans="1:16 16383:16384" ht="15" customHeight="1">
      <c r="A13" s="474" t="s">
        <v>209</v>
      </c>
      <c r="B13" s="476" t="s">
        <v>210</v>
      </c>
      <c r="C13" s="478" t="s">
        <v>211</v>
      </c>
      <c r="D13" s="478" t="s">
        <v>212</v>
      </c>
      <c r="E13" s="478" t="s">
        <v>213</v>
      </c>
      <c r="F13" s="478" t="s">
        <v>455</v>
      </c>
      <c r="G13" s="493" t="s">
        <v>1062</v>
      </c>
      <c r="H13" s="493" t="s">
        <v>456</v>
      </c>
      <c r="I13" s="472" t="s">
        <v>215</v>
      </c>
      <c r="J13" s="472" t="s">
        <v>457</v>
      </c>
      <c r="K13" s="472" t="s">
        <v>217</v>
      </c>
      <c r="L13" s="472" t="s">
        <v>219</v>
      </c>
      <c r="M13" s="472" t="s">
        <v>458</v>
      </c>
      <c r="N13" s="472" t="s">
        <v>459</v>
      </c>
      <c r="O13" s="485" t="s">
        <v>460</v>
      </c>
      <c r="P13" s="485" t="s">
        <v>461</v>
      </c>
    </row>
    <row r="14" spans="1:16 16383:16384" ht="45" customHeight="1">
      <c r="A14" s="475"/>
      <c r="B14" s="477"/>
      <c r="C14" s="472"/>
      <c r="D14" s="472"/>
      <c r="E14" s="472"/>
      <c r="F14" s="472"/>
      <c r="G14" s="479"/>
      <c r="H14" s="479"/>
      <c r="I14" s="473"/>
      <c r="J14" s="473"/>
      <c r="K14" s="473"/>
      <c r="L14" s="473"/>
      <c r="M14" s="473"/>
      <c r="N14" s="515"/>
      <c r="O14" s="486"/>
      <c r="P14" s="486"/>
    </row>
    <row r="15" spans="1:16 16383:16384" ht="15.75">
      <c r="A15" s="269">
        <v>21051000</v>
      </c>
      <c r="B15" s="136" t="s">
        <v>33</v>
      </c>
      <c r="C15" s="34" t="s">
        <v>258</v>
      </c>
      <c r="D15" s="34" t="s">
        <v>462</v>
      </c>
      <c r="E15" s="34" t="s">
        <v>463</v>
      </c>
      <c r="F15" s="36" t="s">
        <v>136</v>
      </c>
      <c r="G15" s="23">
        <v>10878896000</v>
      </c>
      <c r="H15" s="23">
        <v>10878896000</v>
      </c>
      <c r="I15" s="37">
        <v>44171</v>
      </c>
      <c r="J15" s="37">
        <v>44171</v>
      </c>
      <c r="K15" s="38">
        <f>IF(J15-I15&lt;0,"Error",J15-I15)</f>
        <v>0</v>
      </c>
      <c r="L15" s="259" t="str">
        <f t="shared" ref="L15:L17" si="1">IF(K15&gt;365,"Medir al costo amortizado","Dejar al valor nominal")</f>
        <v>Dejar al valor nominal</v>
      </c>
      <c r="M15" s="260"/>
      <c r="N15" s="261"/>
      <c r="O15" s="23">
        <v>0</v>
      </c>
      <c r="P15" s="23">
        <f>H15</f>
        <v>10878896000</v>
      </c>
    </row>
    <row r="16" spans="1:16 16383:16384" ht="15.75">
      <c r="A16" s="269">
        <v>21051001</v>
      </c>
      <c r="B16" s="136" t="s">
        <v>50</v>
      </c>
      <c r="C16" s="34" t="s">
        <v>258</v>
      </c>
      <c r="D16" s="34" t="s">
        <v>462</v>
      </c>
      <c r="E16" s="34"/>
      <c r="F16" s="36" t="s">
        <v>136</v>
      </c>
      <c r="G16" s="23">
        <v>63475352.590000004</v>
      </c>
      <c r="H16" s="23">
        <v>63475352.590000004</v>
      </c>
      <c r="I16" s="37">
        <v>43830</v>
      </c>
      <c r="J16" s="37">
        <v>43830</v>
      </c>
      <c r="K16" s="38">
        <f t="shared" ref="K16:K17" si="2">IF(J16-I16&lt;0,"Error",J16-I16)</f>
        <v>0</v>
      </c>
      <c r="L16" s="259" t="str">
        <f t="shared" si="1"/>
        <v>Dejar al valor nominal</v>
      </c>
      <c r="M16" s="260" t="s">
        <v>464</v>
      </c>
      <c r="N16" s="261"/>
      <c r="O16" s="23">
        <f t="shared" ref="O16:O17" si="3">H16</f>
        <v>63475352.590000004</v>
      </c>
      <c r="P16" s="23">
        <v>0</v>
      </c>
    </row>
    <row r="17" spans="1:17" ht="15.75">
      <c r="A17" s="269">
        <v>21052000</v>
      </c>
      <c r="B17" s="136" t="s">
        <v>34</v>
      </c>
      <c r="C17" s="34" t="s">
        <v>258</v>
      </c>
      <c r="D17" s="34" t="s">
        <v>462</v>
      </c>
      <c r="E17" s="34" t="s">
        <v>475</v>
      </c>
      <c r="F17" s="36" t="s">
        <v>136</v>
      </c>
      <c r="G17" s="23">
        <v>280012</v>
      </c>
      <c r="H17" s="23">
        <v>280012</v>
      </c>
      <c r="I17" s="37">
        <v>43830</v>
      </c>
      <c r="J17" s="37">
        <v>43830</v>
      </c>
      <c r="K17" s="38">
        <f t="shared" si="2"/>
        <v>0</v>
      </c>
      <c r="L17" s="259" t="str">
        <f t="shared" si="1"/>
        <v>Dejar al valor nominal</v>
      </c>
      <c r="M17" s="260" t="s">
        <v>464</v>
      </c>
      <c r="N17" s="261"/>
      <c r="O17" s="23">
        <f t="shared" si="3"/>
        <v>280012</v>
      </c>
      <c r="P17" s="23">
        <v>0</v>
      </c>
    </row>
    <row r="18" spans="1:17" ht="15.75">
      <c r="C18" s="34"/>
      <c r="D18" s="34"/>
      <c r="E18" s="34"/>
      <c r="F18" s="46"/>
      <c r="I18" s="37"/>
      <c r="J18" s="37"/>
      <c r="K18" s="47"/>
      <c r="L18" s="263"/>
      <c r="M18" s="264"/>
      <c r="N18" s="265"/>
      <c r="O18" s="23"/>
      <c r="P18" s="23"/>
    </row>
    <row r="19" spans="1:17" ht="15.75">
      <c r="C19" s="34"/>
      <c r="D19" s="34"/>
      <c r="E19" s="34"/>
      <c r="F19" s="46"/>
      <c r="H19" s="40">
        <f>SUM(H15:H18)</f>
        <v>10942651364.59</v>
      </c>
      <c r="I19" s="37"/>
      <c r="J19" s="37"/>
      <c r="K19" s="47"/>
      <c r="L19" s="263"/>
      <c r="M19" s="264"/>
      <c r="N19" s="265"/>
      <c r="O19" s="23"/>
      <c r="P19" s="23"/>
    </row>
    <row r="20" spans="1:17">
      <c r="I20" s="37"/>
      <c r="J20" s="37"/>
      <c r="K20" s="47"/>
      <c r="L20" s="263"/>
      <c r="N20" s="23"/>
      <c r="O20" s="23"/>
      <c r="P20" s="23"/>
    </row>
    <row r="21" spans="1:17">
      <c r="B21" s="262" t="s">
        <v>465</v>
      </c>
      <c r="C21" s="43"/>
      <c r="D21" s="43"/>
      <c r="I21" s="37"/>
      <c r="J21" s="37"/>
      <c r="O21" s="23"/>
      <c r="P21" s="266"/>
      <c r="Q21" s="26"/>
    </row>
    <row r="22" spans="1:17">
      <c r="I22" s="37"/>
      <c r="J22" s="37"/>
      <c r="O22" s="23"/>
      <c r="P22" s="266"/>
      <c r="Q22" s="26"/>
    </row>
    <row r="23" spans="1:17">
      <c r="B23" s="29" t="s">
        <v>466</v>
      </c>
      <c r="C23" s="24" t="s">
        <v>467</v>
      </c>
      <c r="D23" s="24" t="s">
        <v>476</v>
      </c>
      <c r="E23" s="24" t="s">
        <v>468</v>
      </c>
      <c r="F23" s="24" t="s">
        <v>469</v>
      </c>
      <c r="I23" s="37"/>
      <c r="J23" s="37"/>
      <c r="O23" s="23"/>
      <c r="P23" s="266"/>
      <c r="Q23" s="26"/>
    </row>
    <row r="24" spans="1:17" ht="15.75">
      <c r="B24" s="23" t="s">
        <v>470</v>
      </c>
      <c r="C24" s="23">
        <v>6416766000</v>
      </c>
      <c r="E24" s="264">
        <v>0.10979999999999999</v>
      </c>
      <c r="F24" s="23">
        <v>19061360</v>
      </c>
      <c r="I24" s="37"/>
      <c r="J24" s="37"/>
      <c r="O24" s="23"/>
      <c r="P24" s="266"/>
      <c r="Q24" s="26"/>
    </row>
    <row r="25" spans="1:17">
      <c r="B25" s="29" t="s">
        <v>471</v>
      </c>
      <c r="C25" s="29"/>
      <c r="E25" s="29"/>
      <c r="F25" s="29">
        <f>C24+F24</f>
        <v>6435827360</v>
      </c>
      <c r="I25" s="37"/>
      <c r="J25" s="37"/>
      <c r="O25" s="23"/>
      <c r="P25" s="266"/>
      <c r="Q25" s="26"/>
    </row>
    <row r="26" spans="1:17">
      <c r="B26" s="23" t="s">
        <v>472</v>
      </c>
      <c r="C26" s="23">
        <v>9578896000</v>
      </c>
      <c r="D26" s="23">
        <f>C26-C24</f>
        <v>3162130000</v>
      </c>
      <c r="E26" s="48" t="s">
        <v>473</v>
      </c>
      <c r="F26" s="23">
        <v>48935387</v>
      </c>
      <c r="I26" s="37"/>
      <c r="J26" s="37"/>
      <c r="O26" s="23"/>
      <c r="P26" s="266"/>
      <c r="Q26" s="26"/>
    </row>
    <row r="27" spans="1:17">
      <c r="A27" s="23"/>
      <c r="B27" s="29" t="s">
        <v>474</v>
      </c>
      <c r="F27" s="29">
        <f>C26+F26</f>
        <v>9627831387</v>
      </c>
      <c r="I27" s="37"/>
      <c r="J27" s="37"/>
      <c r="O27" s="23"/>
      <c r="P27" s="266"/>
      <c r="Q27" s="26"/>
    </row>
    <row r="28" spans="1:17">
      <c r="B28" s="23" t="s">
        <v>477</v>
      </c>
      <c r="C28" s="23">
        <v>9578896000</v>
      </c>
      <c r="D28" s="23">
        <f>C28-C26</f>
        <v>0</v>
      </c>
      <c r="E28" s="48" t="s">
        <v>473</v>
      </c>
      <c r="F28" s="23">
        <v>47382275</v>
      </c>
      <c r="I28" s="37"/>
      <c r="J28" s="37"/>
      <c r="O28" s="23"/>
      <c r="P28" s="266"/>
      <c r="Q28" s="26"/>
    </row>
    <row r="29" spans="1:17">
      <c r="B29" s="29" t="s">
        <v>478</v>
      </c>
      <c r="F29" s="29">
        <f>C28+F28</f>
        <v>9626278275</v>
      </c>
    </row>
    <row r="30" spans="1:17">
      <c r="B30" s="23" t="s">
        <v>479</v>
      </c>
      <c r="C30" s="23">
        <v>10878896000</v>
      </c>
      <c r="D30" s="23">
        <f>C30-C28</f>
        <v>1300000000</v>
      </c>
      <c r="E30" s="48" t="s">
        <v>473</v>
      </c>
      <c r="F30" s="23">
        <v>63475352.590000004</v>
      </c>
      <c r="I30" s="37"/>
      <c r="J30" s="37"/>
      <c r="O30" s="23"/>
      <c r="P30" s="266"/>
      <c r="Q30" s="26"/>
    </row>
    <row r="31" spans="1:17">
      <c r="B31" s="29" t="s">
        <v>480</v>
      </c>
      <c r="F31" s="29">
        <f>C30+F30</f>
        <v>10942371352.59</v>
      </c>
    </row>
    <row r="32" spans="1:17" ht="5.0999999999999996" customHeight="1">
      <c r="A32" s="43"/>
      <c r="B32" s="43"/>
      <c r="C32" s="43"/>
      <c r="D32" s="43"/>
      <c r="E32" s="43"/>
      <c r="F32" s="43"/>
      <c r="G32" s="43"/>
      <c r="H32" s="43"/>
      <c r="I32" s="267"/>
      <c r="J32" s="267"/>
      <c r="K32" s="43"/>
      <c r="L32" s="43"/>
      <c r="M32" s="43"/>
      <c r="N32" s="45"/>
      <c r="O32" s="43"/>
      <c r="P32" s="268"/>
      <c r="Q32" s="26"/>
    </row>
    <row r="33" spans="1:16 16383:16383">
      <c r="C33" s="24" t="s">
        <v>1061</v>
      </c>
      <c r="XFC33" s="27" t="s">
        <v>136</v>
      </c>
    </row>
    <row r="34" spans="1:16 16383:16383">
      <c r="A34" s="337" t="s">
        <v>201</v>
      </c>
      <c r="B34" s="24" t="s">
        <v>202</v>
      </c>
      <c r="C34" s="24" t="s">
        <v>1030</v>
      </c>
      <c r="D34" s="24" t="s">
        <v>203</v>
      </c>
      <c r="E34" s="24" t="s">
        <v>261</v>
      </c>
      <c r="XFC34" s="27" t="s">
        <v>453</v>
      </c>
    </row>
    <row r="35" spans="1:16 16383:16383">
      <c r="A35" s="269">
        <v>21051000</v>
      </c>
      <c r="B35" s="136" t="s">
        <v>33</v>
      </c>
      <c r="C35" s="23">
        <v>10878896000</v>
      </c>
      <c r="D35" s="23">
        <f ca="1">SUMIF($A$45:$H$50,A35,$H$45:$H$50)-C35</f>
        <v>0</v>
      </c>
      <c r="E35" s="23">
        <f>C35+'HW PYMES'!M54</f>
        <v>0</v>
      </c>
      <c r="XFC35" s="27" t="s">
        <v>454</v>
      </c>
    </row>
    <row r="36" spans="1:16 16383:16383">
      <c r="A36" s="269">
        <v>21051001</v>
      </c>
      <c r="B36" s="136" t="s">
        <v>50</v>
      </c>
      <c r="C36" s="23">
        <v>39989008.549999997</v>
      </c>
      <c r="D36" s="23">
        <f ca="1">SUMIF($A$45:$H$50,A36,$H$45:$H$50)-C36</f>
        <v>0</v>
      </c>
      <c r="E36" s="23">
        <f>C36+'HW PYMES'!M55</f>
        <v>0</v>
      </c>
      <c r="XFC36" s="27" t="s">
        <v>454</v>
      </c>
    </row>
    <row r="37" spans="1:16 16383:16383">
      <c r="A37" s="269">
        <v>21052000</v>
      </c>
      <c r="B37" s="136" t="s">
        <v>34</v>
      </c>
      <c r="C37" s="23">
        <v>402620</v>
      </c>
      <c r="D37" s="23">
        <f ca="1">SUMIF($A$45:$H$50,A37,$H$45:$H$50)-C37</f>
        <v>0</v>
      </c>
      <c r="E37" s="23">
        <f>C37+'HW PYMES'!M56</f>
        <v>0</v>
      </c>
      <c r="XFC37" s="27"/>
    </row>
    <row r="38" spans="1:16 16383:16383">
      <c r="A38" s="269">
        <v>26050500</v>
      </c>
      <c r="B38" s="136" t="s">
        <v>50</v>
      </c>
      <c r="C38" s="23">
        <v>0</v>
      </c>
      <c r="D38" s="23">
        <f ca="1">SUMIF($A$45:$H$50,A38,$H$45:$H$50)-C38</f>
        <v>0</v>
      </c>
      <c r="E38" s="23">
        <f>C38+'HW PYMES'!M78</f>
        <v>0</v>
      </c>
      <c r="XFC38" s="27"/>
    </row>
    <row r="39" spans="1:16 16383:16383" ht="15" customHeight="1">
      <c r="C39" s="29">
        <f>SUM(C35:C38)</f>
        <v>10919287628.549999</v>
      </c>
    </row>
    <row r="40" spans="1:16 16383:16383">
      <c r="B40" s="30" t="s">
        <v>206</v>
      </c>
      <c r="C40" s="30">
        <f>C39-H51</f>
        <v>0</v>
      </c>
    </row>
    <row r="41" spans="1:16 16383:16383">
      <c r="B41" s="34"/>
    </row>
    <row r="42" spans="1:16 16383:16383">
      <c r="B42" s="34"/>
    </row>
    <row r="43" spans="1:16 16383:16383">
      <c r="A43" s="23"/>
      <c r="N43" s="23"/>
      <c r="O43" s="23"/>
      <c r="P43" s="23"/>
    </row>
    <row r="44" spans="1:16 16383:16383">
      <c r="A44" s="23"/>
      <c r="N44" s="23"/>
      <c r="O44" s="112">
        <v>44561</v>
      </c>
      <c r="P44" s="23"/>
    </row>
    <row r="45" spans="1:16 16383:16383" ht="15" customHeight="1">
      <c r="A45" s="474" t="s">
        <v>209</v>
      </c>
      <c r="B45" s="476" t="s">
        <v>210</v>
      </c>
      <c r="C45" s="478" t="s">
        <v>211</v>
      </c>
      <c r="D45" s="478" t="s">
        <v>212</v>
      </c>
      <c r="E45" s="478" t="s">
        <v>213</v>
      </c>
      <c r="F45" s="478" t="s">
        <v>455</v>
      </c>
      <c r="G45" s="493" t="s">
        <v>1062</v>
      </c>
      <c r="H45" s="493" t="s">
        <v>456</v>
      </c>
      <c r="I45" s="472" t="s">
        <v>215</v>
      </c>
      <c r="J45" s="472" t="s">
        <v>457</v>
      </c>
      <c r="K45" s="472" t="s">
        <v>217</v>
      </c>
      <c r="L45" s="472" t="s">
        <v>219</v>
      </c>
      <c r="M45" s="472" t="s">
        <v>458</v>
      </c>
      <c r="N45" s="472" t="s">
        <v>459</v>
      </c>
      <c r="O45" s="485" t="s">
        <v>460</v>
      </c>
      <c r="P45" s="485" t="s">
        <v>461</v>
      </c>
    </row>
    <row r="46" spans="1:16 16383:16383" ht="45" customHeight="1">
      <c r="A46" s="475"/>
      <c r="B46" s="477"/>
      <c r="C46" s="472"/>
      <c r="D46" s="472"/>
      <c r="E46" s="472"/>
      <c r="F46" s="472"/>
      <c r="G46" s="479"/>
      <c r="H46" s="479"/>
      <c r="I46" s="473"/>
      <c r="J46" s="473"/>
      <c r="K46" s="473"/>
      <c r="L46" s="473"/>
      <c r="M46" s="473"/>
      <c r="N46" s="515"/>
      <c r="O46" s="486"/>
      <c r="P46" s="486"/>
    </row>
    <row r="47" spans="1:16 16383:16383" ht="15.75">
      <c r="A47" s="269">
        <v>21051000</v>
      </c>
      <c r="B47" s="136" t="s">
        <v>33</v>
      </c>
      <c r="C47" s="34" t="s">
        <v>258</v>
      </c>
      <c r="D47" s="34" t="s">
        <v>462</v>
      </c>
      <c r="E47" s="34" t="s">
        <v>463</v>
      </c>
      <c r="F47" s="36" t="s">
        <v>136</v>
      </c>
      <c r="G47" s="23">
        <v>10878896000</v>
      </c>
      <c r="H47" s="23">
        <v>10878896000</v>
      </c>
      <c r="I47" s="37">
        <v>44171</v>
      </c>
      <c r="J47" s="37">
        <v>44536</v>
      </c>
      <c r="K47" s="38">
        <f>IF(J47-I47&lt;0,"Error",J47-I47)</f>
        <v>365</v>
      </c>
      <c r="L47" s="259" t="str">
        <f t="shared" ref="L47:L49" si="4">IF(K47&gt;365,"Medir al costo amortizado","Dejar al valor nominal")</f>
        <v>Dejar al valor nominal</v>
      </c>
      <c r="M47" s="260"/>
      <c r="N47" s="261"/>
      <c r="O47" s="23">
        <v>0</v>
      </c>
      <c r="P47" s="23">
        <f>H47</f>
        <v>10878896000</v>
      </c>
    </row>
    <row r="48" spans="1:16 16383:16383" ht="15.75">
      <c r="A48" s="269">
        <v>21051001</v>
      </c>
      <c r="B48" s="136" t="s">
        <v>50</v>
      </c>
      <c r="C48" s="34" t="s">
        <v>258</v>
      </c>
      <c r="D48" s="34" t="s">
        <v>462</v>
      </c>
      <c r="E48" s="34"/>
      <c r="F48" s="36" t="s">
        <v>136</v>
      </c>
      <c r="G48" s="23">
        <f>F64</f>
        <v>39989008.549999997</v>
      </c>
      <c r="H48" s="23">
        <f>G48</f>
        <v>39989008.549999997</v>
      </c>
      <c r="I48" s="37">
        <v>44561</v>
      </c>
      <c r="J48" s="37">
        <v>44561</v>
      </c>
      <c r="K48" s="38">
        <f t="shared" ref="K48:K49" si="5">IF(J48-I48&lt;0,"Error",J48-I48)</f>
        <v>0</v>
      </c>
      <c r="L48" s="259" t="str">
        <f t="shared" si="4"/>
        <v>Dejar al valor nominal</v>
      </c>
      <c r="M48" s="260" t="s">
        <v>771</v>
      </c>
      <c r="N48" s="261"/>
      <c r="O48" s="23">
        <f t="shared" ref="O48:O49" si="6">H48</f>
        <v>39989008.549999997</v>
      </c>
      <c r="P48" s="23">
        <v>0</v>
      </c>
    </row>
    <row r="49" spans="1:17" ht="15.75">
      <c r="A49" s="269">
        <v>21052000</v>
      </c>
      <c r="B49" s="136" t="s">
        <v>34</v>
      </c>
      <c r="C49" s="34" t="s">
        <v>258</v>
      </c>
      <c r="D49" s="34" t="s">
        <v>462</v>
      </c>
      <c r="E49" s="34" t="s">
        <v>475</v>
      </c>
      <c r="F49" s="36" t="s">
        <v>136</v>
      </c>
      <c r="G49" s="23">
        <v>402620</v>
      </c>
      <c r="H49" s="23">
        <v>402620</v>
      </c>
      <c r="I49" s="37">
        <v>44561</v>
      </c>
      <c r="J49" s="37">
        <v>44561</v>
      </c>
      <c r="K49" s="38">
        <f t="shared" si="5"/>
        <v>0</v>
      </c>
      <c r="L49" s="259" t="str">
        <f t="shared" si="4"/>
        <v>Dejar al valor nominal</v>
      </c>
      <c r="M49" s="260" t="s">
        <v>771</v>
      </c>
      <c r="N49" s="261"/>
      <c r="O49" s="23">
        <f t="shared" si="6"/>
        <v>402620</v>
      </c>
      <c r="P49" s="23">
        <v>0</v>
      </c>
    </row>
    <row r="50" spans="1:17" ht="15.75">
      <c r="C50" s="34"/>
      <c r="D50" s="34"/>
      <c r="E50" s="34"/>
      <c r="F50" s="46"/>
      <c r="I50" s="37"/>
      <c r="J50" s="37"/>
      <c r="K50" s="47"/>
      <c r="L50" s="263"/>
      <c r="M50" s="264"/>
      <c r="N50" s="265"/>
      <c r="O50" s="23"/>
      <c r="P50" s="23"/>
    </row>
    <row r="51" spans="1:17" ht="15.75">
      <c r="C51" s="34"/>
      <c r="D51" s="34"/>
      <c r="E51" s="34"/>
      <c r="F51" s="46"/>
      <c r="H51" s="40">
        <f>SUM(H47:H50)</f>
        <v>10919287628.549999</v>
      </c>
      <c r="I51" s="37"/>
      <c r="J51" s="37"/>
      <c r="K51" s="47"/>
      <c r="L51" s="263"/>
      <c r="M51" s="264"/>
      <c r="N51" s="265"/>
      <c r="O51" s="23"/>
      <c r="P51" s="23"/>
    </row>
    <row r="52" spans="1:17">
      <c r="I52" s="37"/>
      <c r="J52" s="37"/>
      <c r="K52" s="47"/>
      <c r="L52" s="263"/>
      <c r="N52" s="23"/>
      <c r="O52" s="23"/>
      <c r="P52" s="23"/>
    </row>
    <row r="53" spans="1:17">
      <c r="B53" s="262" t="s">
        <v>465</v>
      </c>
      <c r="C53" s="43"/>
      <c r="D53" s="43"/>
      <c r="I53" s="37"/>
      <c r="J53" s="37"/>
      <c r="O53" s="23"/>
      <c r="P53" s="266"/>
      <c r="Q53" s="26"/>
    </row>
    <row r="54" spans="1:17">
      <c r="I54" s="37"/>
      <c r="J54" s="37"/>
      <c r="O54" s="23"/>
      <c r="P54" s="266"/>
      <c r="Q54" s="26"/>
    </row>
    <row r="55" spans="1:17">
      <c r="B55" s="29" t="s">
        <v>466</v>
      </c>
      <c r="C55" s="24" t="s">
        <v>467</v>
      </c>
      <c r="D55" s="24" t="s">
        <v>476</v>
      </c>
      <c r="E55" s="24" t="s">
        <v>468</v>
      </c>
      <c r="F55" s="24" t="s">
        <v>469</v>
      </c>
      <c r="I55" s="37"/>
      <c r="J55" s="37"/>
      <c r="O55" s="23"/>
      <c r="P55" s="266"/>
      <c r="Q55" s="26"/>
    </row>
    <row r="56" spans="1:17" ht="15.75">
      <c r="B56" s="23" t="s">
        <v>1041</v>
      </c>
      <c r="C56" s="23">
        <v>6416766000</v>
      </c>
      <c r="E56" s="264">
        <v>0.10979999999999999</v>
      </c>
      <c r="F56" s="23">
        <v>19061360</v>
      </c>
      <c r="I56" s="37"/>
      <c r="J56" s="37"/>
      <c r="O56" s="23"/>
      <c r="P56" s="266"/>
      <c r="Q56" s="26"/>
    </row>
    <row r="57" spans="1:17">
      <c r="B57" s="29" t="s">
        <v>474</v>
      </c>
      <c r="C57" s="29"/>
      <c r="E57" s="29"/>
      <c r="F57" s="29">
        <f>C56+F56</f>
        <v>6435827360</v>
      </c>
      <c r="I57" s="37"/>
      <c r="J57" s="37"/>
      <c r="O57" s="23"/>
      <c r="P57" s="266"/>
      <c r="Q57" s="26"/>
    </row>
    <row r="58" spans="1:17">
      <c r="B58" s="23" t="s">
        <v>477</v>
      </c>
      <c r="C58" s="23">
        <v>9578896000</v>
      </c>
      <c r="D58" s="23">
        <f>C58-C56</f>
        <v>3162130000</v>
      </c>
      <c r="E58" s="48" t="s">
        <v>473</v>
      </c>
      <c r="F58" s="23">
        <v>48935387</v>
      </c>
      <c r="I58" s="37"/>
      <c r="J58" s="37"/>
      <c r="O58" s="23"/>
      <c r="P58" s="266"/>
      <c r="Q58" s="26"/>
    </row>
    <row r="59" spans="1:17">
      <c r="A59" s="23"/>
      <c r="B59" s="29" t="s">
        <v>478</v>
      </c>
      <c r="F59" s="29">
        <f>C58+F58</f>
        <v>9627831387</v>
      </c>
      <c r="I59" s="37"/>
      <c r="J59" s="37"/>
      <c r="O59" s="23"/>
      <c r="P59" s="266"/>
      <c r="Q59" s="26"/>
    </row>
    <row r="60" spans="1:17">
      <c r="B60" s="23" t="s">
        <v>479</v>
      </c>
      <c r="C60" s="23">
        <v>9578896000</v>
      </c>
      <c r="D60" s="23">
        <f>C60-C58</f>
        <v>0</v>
      </c>
      <c r="E60" s="48" t="s">
        <v>473</v>
      </c>
      <c r="F60" s="23">
        <v>47382275</v>
      </c>
      <c r="I60" s="37"/>
      <c r="J60" s="37"/>
      <c r="O60" s="23"/>
      <c r="P60" s="266"/>
      <c r="Q60" s="26"/>
    </row>
    <row r="61" spans="1:17">
      <c r="B61" s="29" t="s">
        <v>480</v>
      </c>
      <c r="F61" s="29">
        <f>C60+F60</f>
        <v>9626278275</v>
      </c>
    </row>
    <row r="62" spans="1:17">
      <c r="B62" s="23" t="s">
        <v>769</v>
      </c>
      <c r="C62" s="23">
        <v>10878896000</v>
      </c>
      <c r="D62" s="23">
        <f>C62-C60</f>
        <v>1300000000</v>
      </c>
      <c r="E62" s="48" t="s">
        <v>473</v>
      </c>
      <c r="F62" s="23">
        <v>63475352.590000004</v>
      </c>
      <c r="I62" s="37"/>
      <c r="J62" s="37"/>
      <c r="O62" s="23"/>
      <c r="P62" s="266"/>
      <c r="Q62" s="26"/>
    </row>
    <row r="63" spans="1:17">
      <c r="B63" s="29" t="s">
        <v>770</v>
      </c>
      <c r="F63" s="29">
        <f>C62+F62</f>
        <v>10942371352.59</v>
      </c>
    </row>
    <row r="64" spans="1:17">
      <c r="B64" s="23" t="s">
        <v>1042</v>
      </c>
      <c r="C64" s="23">
        <v>10878896000</v>
      </c>
      <c r="D64" s="23">
        <f>C64-C62</f>
        <v>0</v>
      </c>
      <c r="E64" s="48" t="s">
        <v>473</v>
      </c>
      <c r="F64" s="23">
        <v>39989008.549999997</v>
      </c>
      <c r="I64" s="37"/>
      <c r="J64" s="37"/>
      <c r="O64" s="23"/>
      <c r="P64" s="266"/>
      <c r="Q64" s="26"/>
    </row>
    <row r="65" spans="2:6">
      <c r="B65" s="29" t="s">
        <v>1043</v>
      </c>
      <c r="F65" s="29">
        <f>C64+F64</f>
        <v>10918885008.549999</v>
      </c>
    </row>
  </sheetData>
  <mergeCells count="32">
    <mergeCell ref="P45:P46"/>
    <mergeCell ref="K45:K46"/>
    <mergeCell ref="L45:L46"/>
    <mergeCell ref="M45:M46"/>
    <mergeCell ref="N45:N46"/>
    <mergeCell ref="O45:O46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M13:M14"/>
    <mergeCell ref="N13:N14"/>
    <mergeCell ref="O13:O14"/>
    <mergeCell ref="P13:P14"/>
    <mergeCell ref="G13:G14"/>
    <mergeCell ref="H13:H14"/>
    <mergeCell ref="I13:I14"/>
    <mergeCell ref="J13:J14"/>
    <mergeCell ref="K13:K14"/>
    <mergeCell ref="L13:L14"/>
    <mergeCell ref="F13:F14"/>
    <mergeCell ref="A13:A14"/>
    <mergeCell ref="B13:B14"/>
    <mergeCell ref="C13:C14"/>
    <mergeCell ref="D13:D14"/>
    <mergeCell ref="E13:E14"/>
  </mergeCells>
  <dataValidations count="2">
    <dataValidation type="list" allowBlank="1" showInputMessage="1" showErrorMessage="1" sqref="F47:F49 F15:F17" xr:uid="{214A8E54-764C-ED4B-8B3D-C11A36DF1D42}">
      <formula1>$XFD$1:$XFD$3</formula1>
    </dataValidation>
    <dataValidation type="list" allowBlank="1" showInputMessage="1" showErrorMessage="1" sqref="F50:F51 F18:F19" xr:uid="{266A5453-E5E4-D746-909A-52C696446AA6}">
      <formula1>#REF!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B09F-F046-D049-9261-4B605949135D}">
  <dimension ref="A1:XFD197"/>
  <sheetViews>
    <sheetView zoomScaleNormal="100" workbookViewId="0"/>
  </sheetViews>
  <sheetFormatPr baseColWidth="10" defaultRowHeight="15"/>
  <cols>
    <col min="1" max="1" width="10.5" style="22" customWidth="1"/>
    <col min="2" max="2" width="31.375" style="23" customWidth="1"/>
    <col min="3" max="3" width="18" style="23" customWidth="1"/>
    <col min="4" max="4" width="13.125" style="23" customWidth="1"/>
    <col min="5" max="5" width="13.875" style="49" customWidth="1"/>
    <col min="6" max="6" width="31" style="23" bestFit="1" customWidth="1"/>
    <col min="7" max="7" width="14" style="23" bestFit="1" customWidth="1"/>
    <col min="8" max="8" width="15.5" style="23" bestFit="1" customWidth="1"/>
    <col min="9" max="10" width="11.625" style="23" customWidth="1"/>
    <col min="11" max="11" width="11.875" style="23" customWidth="1"/>
    <col min="12" max="12" width="24.125" style="23" bestFit="1" customWidth="1"/>
    <col min="13" max="13" width="12.5" style="26" bestFit="1" customWidth="1"/>
    <col min="14" max="14" width="11.875" style="23" customWidth="1"/>
    <col min="15" max="15" width="50.875" style="23" customWidth="1"/>
    <col min="16" max="16" width="11.125" style="270" bestFit="1" customWidth="1"/>
    <col min="17" max="17" width="10.125" style="270" bestFit="1" customWidth="1"/>
    <col min="18" max="18" width="12.375" style="270" bestFit="1" customWidth="1"/>
    <col min="19" max="19" width="13.625" style="23" bestFit="1" customWidth="1"/>
    <col min="20" max="16379" width="10.875" style="23"/>
    <col min="16380" max="16383" width="11.5" style="23" customWidth="1"/>
    <col min="16384" max="16384" width="29.5" style="23" customWidth="1"/>
  </cols>
  <sheetData>
    <row r="1" spans="1:9 16384:16384">
      <c r="C1" s="24" t="s">
        <v>1061</v>
      </c>
      <c r="XFD1" s="27" t="s">
        <v>481</v>
      </c>
    </row>
    <row r="2" spans="1:9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F2" s="24" t="s">
        <v>237</v>
      </c>
      <c r="XFD2" s="27" t="s">
        <v>204</v>
      </c>
    </row>
    <row r="3" spans="1:9 16384:16384">
      <c r="A3" s="22">
        <v>22100100</v>
      </c>
      <c r="B3" s="23" t="s">
        <v>35</v>
      </c>
      <c r="C3" s="23">
        <v>123929932.03</v>
      </c>
      <c r="D3" s="23">
        <f t="shared" ref="D3:D16" ca="1" si="0">SUMIF($A$23:$G$196,A3,$G$23:$G$196)-C3</f>
        <v>8.6000114679336548E-3</v>
      </c>
      <c r="E3" s="23">
        <f>C3+'HW PYMES'!I58</f>
        <v>0</v>
      </c>
      <c r="XFD3" s="27" t="s">
        <v>482</v>
      </c>
    </row>
    <row r="4" spans="1:9 16384:16384">
      <c r="A4" s="22">
        <v>23359500</v>
      </c>
      <c r="B4" s="23" t="s">
        <v>36</v>
      </c>
      <c r="C4" s="23">
        <v>1006716749.5</v>
      </c>
      <c r="D4" s="23">
        <f t="shared" ca="1" si="0"/>
        <v>5.9986114501953125E-4</v>
      </c>
      <c r="E4" s="23">
        <f>C4+'HW PYMES'!I59</f>
        <v>0</v>
      </c>
      <c r="F4" s="23" t="s">
        <v>504</v>
      </c>
      <c r="XFD4" s="27" t="s">
        <v>483</v>
      </c>
    </row>
    <row r="5" spans="1:9 16384:16384">
      <c r="A5" s="22">
        <v>23550500</v>
      </c>
      <c r="B5" s="23" t="s">
        <v>193</v>
      </c>
      <c r="C5" s="23">
        <v>393256800</v>
      </c>
      <c r="D5" s="23">
        <f t="shared" ca="1" si="0"/>
        <v>0</v>
      </c>
      <c r="E5" s="23">
        <f>C5+'HW PYMES'!I60</f>
        <v>0</v>
      </c>
      <c r="XFD5" s="27" t="s">
        <v>484</v>
      </c>
    </row>
    <row r="6" spans="1:9 16384:16384">
      <c r="A6" s="22">
        <v>23650500</v>
      </c>
      <c r="B6" s="23" t="s">
        <v>37</v>
      </c>
      <c r="C6" s="23">
        <v>6998000</v>
      </c>
      <c r="D6" s="23">
        <f t="shared" ca="1" si="0"/>
        <v>0</v>
      </c>
      <c r="E6" s="23">
        <f>C6+'HW PYMES'!I61</f>
        <v>0</v>
      </c>
      <c r="XFD6" s="27" t="s">
        <v>485</v>
      </c>
    </row>
    <row r="7" spans="1:9 16384:16384">
      <c r="A7" s="22">
        <v>23654000</v>
      </c>
      <c r="B7" s="23" t="s">
        <v>38</v>
      </c>
      <c r="C7" s="23">
        <v>7040439.3600000003</v>
      </c>
      <c r="D7" s="23">
        <f t="shared" ca="1" si="0"/>
        <v>0</v>
      </c>
      <c r="E7" s="23">
        <f>C7+'HW PYMES'!I62</f>
        <v>0</v>
      </c>
      <c r="XFD7" s="27" t="s">
        <v>486</v>
      </c>
    </row>
    <row r="8" spans="1:9 16384:16384">
      <c r="A8" s="22">
        <v>23657001</v>
      </c>
      <c r="B8" s="23" t="s">
        <v>39</v>
      </c>
      <c r="C8" s="23">
        <v>6324268</v>
      </c>
      <c r="D8" s="23">
        <f t="shared" ca="1" si="0"/>
        <v>0</v>
      </c>
      <c r="E8" s="23">
        <f>C8+'HW PYMES'!I63</f>
        <v>0</v>
      </c>
      <c r="XFD8" s="27" t="s">
        <v>272</v>
      </c>
    </row>
    <row r="9" spans="1:9 16384:16384">
      <c r="A9" s="22">
        <v>23680100</v>
      </c>
      <c r="B9" s="23" t="s">
        <v>41</v>
      </c>
      <c r="C9" s="23">
        <v>1726281.7</v>
      </c>
      <c r="D9" s="23">
        <f t="shared" ca="1" si="0"/>
        <v>0</v>
      </c>
      <c r="E9" s="23">
        <f>C9+'HW PYMES'!I65</f>
        <v>0</v>
      </c>
      <c r="I9" s="270"/>
    </row>
    <row r="10" spans="1:9 16384:16384">
      <c r="A10" s="22">
        <v>23700500</v>
      </c>
      <c r="B10" s="23" t="s">
        <v>42</v>
      </c>
      <c r="C10" s="23">
        <v>9946300</v>
      </c>
      <c r="D10" s="23">
        <f t="shared" ca="1" si="0"/>
        <v>0</v>
      </c>
      <c r="E10" s="23">
        <f>C10+'HW PYMES'!I67</f>
        <v>0</v>
      </c>
      <c r="I10" s="270"/>
    </row>
    <row r="11" spans="1:9 16384:16384">
      <c r="A11" s="22">
        <v>23700600</v>
      </c>
      <c r="B11" s="23" t="s">
        <v>43</v>
      </c>
      <c r="C11" s="23">
        <v>10346300</v>
      </c>
      <c r="D11" s="23">
        <f t="shared" ca="1" si="0"/>
        <v>0</v>
      </c>
      <c r="E11" s="23">
        <f>C11+'HW PYMES'!I68</f>
        <v>0</v>
      </c>
      <c r="I11" s="270"/>
    </row>
    <row r="12" spans="1:9 16384:16384">
      <c r="A12" s="22">
        <v>23701000</v>
      </c>
      <c r="B12" s="23" t="s">
        <v>44</v>
      </c>
      <c r="C12" s="23">
        <v>8786600</v>
      </c>
      <c r="D12" s="23">
        <f t="shared" ca="1" si="0"/>
        <v>0</v>
      </c>
      <c r="E12" s="23">
        <f>C12+'HW PYMES'!I69</f>
        <v>0</v>
      </c>
      <c r="I12" s="270"/>
    </row>
    <row r="13" spans="1:9 16384:16384">
      <c r="A13" s="22">
        <v>23702500</v>
      </c>
      <c r="B13" s="23" t="s">
        <v>194</v>
      </c>
      <c r="C13" s="23">
        <v>1240532</v>
      </c>
      <c r="D13" s="23">
        <f t="shared" ca="1" si="0"/>
        <v>0</v>
      </c>
      <c r="E13" s="23">
        <f>C13+'HW PYMES'!I70</f>
        <v>0</v>
      </c>
      <c r="I13" s="270"/>
    </row>
    <row r="14" spans="1:9 16384:16384" s="23" customFormat="1">
      <c r="A14" s="22">
        <v>23704500</v>
      </c>
      <c r="B14" s="23" t="s">
        <v>195</v>
      </c>
      <c r="C14" s="23">
        <v>5070000</v>
      </c>
      <c r="D14" s="23">
        <f t="shared" ca="1" si="0"/>
        <v>0</v>
      </c>
      <c r="E14" s="23">
        <f>C14+'HW PYMES'!I71</f>
        <v>0</v>
      </c>
      <c r="I14" s="270"/>
    </row>
    <row r="15" spans="1:9 16384:16384" s="23" customFormat="1">
      <c r="A15" s="22">
        <v>23803000</v>
      </c>
      <c r="B15" s="23" t="s">
        <v>45</v>
      </c>
      <c r="C15" s="23">
        <v>28439800</v>
      </c>
      <c r="D15" s="23">
        <f t="shared" ca="1" si="0"/>
        <v>0</v>
      </c>
      <c r="E15" s="23">
        <f>C15+'HW PYMES'!I72</f>
        <v>0</v>
      </c>
      <c r="I15" s="270"/>
    </row>
    <row r="16" spans="1:9 16384:16384" s="23" customFormat="1">
      <c r="A16" s="22">
        <v>28050500</v>
      </c>
      <c r="B16" s="23" t="s">
        <v>56</v>
      </c>
      <c r="C16" s="23">
        <v>930154397.40999997</v>
      </c>
      <c r="D16" s="23">
        <f t="shared" ca="1" si="0"/>
        <v>0</v>
      </c>
      <c r="E16" s="23">
        <f>C16+'HW PYMES'!I85</f>
        <v>0</v>
      </c>
      <c r="I16" s="270"/>
    </row>
    <row r="17" spans="1:18">
      <c r="C17" s="29">
        <f>SUM(C3:C16)</f>
        <v>2539976400</v>
      </c>
    </row>
    <row r="18" spans="1:18">
      <c r="B18" s="30" t="s">
        <v>206</v>
      </c>
      <c r="C18" s="30">
        <f>C17-G197</f>
        <v>-9.2000961303710938E-3</v>
      </c>
    </row>
    <row r="19" spans="1:18">
      <c r="B19" s="30"/>
      <c r="C19" s="30"/>
      <c r="H19" s="226" t="s">
        <v>487</v>
      </c>
    </row>
    <row r="20" spans="1:18">
      <c r="H20" s="271">
        <v>3277.14</v>
      </c>
      <c r="N20" s="32">
        <v>43830</v>
      </c>
    </row>
    <row r="21" spans="1:18" ht="15" customHeight="1">
      <c r="A21" s="474" t="s">
        <v>209</v>
      </c>
      <c r="B21" s="476" t="s">
        <v>210</v>
      </c>
      <c r="C21" s="478" t="s">
        <v>211</v>
      </c>
      <c r="D21" s="478" t="s">
        <v>212</v>
      </c>
      <c r="E21" s="516" t="s">
        <v>213</v>
      </c>
      <c r="F21" s="478" t="s">
        <v>455</v>
      </c>
      <c r="G21" s="493" t="s">
        <v>499</v>
      </c>
      <c r="H21" s="493" t="s">
        <v>488</v>
      </c>
      <c r="I21" s="472" t="s">
        <v>215</v>
      </c>
      <c r="J21" s="472" t="s">
        <v>457</v>
      </c>
      <c r="K21" s="472" t="s">
        <v>217</v>
      </c>
      <c r="L21" s="472" t="s">
        <v>219</v>
      </c>
      <c r="M21" s="485" t="s">
        <v>221</v>
      </c>
      <c r="N21" s="472" t="s">
        <v>489</v>
      </c>
      <c r="O21" s="472" t="s">
        <v>222</v>
      </c>
      <c r="P21" s="518" t="s">
        <v>500</v>
      </c>
    </row>
    <row r="22" spans="1:18" ht="45" customHeight="1">
      <c r="A22" s="475"/>
      <c r="B22" s="477"/>
      <c r="C22" s="472"/>
      <c r="D22" s="472"/>
      <c r="E22" s="517"/>
      <c r="F22" s="472"/>
      <c r="G22" s="479"/>
      <c r="H22" s="479"/>
      <c r="I22" s="473"/>
      <c r="J22" s="473"/>
      <c r="K22" s="473"/>
      <c r="L22" s="473"/>
      <c r="M22" s="486"/>
      <c r="N22" s="473"/>
      <c r="O22" s="473"/>
      <c r="P22" s="519"/>
      <c r="Q22" s="278" t="s">
        <v>490</v>
      </c>
      <c r="R22" s="278" t="s">
        <v>491</v>
      </c>
    </row>
    <row r="23" spans="1:18">
      <c r="A23" s="22">
        <v>22100100</v>
      </c>
      <c r="B23" s="23" t="s">
        <v>35</v>
      </c>
      <c r="C23" s="34" t="s">
        <v>1006</v>
      </c>
      <c r="D23" s="34"/>
      <c r="F23" s="36" t="s">
        <v>482</v>
      </c>
      <c r="G23" s="23">
        <f>H23</f>
        <v>4092033.6324</v>
      </c>
      <c r="H23" s="279">
        <f>P23*$H$20</f>
        <v>4092033.6324</v>
      </c>
      <c r="I23" s="37">
        <v>44196</v>
      </c>
      <c r="J23" s="37">
        <f>I23+365</f>
        <v>44561</v>
      </c>
      <c r="K23" s="38">
        <f>IF(J23-I23&lt;0,"Error",J23-I23)</f>
        <v>365</v>
      </c>
      <c r="L23" s="38" t="str">
        <f>IF(K23&gt;365,"Medir al costo amortizado","Dejar al valor nominal")</f>
        <v>Dejar al valor nominal</v>
      </c>
      <c r="M23" s="38">
        <f>H23-G23</f>
        <v>0</v>
      </c>
      <c r="N23" s="272" t="str">
        <f>IF($N$20-J23&gt;K23,"Revisar","OK")</f>
        <v>OK</v>
      </c>
      <c r="O23" s="23" t="s">
        <v>700</v>
      </c>
      <c r="P23" s="270">
        <v>1248.6600000000001</v>
      </c>
      <c r="Q23" s="270">
        <f>P23</f>
        <v>1248.6600000000001</v>
      </c>
    </row>
    <row r="24" spans="1:18">
      <c r="A24" s="22">
        <v>22100100</v>
      </c>
      <c r="B24" s="23" t="s">
        <v>35</v>
      </c>
      <c r="C24" s="34" t="s">
        <v>1006</v>
      </c>
      <c r="D24" s="34"/>
      <c r="F24" s="36" t="s">
        <v>482</v>
      </c>
      <c r="G24" s="23">
        <f>H24</f>
        <v>119837898.40620001</v>
      </c>
      <c r="H24" s="279">
        <f>P24*$H$20</f>
        <v>119837898.40620001</v>
      </c>
      <c r="I24" s="37">
        <v>44196</v>
      </c>
      <c r="J24" s="37">
        <f>I24+365</f>
        <v>44561</v>
      </c>
      <c r="K24" s="38">
        <f>IF(J24-I24&lt;0,"Error",J24-I24)</f>
        <v>365</v>
      </c>
      <c r="L24" s="38" t="str">
        <f>IF(K24&gt;365,"Medir al costo amortizado","Dejar al valor nominal")</f>
        <v>Dejar al valor nominal</v>
      </c>
      <c r="M24" s="38">
        <f>H24-G24</f>
        <v>0</v>
      </c>
      <c r="N24" s="272" t="str">
        <f>IF($N$20-J24&gt;K24,"Revisar","OK")</f>
        <v>OK</v>
      </c>
      <c r="O24" s="23" t="s">
        <v>501</v>
      </c>
      <c r="P24" s="270">
        <v>36567.83</v>
      </c>
      <c r="Q24" s="270">
        <f>P24</f>
        <v>36567.83</v>
      </c>
    </row>
    <row r="25" spans="1:18">
      <c r="C25" s="34"/>
      <c r="D25" s="34"/>
      <c r="I25" s="37"/>
      <c r="J25" s="37"/>
      <c r="K25" s="38"/>
      <c r="L25" s="38"/>
      <c r="M25" s="38"/>
      <c r="N25" s="272"/>
    </row>
    <row r="26" spans="1:18">
      <c r="A26" s="22">
        <v>23550500</v>
      </c>
      <c r="B26" s="23" t="s">
        <v>193</v>
      </c>
      <c r="C26" s="34" t="s">
        <v>1006</v>
      </c>
      <c r="D26" s="34"/>
      <c r="F26" s="36" t="s">
        <v>482</v>
      </c>
      <c r="G26" s="23">
        <f>H26</f>
        <v>393256800</v>
      </c>
      <c r="H26" s="279">
        <f>P26*$H$20</f>
        <v>393256800</v>
      </c>
      <c r="I26" s="37">
        <v>44162</v>
      </c>
      <c r="J26" s="37">
        <f>I26+365</f>
        <v>44527</v>
      </c>
      <c r="K26" s="38">
        <f>IF(J26-I26&lt;0,"Error",J26-I26)</f>
        <v>365</v>
      </c>
      <c r="L26" s="38" t="str">
        <f>IF(K26&gt;365,"Medir al costo amortizado","Dejar al valor nominal")</f>
        <v>Dejar al valor nominal</v>
      </c>
      <c r="M26" s="38">
        <f>H26-G26</f>
        <v>0</v>
      </c>
      <c r="N26" s="272" t="str">
        <f>IF($N$20-J26&gt;K26,"Revisar","OK")</f>
        <v>OK</v>
      </c>
      <c r="O26" s="23" t="s">
        <v>502</v>
      </c>
      <c r="P26" s="270">
        <v>120000</v>
      </c>
      <c r="Q26" s="270">
        <f>P26</f>
        <v>120000</v>
      </c>
    </row>
    <row r="27" spans="1:18">
      <c r="C27" s="34"/>
      <c r="D27" s="34"/>
      <c r="I27" s="37"/>
      <c r="J27" s="37"/>
      <c r="K27" s="38"/>
      <c r="L27" s="38"/>
      <c r="M27" s="38"/>
      <c r="N27" s="272"/>
    </row>
    <row r="28" spans="1:18">
      <c r="A28" s="22">
        <v>23359500</v>
      </c>
      <c r="B28" s="23" t="s">
        <v>36</v>
      </c>
      <c r="C28" s="34" t="s">
        <v>1007</v>
      </c>
      <c r="D28" s="34"/>
      <c r="F28" s="36" t="s">
        <v>204</v>
      </c>
      <c r="G28" s="23">
        <f>H28</f>
        <v>60928128.080399998</v>
      </c>
      <c r="H28" s="279">
        <f>P28*$H$20</f>
        <v>60928128.080399998</v>
      </c>
      <c r="I28" s="37">
        <v>44196</v>
      </c>
      <c r="J28" s="37">
        <f>I28+30</f>
        <v>44226</v>
      </c>
      <c r="K28" s="38">
        <f>IF(J28-I28&lt;0,"Error",J28-I28)</f>
        <v>30</v>
      </c>
      <c r="L28" s="38" t="str">
        <f>IF(K28&gt;365,"Medir al costo amortizado","Dejar al valor nominal")</f>
        <v>Dejar al valor nominal</v>
      </c>
      <c r="M28" s="38">
        <f>H28-G28</f>
        <v>0</v>
      </c>
      <c r="N28" s="272" t="str">
        <f>IF($N$20-J28&gt;K28,"Revisar","OK")</f>
        <v>OK</v>
      </c>
      <c r="P28" s="270">
        <v>18591.86</v>
      </c>
      <c r="Q28" s="23">
        <f>P28</f>
        <v>18591.86</v>
      </c>
      <c r="R28" s="23"/>
    </row>
    <row r="29" spans="1:18">
      <c r="A29" s="22">
        <v>23359500</v>
      </c>
      <c r="B29" s="23" t="s">
        <v>36</v>
      </c>
      <c r="C29" s="34" t="s">
        <v>1008</v>
      </c>
      <c r="D29" s="34"/>
      <c r="F29" s="36" t="s">
        <v>204</v>
      </c>
      <c r="G29" s="23">
        <v>1097530</v>
      </c>
      <c r="H29" s="23">
        <v>1097530</v>
      </c>
      <c r="I29" s="37">
        <v>44170</v>
      </c>
      <c r="J29" s="37">
        <f>I29+30</f>
        <v>44200</v>
      </c>
      <c r="K29" s="38">
        <f>IF(J29-I29&lt;0,"Error",J29-I29)</f>
        <v>30</v>
      </c>
      <c r="L29" s="38" t="str">
        <f>IF(K29&gt;365,"Medir al costo amortizado","Dejar al valor nominal")</f>
        <v>Dejar al valor nominal</v>
      </c>
      <c r="M29" s="38">
        <f>H29-G29</f>
        <v>0</v>
      </c>
      <c r="N29" s="272" t="str">
        <f>IF($N$20-J29&gt;K29,"Revisar","OK")</f>
        <v>OK</v>
      </c>
    </row>
    <row r="30" spans="1:18">
      <c r="A30" s="22">
        <v>23359500</v>
      </c>
      <c r="B30" s="23" t="s">
        <v>36</v>
      </c>
      <c r="C30" s="34" t="s">
        <v>1008</v>
      </c>
      <c r="D30" s="34"/>
      <c r="F30" s="36" t="s">
        <v>204</v>
      </c>
      <c r="G30" s="23">
        <v>3450510</v>
      </c>
      <c r="H30" s="23">
        <v>3450510</v>
      </c>
      <c r="I30" s="37">
        <v>44177</v>
      </c>
      <c r="J30" s="37">
        <f t="shared" ref="J30:J88" si="1">I30+30</f>
        <v>44207</v>
      </c>
      <c r="K30" s="38">
        <f t="shared" ref="K30:K88" si="2">IF(J30-I30&lt;0,"Error",J30-I30)</f>
        <v>30</v>
      </c>
      <c r="L30" s="38" t="str">
        <f t="shared" ref="L30:L88" si="3">IF(K30&gt;365,"Medir al costo amortizado","Dejar al valor nominal")</f>
        <v>Dejar al valor nominal</v>
      </c>
      <c r="M30" s="38">
        <f t="shared" ref="M30:M88" si="4">H30-G30</f>
        <v>0</v>
      </c>
      <c r="N30" s="272" t="str">
        <f t="shared" ref="N30:N88" si="5">IF($N$20-J30&gt;K30,"Revisar","OK")</f>
        <v>OK</v>
      </c>
    </row>
    <row r="31" spans="1:18">
      <c r="A31" s="22">
        <v>23359500</v>
      </c>
      <c r="B31" s="23" t="s">
        <v>36</v>
      </c>
      <c r="C31" s="34" t="s">
        <v>1008</v>
      </c>
      <c r="D31" s="34"/>
      <c r="F31" s="36" t="s">
        <v>204</v>
      </c>
      <c r="G31" s="23">
        <v>225351</v>
      </c>
      <c r="H31" s="23">
        <v>225351</v>
      </c>
      <c r="I31" s="37">
        <v>44167</v>
      </c>
      <c r="J31" s="37">
        <f t="shared" si="1"/>
        <v>44197</v>
      </c>
      <c r="K31" s="38">
        <f t="shared" si="2"/>
        <v>30</v>
      </c>
      <c r="L31" s="38" t="str">
        <f t="shared" si="3"/>
        <v>Dejar al valor nominal</v>
      </c>
      <c r="M31" s="38">
        <f t="shared" si="4"/>
        <v>0</v>
      </c>
      <c r="N31" s="272" t="str">
        <f t="shared" si="5"/>
        <v>OK</v>
      </c>
    </row>
    <row r="32" spans="1:18">
      <c r="A32" s="22">
        <v>23359500</v>
      </c>
      <c r="B32" s="23" t="s">
        <v>36</v>
      </c>
      <c r="C32" s="34" t="s">
        <v>1008</v>
      </c>
      <c r="D32" s="34"/>
      <c r="F32" s="36" t="s">
        <v>204</v>
      </c>
      <c r="G32" s="23">
        <v>225351</v>
      </c>
      <c r="H32" s="23">
        <v>225351</v>
      </c>
      <c r="I32" s="37">
        <v>44174</v>
      </c>
      <c r="J32" s="37">
        <f t="shared" si="1"/>
        <v>44204</v>
      </c>
      <c r="K32" s="38">
        <f t="shared" si="2"/>
        <v>30</v>
      </c>
      <c r="L32" s="38" t="str">
        <f t="shared" si="3"/>
        <v>Dejar al valor nominal</v>
      </c>
      <c r="M32" s="38">
        <f t="shared" si="4"/>
        <v>0</v>
      </c>
      <c r="N32" s="272" t="str">
        <f t="shared" si="5"/>
        <v>OK</v>
      </c>
      <c r="P32" s="23"/>
      <c r="Q32" s="23"/>
      <c r="R32" s="23"/>
    </row>
    <row r="33" spans="1:18">
      <c r="A33" s="22">
        <v>23359500</v>
      </c>
      <c r="B33" s="23" t="s">
        <v>36</v>
      </c>
      <c r="C33" s="34" t="s">
        <v>1008</v>
      </c>
      <c r="D33" s="34"/>
      <c r="F33" s="36" t="s">
        <v>204</v>
      </c>
      <c r="G33" s="23">
        <v>353210</v>
      </c>
      <c r="H33" s="23">
        <v>353210</v>
      </c>
      <c r="I33" s="37">
        <v>44168</v>
      </c>
      <c r="J33" s="37">
        <f t="shared" si="1"/>
        <v>44198</v>
      </c>
      <c r="K33" s="38">
        <f t="shared" si="2"/>
        <v>30</v>
      </c>
      <c r="L33" s="38" t="str">
        <f t="shared" si="3"/>
        <v>Dejar al valor nominal</v>
      </c>
      <c r="M33" s="38">
        <f t="shared" si="4"/>
        <v>0</v>
      </c>
      <c r="N33" s="272" t="str">
        <f t="shared" si="5"/>
        <v>OK</v>
      </c>
      <c r="P33" s="23"/>
      <c r="Q33" s="23"/>
      <c r="R33" s="23"/>
    </row>
    <row r="34" spans="1:18">
      <c r="A34" s="22">
        <v>23359500</v>
      </c>
      <c r="B34" s="23" t="s">
        <v>36</v>
      </c>
      <c r="C34" s="34" t="s">
        <v>1008</v>
      </c>
      <c r="D34" s="34"/>
      <c r="F34" s="36" t="s">
        <v>204</v>
      </c>
      <c r="G34" s="23">
        <v>1020366</v>
      </c>
      <c r="H34" s="23">
        <v>1020366</v>
      </c>
      <c r="I34" s="37">
        <v>44140</v>
      </c>
      <c r="J34" s="37">
        <f t="shared" si="1"/>
        <v>44170</v>
      </c>
      <c r="K34" s="38">
        <f t="shared" si="2"/>
        <v>30</v>
      </c>
      <c r="L34" s="38" t="str">
        <f t="shared" si="3"/>
        <v>Dejar al valor nominal</v>
      </c>
      <c r="M34" s="38">
        <f t="shared" si="4"/>
        <v>0</v>
      </c>
      <c r="N34" s="272" t="str">
        <f t="shared" si="5"/>
        <v>OK</v>
      </c>
      <c r="P34" s="23"/>
      <c r="Q34" s="23"/>
      <c r="R34" s="23"/>
    </row>
    <row r="35" spans="1:18">
      <c r="A35" s="22">
        <v>23359500</v>
      </c>
      <c r="B35" s="23" t="s">
        <v>36</v>
      </c>
      <c r="C35" s="34" t="s">
        <v>1008</v>
      </c>
      <c r="D35" s="34"/>
      <c r="F35" s="36" t="s">
        <v>204</v>
      </c>
      <c r="G35" s="23">
        <v>372161</v>
      </c>
      <c r="H35" s="23">
        <v>372161</v>
      </c>
      <c r="I35" s="37">
        <v>44140</v>
      </c>
      <c r="J35" s="37">
        <f t="shared" si="1"/>
        <v>44170</v>
      </c>
      <c r="K35" s="38">
        <f t="shared" si="2"/>
        <v>30</v>
      </c>
      <c r="L35" s="38" t="str">
        <f t="shared" si="3"/>
        <v>Dejar al valor nominal</v>
      </c>
      <c r="M35" s="38">
        <f t="shared" si="4"/>
        <v>0</v>
      </c>
      <c r="N35" s="272" t="str">
        <f t="shared" si="5"/>
        <v>OK</v>
      </c>
      <c r="P35" s="23"/>
      <c r="Q35" s="23"/>
      <c r="R35" s="23"/>
    </row>
    <row r="36" spans="1:18">
      <c r="A36" s="22">
        <v>23359500</v>
      </c>
      <c r="B36" s="23" t="s">
        <v>36</v>
      </c>
      <c r="C36" s="34" t="s">
        <v>1008</v>
      </c>
      <c r="D36" s="34"/>
      <c r="F36" s="36" t="s">
        <v>204</v>
      </c>
      <c r="G36" s="23">
        <v>950810</v>
      </c>
      <c r="H36" s="23">
        <v>950810</v>
      </c>
      <c r="I36" s="37">
        <v>44148</v>
      </c>
      <c r="J36" s="37">
        <f t="shared" si="1"/>
        <v>44178</v>
      </c>
      <c r="K36" s="38">
        <f t="shared" si="2"/>
        <v>30</v>
      </c>
      <c r="L36" s="38" t="str">
        <f t="shared" si="3"/>
        <v>Dejar al valor nominal</v>
      </c>
      <c r="M36" s="38">
        <f t="shared" si="4"/>
        <v>0</v>
      </c>
      <c r="N36" s="272" t="str">
        <f t="shared" si="5"/>
        <v>OK</v>
      </c>
      <c r="P36" s="23"/>
      <c r="Q36" s="23"/>
      <c r="R36" s="23"/>
    </row>
    <row r="37" spans="1:18">
      <c r="A37" s="22">
        <v>23359500</v>
      </c>
      <c r="B37" s="23" t="s">
        <v>36</v>
      </c>
      <c r="C37" s="34" t="s">
        <v>1008</v>
      </c>
      <c r="D37" s="34"/>
      <c r="F37" s="36" t="s">
        <v>204</v>
      </c>
      <c r="G37" s="23">
        <v>822290</v>
      </c>
      <c r="H37" s="23">
        <v>822290</v>
      </c>
      <c r="I37" s="37">
        <v>44167</v>
      </c>
      <c r="J37" s="37">
        <f t="shared" si="1"/>
        <v>44197</v>
      </c>
      <c r="K37" s="38">
        <f t="shared" si="2"/>
        <v>30</v>
      </c>
      <c r="L37" s="38" t="str">
        <f t="shared" si="3"/>
        <v>Dejar al valor nominal</v>
      </c>
      <c r="M37" s="38">
        <f t="shared" si="4"/>
        <v>0</v>
      </c>
      <c r="N37" s="272" t="str">
        <f t="shared" si="5"/>
        <v>OK</v>
      </c>
      <c r="P37" s="23"/>
      <c r="Q37" s="23"/>
      <c r="R37" s="23"/>
    </row>
    <row r="38" spans="1:18">
      <c r="A38" s="22">
        <v>23359500</v>
      </c>
      <c r="B38" s="23" t="s">
        <v>36</v>
      </c>
      <c r="C38" s="34" t="s">
        <v>1008</v>
      </c>
      <c r="D38" s="34"/>
      <c r="F38" s="36" t="s">
        <v>204</v>
      </c>
      <c r="G38" s="23">
        <v>879529</v>
      </c>
      <c r="H38" s="23">
        <v>879529</v>
      </c>
      <c r="I38" s="37">
        <v>44167</v>
      </c>
      <c r="J38" s="37">
        <f t="shared" si="1"/>
        <v>44197</v>
      </c>
      <c r="K38" s="38">
        <f t="shared" si="2"/>
        <v>30</v>
      </c>
      <c r="L38" s="38" t="str">
        <f t="shared" si="3"/>
        <v>Dejar al valor nominal</v>
      </c>
      <c r="M38" s="38">
        <f t="shared" si="4"/>
        <v>0</v>
      </c>
      <c r="N38" s="272" t="str">
        <f t="shared" si="5"/>
        <v>OK</v>
      </c>
      <c r="P38" s="23"/>
      <c r="Q38" s="23"/>
      <c r="R38" s="23"/>
    </row>
    <row r="39" spans="1:18">
      <c r="A39" s="22">
        <v>23359500</v>
      </c>
      <c r="B39" s="23" t="s">
        <v>36</v>
      </c>
      <c r="C39" s="34" t="s">
        <v>1008</v>
      </c>
      <c r="D39" s="34"/>
      <c r="F39" s="36" t="s">
        <v>204</v>
      </c>
      <c r="G39" s="23">
        <v>911421</v>
      </c>
      <c r="H39" s="23">
        <v>911421</v>
      </c>
      <c r="I39" s="37">
        <v>44175</v>
      </c>
      <c r="J39" s="37">
        <f t="shared" si="1"/>
        <v>44205</v>
      </c>
      <c r="K39" s="38">
        <f t="shared" si="2"/>
        <v>30</v>
      </c>
      <c r="L39" s="38" t="str">
        <f t="shared" si="3"/>
        <v>Dejar al valor nominal</v>
      </c>
      <c r="M39" s="38">
        <f t="shared" si="4"/>
        <v>0</v>
      </c>
      <c r="N39" s="272" t="str">
        <f t="shared" si="5"/>
        <v>OK</v>
      </c>
      <c r="P39" s="23"/>
      <c r="Q39" s="23"/>
      <c r="R39" s="23"/>
    </row>
    <row r="40" spans="1:18">
      <c r="A40" s="22">
        <v>23359500</v>
      </c>
      <c r="B40" s="23" t="s">
        <v>36</v>
      </c>
      <c r="C40" s="34" t="s">
        <v>1008</v>
      </c>
      <c r="D40" s="34"/>
      <c r="F40" s="36" t="s">
        <v>204</v>
      </c>
      <c r="G40" s="23">
        <v>15266748</v>
      </c>
      <c r="H40" s="23">
        <v>15266748</v>
      </c>
      <c r="I40" s="37">
        <v>44175</v>
      </c>
      <c r="J40" s="37">
        <f t="shared" si="1"/>
        <v>44205</v>
      </c>
      <c r="K40" s="38">
        <f t="shared" si="2"/>
        <v>30</v>
      </c>
      <c r="L40" s="38" t="str">
        <f t="shared" si="3"/>
        <v>Dejar al valor nominal</v>
      </c>
      <c r="M40" s="38">
        <f t="shared" si="4"/>
        <v>0</v>
      </c>
      <c r="N40" s="272" t="str">
        <f t="shared" si="5"/>
        <v>OK</v>
      </c>
      <c r="P40" s="23"/>
      <c r="Q40" s="23"/>
      <c r="R40" s="23"/>
    </row>
    <row r="41" spans="1:18">
      <c r="A41" s="22">
        <v>23359500</v>
      </c>
      <c r="B41" s="23" t="s">
        <v>36</v>
      </c>
      <c r="C41" s="34" t="s">
        <v>1008</v>
      </c>
      <c r="D41" s="34"/>
      <c r="F41" s="36" t="s">
        <v>204</v>
      </c>
      <c r="G41" s="23">
        <v>13008716</v>
      </c>
      <c r="H41" s="23">
        <v>13008716</v>
      </c>
      <c r="I41" s="37">
        <v>44176</v>
      </c>
      <c r="J41" s="37">
        <f t="shared" si="1"/>
        <v>44206</v>
      </c>
      <c r="K41" s="38">
        <f t="shared" si="2"/>
        <v>30</v>
      </c>
      <c r="L41" s="38" t="str">
        <f t="shared" si="3"/>
        <v>Dejar al valor nominal</v>
      </c>
      <c r="M41" s="38">
        <f t="shared" si="4"/>
        <v>0</v>
      </c>
      <c r="N41" s="272" t="str">
        <f t="shared" si="5"/>
        <v>OK</v>
      </c>
      <c r="P41" s="23"/>
      <c r="Q41" s="23"/>
      <c r="R41" s="23"/>
    </row>
    <row r="42" spans="1:18">
      <c r="A42" s="22">
        <v>23359500</v>
      </c>
      <c r="B42" s="23" t="s">
        <v>36</v>
      </c>
      <c r="C42" s="34" t="s">
        <v>1008</v>
      </c>
      <c r="D42" s="34"/>
      <c r="F42" s="36" t="s">
        <v>204</v>
      </c>
      <c r="G42" s="23">
        <v>2838741.6</v>
      </c>
      <c r="H42" s="23">
        <v>2838741.6</v>
      </c>
      <c r="I42" s="37">
        <v>44184</v>
      </c>
      <c r="J42" s="37">
        <f t="shared" si="1"/>
        <v>44214</v>
      </c>
      <c r="K42" s="38">
        <f t="shared" si="2"/>
        <v>30</v>
      </c>
      <c r="L42" s="38" t="str">
        <f t="shared" si="3"/>
        <v>Dejar al valor nominal</v>
      </c>
      <c r="M42" s="38">
        <f t="shared" si="4"/>
        <v>0</v>
      </c>
      <c r="N42" s="272" t="str">
        <f t="shared" si="5"/>
        <v>OK</v>
      </c>
      <c r="P42" s="23"/>
      <c r="Q42" s="23"/>
      <c r="R42" s="23"/>
    </row>
    <row r="43" spans="1:18">
      <c r="A43" s="22">
        <v>23359500</v>
      </c>
      <c r="B43" s="23" t="s">
        <v>36</v>
      </c>
      <c r="C43" s="34" t="s">
        <v>1008</v>
      </c>
      <c r="D43" s="34"/>
      <c r="F43" s="36" t="s">
        <v>204</v>
      </c>
      <c r="G43" s="23">
        <v>68894</v>
      </c>
      <c r="H43" s="23">
        <v>68894</v>
      </c>
      <c r="I43" s="37">
        <v>44151</v>
      </c>
      <c r="J43" s="37">
        <f t="shared" si="1"/>
        <v>44181</v>
      </c>
      <c r="K43" s="38">
        <f t="shared" si="2"/>
        <v>30</v>
      </c>
      <c r="L43" s="38" t="str">
        <f t="shared" si="3"/>
        <v>Dejar al valor nominal</v>
      </c>
      <c r="M43" s="38">
        <f t="shared" si="4"/>
        <v>0</v>
      </c>
      <c r="N43" s="272" t="str">
        <f t="shared" si="5"/>
        <v>OK</v>
      </c>
      <c r="P43" s="23"/>
      <c r="Q43" s="23"/>
      <c r="R43" s="23"/>
    </row>
    <row r="44" spans="1:18">
      <c r="A44" s="22">
        <v>23359500</v>
      </c>
      <c r="B44" s="23" t="s">
        <v>36</v>
      </c>
      <c r="C44" s="34" t="s">
        <v>1008</v>
      </c>
      <c r="D44" s="34"/>
      <c r="F44" s="36" t="s">
        <v>204</v>
      </c>
      <c r="G44" s="23">
        <v>295960</v>
      </c>
      <c r="H44" s="23">
        <v>295960</v>
      </c>
      <c r="I44" s="37">
        <v>44154</v>
      </c>
      <c r="J44" s="37">
        <f t="shared" si="1"/>
        <v>44184</v>
      </c>
      <c r="K44" s="38">
        <f t="shared" si="2"/>
        <v>30</v>
      </c>
      <c r="L44" s="38" t="str">
        <f t="shared" si="3"/>
        <v>Dejar al valor nominal</v>
      </c>
      <c r="M44" s="38">
        <f t="shared" si="4"/>
        <v>0</v>
      </c>
      <c r="N44" s="272" t="str">
        <f t="shared" si="5"/>
        <v>OK</v>
      </c>
      <c r="P44" s="23"/>
      <c r="Q44" s="23"/>
      <c r="R44" s="23"/>
    </row>
    <row r="45" spans="1:18">
      <c r="A45" s="22">
        <v>23359500</v>
      </c>
      <c r="B45" s="23" t="s">
        <v>36</v>
      </c>
      <c r="C45" s="34" t="s">
        <v>1008</v>
      </c>
      <c r="D45" s="34"/>
      <c r="F45" s="36" t="s">
        <v>204</v>
      </c>
      <c r="G45" s="23">
        <v>137788</v>
      </c>
      <c r="H45" s="23">
        <v>137788</v>
      </c>
      <c r="I45" s="37">
        <v>44167</v>
      </c>
      <c r="J45" s="37">
        <f t="shared" si="1"/>
        <v>44197</v>
      </c>
      <c r="K45" s="38">
        <f t="shared" si="2"/>
        <v>30</v>
      </c>
      <c r="L45" s="38" t="str">
        <f t="shared" si="3"/>
        <v>Dejar al valor nominal</v>
      </c>
      <c r="M45" s="38">
        <f t="shared" si="4"/>
        <v>0</v>
      </c>
      <c r="N45" s="272" t="str">
        <f t="shared" si="5"/>
        <v>OK</v>
      </c>
      <c r="P45" s="23"/>
      <c r="Q45" s="23"/>
      <c r="R45" s="23"/>
    </row>
    <row r="46" spans="1:18">
      <c r="A46" s="22">
        <v>23359500</v>
      </c>
      <c r="B46" s="23" t="s">
        <v>36</v>
      </c>
      <c r="C46" s="34" t="s">
        <v>1008</v>
      </c>
      <c r="D46" s="34"/>
      <c r="F46" s="36" t="s">
        <v>204</v>
      </c>
      <c r="G46" s="23">
        <v>2090486.46</v>
      </c>
      <c r="H46" s="23">
        <v>2090486.46</v>
      </c>
      <c r="I46" s="37">
        <v>44167</v>
      </c>
      <c r="J46" s="37">
        <f t="shared" si="1"/>
        <v>44197</v>
      </c>
      <c r="K46" s="38">
        <f t="shared" si="2"/>
        <v>30</v>
      </c>
      <c r="L46" s="38" t="str">
        <f t="shared" si="3"/>
        <v>Dejar al valor nominal</v>
      </c>
      <c r="M46" s="38">
        <f t="shared" si="4"/>
        <v>0</v>
      </c>
      <c r="N46" s="272" t="str">
        <f t="shared" si="5"/>
        <v>OK</v>
      </c>
      <c r="P46" s="23"/>
      <c r="Q46" s="23"/>
      <c r="R46" s="23"/>
    </row>
    <row r="47" spans="1:18">
      <c r="A47" s="22">
        <v>23359500</v>
      </c>
      <c r="B47" s="23" t="s">
        <v>36</v>
      </c>
      <c r="C47" s="34" t="s">
        <v>1008</v>
      </c>
      <c r="D47" s="34"/>
      <c r="F47" s="36" t="s">
        <v>204</v>
      </c>
      <c r="G47" s="23">
        <v>4564260</v>
      </c>
      <c r="H47" s="23">
        <v>4564260</v>
      </c>
      <c r="I47" s="37">
        <v>44192</v>
      </c>
      <c r="J47" s="37">
        <f t="shared" si="1"/>
        <v>44222</v>
      </c>
      <c r="K47" s="38">
        <f t="shared" si="2"/>
        <v>30</v>
      </c>
      <c r="L47" s="38" t="str">
        <f t="shared" si="3"/>
        <v>Dejar al valor nominal</v>
      </c>
      <c r="M47" s="38">
        <f t="shared" si="4"/>
        <v>0</v>
      </c>
      <c r="N47" s="272" t="str">
        <f t="shared" si="5"/>
        <v>OK</v>
      </c>
      <c r="P47" s="23"/>
      <c r="Q47" s="23"/>
      <c r="R47" s="23"/>
    </row>
    <row r="48" spans="1:18">
      <c r="A48" s="22">
        <v>23359500</v>
      </c>
      <c r="B48" s="23" t="s">
        <v>36</v>
      </c>
      <c r="C48" s="34" t="s">
        <v>1008</v>
      </c>
      <c r="D48" s="34"/>
      <c r="F48" s="36" t="s">
        <v>204</v>
      </c>
      <c r="G48" s="23">
        <v>929557</v>
      </c>
      <c r="H48" s="23">
        <v>929557</v>
      </c>
      <c r="I48" s="37">
        <v>44188</v>
      </c>
      <c r="J48" s="37">
        <f t="shared" si="1"/>
        <v>44218</v>
      </c>
      <c r="K48" s="38">
        <f t="shared" si="2"/>
        <v>30</v>
      </c>
      <c r="L48" s="38" t="str">
        <f t="shared" si="3"/>
        <v>Dejar al valor nominal</v>
      </c>
      <c r="M48" s="38">
        <f t="shared" si="4"/>
        <v>0</v>
      </c>
      <c r="N48" s="272" t="str">
        <f t="shared" si="5"/>
        <v>OK</v>
      </c>
      <c r="P48" s="23"/>
      <c r="Q48" s="23"/>
      <c r="R48" s="23"/>
    </row>
    <row r="49" spans="1:18">
      <c r="A49" s="22">
        <v>23359500</v>
      </c>
      <c r="B49" s="23" t="s">
        <v>36</v>
      </c>
      <c r="C49" s="34" t="s">
        <v>1008</v>
      </c>
      <c r="D49" s="34"/>
      <c r="F49" s="36" t="s">
        <v>204</v>
      </c>
      <c r="G49" s="23">
        <v>121990</v>
      </c>
      <c r="H49" s="23">
        <v>121990</v>
      </c>
      <c r="I49" s="37">
        <v>44195</v>
      </c>
      <c r="J49" s="37">
        <f t="shared" si="1"/>
        <v>44225</v>
      </c>
      <c r="K49" s="38">
        <f t="shared" si="2"/>
        <v>30</v>
      </c>
      <c r="L49" s="38" t="str">
        <f t="shared" si="3"/>
        <v>Dejar al valor nominal</v>
      </c>
      <c r="M49" s="38">
        <f t="shared" si="4"/>
        <v>0</v>
      </c>
      <c r="N49" s="272" t="str">
        <f t="shared" si="5"/>
        <v>OK</v>
      </c>
      <c r="P49" s="23"/>
      <c r="Q49" s="23"/>
      <c r="R49" s="23"/>
    </row>
    <row r="50" spans="1:18">
      <c r="A50" s="22">
        <v>23359500</v>
      </c>
      <c r="B50" s="23" t="s">
        <v>36</v>
      </c>
      <c r="C50" s="34" t="s">
        <v>1008</v>
      </c>
      <c r="D50" s="34"/>
      <c r="F50" s="36" t="s">
        <v>204</v>
      </c>
      <c r="G50" s="23">
        <v>100000</v>
      </c>
      <c r="H50" s="23">
        <v>100000</v>
      </c>
      <c r="I50" s="37">
        <v>44166</v>
      </c>
      <c r="J50" s="37">
        <f t="shared" si="1"/>
        <v>44196</v>
      </c>
      <c r="K50" s="38">
        <f t="shared" si="2"/>
        <v>30</v>
      </c>
      <c r="L50" s="38" t="str">
        <f t="shared" si="3"/>
        <v>Dejar al valor nominal</v>
      </c>
      <c r="M50" s="38">
        <f t="shared" si="4"/>
        <v>0</v>
      </c>
      <c r="N50" s="272" t="str">
        <f t="shared" si="5"/>
        <v>OK</v>
      </c>
      <c r="P50" s="23"/>
      <c r="Q50" s="23"/>
      <c r="R50" s="23"/>
    </row>
    <row r="51" spans="1:18">
      <c r="A51" s="22">
        <v>23359500</v>
      </c>
      <c r="B51" s="23" t="s">
        <v>36</v>
      </c>
      <c r="C51" s="34" t="s">
        <v>1008</v>
      </c>
      <c r="D51" s="34"/>
      <c r="F51" s="36" t="s">
        <v>204</v>
      </c>
      <c r="G51" s="23">
        <v>20000</v>
      </c>
      <c r="H51" s="23">
        <v>20000</v>
      </c>
      <c r="I51" s="37">
        <v>44166</v>
      </c>
      <c r="J51" s="37">
        <f t="shared" si="1"/>
        <v>44196</v>
      </c>
      <c r="K51" s="38">
        <f t="shared" si="2"/>
        <v>30</v>
      </c>
      <c r="L51" s="38" t="str">
        <f t="shared" si="3"/>
        <v>Dejar al valor nominal</v>
      </c>
      <c r="M51" s="38">
        <f t="shared" si="4"/>
        <v>0</v>
      </c>
      <c r="N51" s="272" t="str">
        <f t="shared" si="5"/>
        <v>OK</v>
      </c>
      <c r="P51" s="23"/>
      <c r="Q51" s="23"/>
      <c r="R51" s="23"/>
    </row>
    <row r="52" spans="1:18">
      <c r="A52" s="22">
        <v>23359500</v>
      </c>
      <c r="B52" s="23" t="s">
        <v>36</v>
      </c>
      <c r="C52" s="34" t="s">
        <v>1008</v>
      </c>
      <c r="D52" s="34"/>
      <c r="F52" s="36" t="s">
        <v>204</v>
      </c>
      <c r="G52" s="23">
        <v>9749491</v>
      </c>
      <c r="H52" s="23">
        <v>9749491</v>
      </c>
      <c r="I52" s="37">
        <v>44177</v>
      </c>
      <c r="J52" s="37">
        <f t="shared" si="1"/>
        <v>44207</v>
      </c>
      <c r="K52" s="38">
        <f t="shared" si="2"/>
        <v>30</v>
      </c>
      <c r="L52" s="38" t="str">
        <f t="shared" si="3"/>
        <v>Dejar al valor nominal</v>
      </c>
      <c r="M52" s="38">
        <f t="shared" si="4"/>
        <v>0</v>
      </c>
      <c r="N52" s="272" t="str">
        <f t="shared" si="5"/>
        <v>OK</v>
      </c>
      <c r="P52" s="23"/>
      <c r="Q52" s="23"/>
      <c r="R52" s="23"/>
    </row>
    <row r="53" spans="1:18">
      <c r="A53" s="22">
        <v>23359500</v>
      </c>
      <c r="B53" s="23" t="s">
        <v>36</v>
      </c>
      <c r="C53" s="34" t="s">
        <v>1008</v>
      </c>
      <c r="D53" s="34"/>
      <c r="F53" s="36" t="s">
        <v>204</v>
      </c>
      <c r="G53" s="23">
        <v>7351630</v>
      </c>
      <c r="H53" s="23">
        <v>7351630</v>
      </c>
      <c r="I53" s="37">
        <v>44141</v>
      </c>
      <c r="J53" s="37">
        <f t="shared" si="1"/>
        <v>44171</v>
      </c>
      <c r="K53" s="38">
        <f t="shared" si="2"/>
        <v>30</v>
      </c>
      <c r="L53" s="38" t="str">
        <f t="shared" si="3"/>
        <v>Dejar al valor nominal</v>
      </c>
      <c r="M53" s="38">
        <f t="shared" si="4"/>
        <v>0</v>
      </c>
      <c r="N53" s="272" t="str">
        <f t="shared" si="5"/>
        <v>OK</v>
      </c>
      <c r="P53" s="23"/>
      <c r="Q53" s="23"/>
      <c r="R53" s="23"/>
    </row>
    <row r="54" spans="1:18">
      <c r="A54" s="22">
        <v>23359500</v>
      </c>
      <c r="B54" s="23" t="s">
        <v>36</v>
      </c>
      <c r="C54" s="34" t="s">
        <v>1008</v>
      </c>
      <c r="D54" s="34"/>
      <c r="F54" s="36" t="s">
        <v>204</v>
      </c>
      <c r="G54" s="23">
        <v>7351630</v>
      </c>
      <c r="H54" s="23">
        <v>7351630</v>
      </c>
      <c r="I54" s="37">
        <v>44171</v>
      </c>
      <c r="J54" s="37">
        <f t="shared" si="1"/>
        <v>44201</v>
      </c>
      <c r="K54" s="38">
        <f t="shared" si="2"/>
        <v>30</v>
      </c>
      <c r="L54" s="38" t="str">
        <f t="shared" si="3"/>
        <v>Dejar al valor nominal</v>
      </c>
      <c r="M54" s="38">
        <f t="shared" si="4"/>
        <v>0</v>
      </c>
      <c r="N54" s="272" t="str">
        <f t="shared" si="5"/>
        <v>OK</v>
      </c>
      <c r="P54" s="23"/>
      <c r="Q54" s="23"/>
      <c r="R54" s="23"/>
    </row>
    <row r="55" spans="1:18">
      <c r="A55" s="22">
        <v>23359500</v>
      </c>
      <c r="B55" s="23" t="s">
        <v>36</v>
      </c>
      <c r="C55" s="34" t="s">
        <v>1008</v>
      </c>
      <c r="D55" s="34"/>
      <c r="F55" s="36" t="s">
        <v>204</v>
      </c>
      <c r="G55" s="23">
        <v>80000</v>
      </c>
      <c r="H55" s="23">
        <v>80000</v>
      </c>
      <c r="I55" s="37">
        <v>44153</v>
      </c>
      <c r="J55" s="37">
        <f t="shared" si="1"/>
        <v>44183</v>
      </c>
      <c r="K55" s="38">
        <f t="shared" si="2"/>
        <v>30</v>
      </c>
      <c r="L55" s="38" t="str">
        <f t="shared" si="3"/>
        <v>Dejar al valor nominal</v>
      </c>
      <c r="M55" s="38">
        <f t="shared" si="4"/>
        <v>0</v>
      </c>
      <c r="N55" s="272" t="str">
        <f t="shared" si="5"/>
        <v>OK</v>
      </c>
      <c r="P55" s="23"/>
      <c r="Q55" s="23"/>
      <c r="R55" s="23"/>
    </row>
    <row r="56" spans="1:18">
      <c r="A56" s="22">
        <v>23359500</v>
      </c>
      <c r="B56" s="23" t="s">
        <v>36</v>
      </c>
      <c r="C56" s="34" t="s">
        <v>1008</v>
      </c>
      <c r="D56" s="34"/>
      <c r="F56" s="36" t="s">
        <v>204</v>
      </c>
      <c r="G56" s="23">
        <v>1938746</v>
      </c>
      <c r="H56" s="23">
        <v>1938746</v>
      </c>
      <c r="I56" s="37">
        <v>44153</v>
      </c>
      <c r="J56" s="37">
        <f t="shared" si="1"/>
        <v>44183</v>
      </c>
      <c r="K56" s="38">
        <f t="shared" si="2"/>
        <v>30</v>
      </c>
      <c r="L56" s="38" t="str">
        <f t="shared" si="3"/>
        <v>Dejar al valor nominal</v>
      </c>
      <c r="M56" s="38">
        <f t="shared" si="4"/>
        <v>0</v>
      </c>
      <c r="N56" s="272" t="str">
        <f t="shared" si="5"/>
        <v>OK</v>
      </c>
      <c r="P56" s="23"/>
      <c r="Q56" s="23"/>
      <c r="R56" s="23"/>
    </row>
    <row r="57" spans="1:18">
      <c r="A57" s="22">
        <v>23359500</v>
      </c>
      <c r="B57" s="23" t="s">
        <v>36</v>
      </c>
      <c r="C57" s="34" t="s">
        <v>1008</v>
      </c>
      <c r="D57" s="34"/>
      <c r="F57" s="36" t="s">
        <v>204</v>
      </c>
      <c r="G57" s="23">
        <v>280000</v>
      </c>
      <c r="H57" s="23">
        <v>280000</v>
      </c>
      <c r="I57" s="37">
        <v>44153</v>
      </c>
      <c r="J57" s="37">
        <f t="shared" si="1"/>
        <v>44183</v>
      </c>
      <c r="K57" s="38">
        <f t="shared" si="2"/>
        <v>30</v>
      </c>
      <c r="L57" s="38" t="str">
        <f t="shared" si="3"/>
        <v>Dejar al valor nominal</v>
      </c>
      <c r="M57" s="38">
        <f t="shared" si="4"/>
        <v>0</v>
      </c>
      <c r="N57" s="272" t="str">
        <f t="shared" si="5"/>
        <v>OK</v>
      </c>
      <c r="P57" s="23"/>
      <c r="Q57" s="23"/>
      <c r="R57" s="23"/>
    </row>
    <row r="58" spans="1:18">
      <c r="A58" s="22">
        <v>23359500</v>
      </c>
      <c r="B58" s="23" t="s">
        <v>36</v>
      </c>
      <c r="C58" s="34" t="s">
        <v>1008</v>
      </c>
      <c r="D58" s="34"/>
      <c r="F58" s="36" t="s">
        <v>204</v>
      </c>
      <c r="G58" s="23">
        <v>80000</v>
      </c>
      <c r="H58" s="23">
        <v>80000</v>
      </c>
      <c r="I58" s="37">
        <v>44155</v>
      </c>
      <c r="J58" s="37">
        <f t="shared" si="1"/>
        <v>44185</v>
      </c>
      <c r="K58" s="38">
        <f t="shared" si="2"/>
        <v>30</v>
      </c>
      <c r="L58" s="38" t="str">
        <f t="shared" si="3"/>
        <v>Dejar al valor nominal</v>
      </c>
      <c r="M58" s="38">
        <f t="shared" si="4"/>
        <v>0</v>
      </c>
      <c r="N58" s="272" t="str">
        <f t="shared" si="5"/>
        <v>OK</v>
      </c>
      <c r="P58" s="23"/>
      <c r="Q58" s="23"/>
      <c r="R58" s="23"/>
    </row>
    <row r="59" spans="1:18">
      <c r="A59" s="22">
        <v>23359500</v>
      </c>
      <c r="B59" s="23" t="s">
        <v>36</v>
      </c>
      <c r="C59" s="34" t="s">
        <v>1008</v>
      </c>
      <c r="D59" s="34"/>
      <c r="F59" s="36" t="s">
        <v>204</v>
      </c>
      <c r="G59" s="23">
        <v>1204649.17</v>
      </c>
      <c r="H59" s="23">
        <v>1204649.17</v>
      </c>
      <c r="I59" s="37">
        <v>44155</v>
      </c>
      <c r="J59" s="37">
        <f t="shared" si="1"/>
        <v>44185</v>
      </c>
      <c r="K59" s="38">
        <f t="shared" si="2"/>
        <v>30</v>
      </c>
      <c r="L59" s="38" t="str">
        <f t="shared" si="3"/>
        <v>Dejar al valor nominal</v>
      </c>
      <c r="M59" s="38">
        <f t="shared" si="4"/>
        <v>0</v>
      </c>
      <c r="N59" s="272" t="str">
        <f t="shared" si="5"/>
        <v>OK</v>
      </c>
      <c r="P59" s="23"/>
      <c r="Q59" s="23"/>
      <c r="R59" s="23"/>
    </row>
    <row r="60" spans="1:18">
      <c r="A60" s="22">
        <v>23359500</v>
      </c>
      <c r="B60" s="23" t="s">
        <v>36</v>
      </c>
      <c r="C60" s="34" t="s">
        <v>1008</v>
      </c>
      <c r="D60" s="34"/>
      <c r="F60" s="36" t="s">
        <v>204</v>
      </c>
      <c r="G60" s="23">
        <v>4588164</v>
      </c>
      <c r="H60" s="23">
        <v>4588164</v>
      </c>
      <c r="I60" s="37">
        <v>44176</v>
      </c>
      <c r="J60" s="37">
        <f t="shared" si="1"/>
        <v>44206</v>
      </c>
      <c r="K60" s="38">
        <f t="shared" si="2"/>
        <v>30</v>
      </c>
      <c r="L60" s="38" t="str">
        <f t="shared" si="3"/>
        <v>Dejar al valor nominal</v>
      </c>
      <c r="M60" s="38">
        <f t="shared" si="4"/>
        <v>0</v>
      </c>
      <c r="N60" s="272" t="str">
        <f t="shared" si="5"/>
        <v>OK</v>
      </c>
      <c r="P60" s="23"/>
      <c r="Q60" s="23"/>
      <c r="R60" s="23"/>
    </row>
    <row r="61" spans="1:18">
      <c r="A61" s="22">
        <v>23359500</v>
      </c>
      <c r="B61" s="23" t="s">
        <v>36</v>
      </c>
      <c r="C61" s="34" t="s">
        <v>1008</v>
      </c>
      <c r="D61" s="34"/>
      <c r="F61" s="36" t="s">
        <v>204</v>
      </c>
      <c r="G61" s="23">
        <v>1412292</v>
      </c>
      <c r="H61" s="23">
        <v>1412292</v>
      </c>
      <c r="I61" s="37">
        <v>44176</v>
      </c>
      <c r="J61" s="37">
        <f t="shared" si="1"/>
        <v>44206</v>
      </c>
      <c r="K61" s="38">
        <f t="shared" si="2"/>
        <v>30</v>
      </c>
      <c r="L61" s="38" t="str">
        <f t="shared" si="3"/>
        <v>Dejar al valor nominal</v>
      </c>
      <c r="M61" s="38">
        <f t="shared" si="4"/>
        <v>0</v>
      </c>
      <c r="N61" s="272" t="str">
        <f t="shared" si="5"/>
        <v>OK</v>
      </c>
      <c r="P61" s="23"/>
      <c r="Q61" s="23"/>
      <c r="R61" s="23"/>
    </row>
    <row r="62" spans="1:18">
      <c r="A62" s="22">
        <v>23359500</v>
      </c>
      <c r="B62" s="23" t="s">
        <v>36</v>
      </c>
      <c r="C62" s="34" t="s">
        <v>1008</v>
      </c>
      <c r="D62" s="34"/>
      <c r="F62" s="36" t="s">
        <v>204</v>
      </c>
      <c r="G62" s="23">
        <v>1510824</v>
      </c>
      <c r="H62" s="23">
        <v>1510824</v>
      </c>
      <c r="I62" s="37">
        <v>44176</v>
      </c>
      <c r="J62" s="37">
        <f t="shared" si="1"/>
        <v>44206</v>
      </c>
      <c r="K62" s="38">
        <f t="shared" si="2"/>
        <v>30</v>
      </c>
      <c r="L62" s="38" t="str">
        <f t="shared" si="3"/>
        <v>Dejar al valor nominal</v>
      </c>
      <c r="M62" s="38">
        <f t="shared" si="4"/>
        <v>0</v>
      </c>
      <c r="N62" s="272" t="str">
        <f t="shared" si="5"/>
        <v>OK</v>
      </c>
      <c r="P62" s="23"/>
      <c r="Q62" s="23"/>
      <c r="R62" s="23"/>
    </row>
    <row r="63" spans="1:18">
      <c r="A63" s="22">
        <v>23359500</v>
      </c>
      <c r="B63" s="23" t="s">
        <v>36</v>
      </c>
      <c r="C63" s="34" t="s">
        <v>1008</v>
      </c>
      <c r="D63" s="34"/>
      <c r="F63" s="36" t="s">
        <v>204</v>
      </c>
      <c r="G63" s="23">
        <v>179928</v>
      </c>
      <c r="H63" s="23">
        <v>179928</v>
      </c>
      <c r="I63" s="37">
        <v>44176</v>
      </c>
      <c r="J63" s="37">
        <f t="shared" si="1"/>
        <v>44206</v>
      </c>
      <c r="K63" s="38">
        <f t="shared" si="2"/>
        <v>30</v>
      </c>
      <c r="L63" s="38" t="str">
        <f t="shared" si="3"/>
        <v>Dejar al valor nominal</v>
      </c>
      <c r="M63" s="38">
        <f t="shared" si="4"/>
        <v>0</v>
      </c>
      <c r="N63" s="272" t="str">
        <f t="shared" si="5"/>
        <v>OK</v>
      </c>
      <c r="P63" s="23"/>
      <c r="Q63" s="23"/>
      <c r="R63" s="23"/>
    </row>
    <row r="64" spans="1:18">
      <c r="A64" s="22">
        <v>23359500</v>
      </c>
      <c r="B64" s="23" t="s">
        <v>36</v>
      </c>
      <c r="C64" s="34" t="s">
        <v>1008</v>
      </c>
      <c r="D64" s="34"/>
      <c r="F64" s="36" t="s">
        <v>204</v>
      </c>
      <c r="G64" s="23">
        <v>179928</v>
      </c>
      <c r="H64" s="23">
        <v>179928</v>
      </c>
      <c r="I64" s="37">
        <v>44176</v>
      </c>
      <c r="J64" s="37">
        <f t="shared" si="1"/>
        <v>44206</v>
      </c>
      <c r="K64" s="38">
        <f t="shared" si="2"/>
        <v>30</v>
      </c>
      <c r="L64" s="38" t="str">
        <f t="shared" si="3"/>
        <v>Dejar al valor nominal</v>
      </c>
      <c r="M64" s="38">
        <f t="shared" si="4"/>
        <v>0</v>
      </c>
      <c r="N64" s="272" t="str">
        <f t="shared" si="5"/>
        <v>OK</v>
      </c>
      <c r="P64" s="23"/>
      <c r="Q64" s="23"/>
      <c r="R64" s="23"/>
    </row>
    <row r="65" spans="1:18">
      <c r="A65" s="22">
        <v>23359500</v>
      </c>
      <c r="B65" s="23" t="s">
        <v>36</v>
      </c>
      <c r="C65" s="34" t="s">
        <v>1008</v>
      </c>
      <c r="D65" s="34"/>
      <c r="F65" s="36" t="s">
        <v>204</v>
      </c>
      <c r="G65" s="23">
        <v>179928</v>
      </c>
      <c r="H65" s="23">
        <v>179928</v>
      </c>
      <c r="I65" s="37">
        <v>44176</v>
      </c>
      <c r="J65" s="37">
        <f t="shared" si="1"/>
        <v>44206</v>
      </c>
      <c r="K65" s="38">
        <f t="shared" si="2"/>
        <v>30</v>
      </c>
      <c r="L65" s="38" t="str">
        <f t="shared" si="3"/>
        <v>Dejar al valor nominal</v>
      </c>
      <c r="M65" s="38">
        <f t="shared" si="4"/>
        <v>0</v>
      </c>
      <c r="N65" s="272" t="str">
        <f t="shared" si="5"/>
        <v>OK</v>
      </c>
      <c r="P65" s="23"/>
      <c r="Q65" s="23"/>
      <c r="R65" s="23"/>
    </row>
    <row r="66" spans="1:18">
      <c r="A66" s="22">
        <v>23359500</v>
      </c>
      <c r="B66" s="23" t="s">
        <v>36</v>
      </c>
      <c r="C66" s="34" t="s">
        <v>1008</v>
      </c>
      <c r="D66" s="34"/>
      <c r="F66" s="36" t="s">
        <v>204</v>
      </c>
      <c r="G66" s="23">
        <v>160650</v>
      </c>
      <c r="H66" s="23">
        <v>160650</v>
      </c>
      <c r="I66" s="37">
        <v>44176</v>
      </c>
      <c r="J66" s="37">
        <f t="shared" si="1"/>
        <v>44206</v>
      </c>
      <c r="K66" s="38">
        <f t="shared" si="2"/>
        <v>30</v>
      </c>
      <c r="L66" s="38" t="str">
        <f t="shared" si="3"/>
        <v>Dejar al valor nominal</v>
      </c>
      <c r="M66" s="38">
        <f t="shared" si="4"/>
        <v>0</v>
      </c>
      <c r="N66" s="272" t="str">
        <f t="shared" si="5"/>
        <v>OK</v>
      </c>
      <c r="P66" s="23"/>
      <c r="Q66" s="23"/>
      <c r="R66" s="23"/>
    </row>
    <row r="67" spans="1:18">
      <c r="A67" s="22">
        <v>23359500</v>
      </c>
      <c r="B67" s="23" t="s">
        <v>36</v>
      </c>
      <c r="C67" s="34" t="s">
        <v>1008</v>
      </c>
      <c r="D67" s="34"/>
      <c r="F67" s="36" t="s">
        <v>204</v>
      </c>
      <c r="G67" s="23">
        <v>4291282</v>
      </c>
      <c r="H67" s="23">
        <v>4291282</v>
      </c>
      <c r="I67" s="37">
        <v>44177</v>
      </c>
      <c r="J67" s="37">
        <f t="shared" si="1"/>
        <v>44207</v>
      </c>
      <c r="K67" s="38">
        <f t="shared" si="2"/>
        <v>30</v>
      </c>
      <c r="L67" s="38" t="str">
        <f t="shared" si="3"/>
        <v>Dejar al valor nominal</v>
      </c>
      <c r="M67" s="38">
        <f t="shared" si="4"/>
        <v>0</v>
      </c>
      <c r="N67" s="272" t="str">
        <f t="shared" si="5"/>
        <v>OK</v>
      </c>
      <c r="P67" s="23"/>
      <c r="Q67" s="23"/>
      <c r="R67" s="23"/>
    </row>
    <row r="68" spans="1:18">
      <c r="A68" s="22">
        <v>23359500</v>
      </c>
      <c r="B68" s="23" t="s">
        <v>36</v>
      </c>
      <c r="C68" s="34" t="s">
        <v>1008</v>
      </c>
      <c r="D68" s="34"/>
      <c r="F68" s="36" t="s">
        <v>204</v>
      </c>
      <c r="G68" s="23">
        <v>136850</v>
      </c>
      <c r="H68" s="23">
        <v>136850</v>
      </c>
      <c r="I68" s="37">
        <v>44181</v>
      </c>
      <c r="J68" s="37">
        <f t="shared" si="1"/>
        <v>44211</v>
      </c>
      <c r="K68" s="38">
        <f t="shared" si="2"/>
        <v>30</v>
      </c>
      <c r="L68" s="38" t="str">
        <f t="shared" si="3"/>
        <v>Dejar al valor nominal</v>
      </c>
      <c r="M68" s="38">
        <f t="shared" si="4"/>
        <v>0</v>
      </c>
      <c r="N68" s="272" t="str">
        <f t="shared" si="5"/>
        <v>OK</v>
      </c>
      <c r="P68" s="23"/>
      <c r="Q68" s="23"/>
      <c r="R68" s="23"/>
    </row>
    <row r="69" spans="1:18">
      <c r="A69" s="22">
        <v>23359500</v>
      </c>
      <c r="B69" s="23" t="s">
        <v>36</v>
      </c>
      <c r="C69" s="34" t="s">
        <v>1008</v>
      </c>
      <c r="D69" s="34"/>
      <c r="F69" s="36" t="s">
        <v>204</v>
      </c>
      <c r="G69" s="23">
        <v>17683757</v>
      </c>
      <c r="H69" s="23">
        <v>17683757</v>
      </c>
      <c r="I69" s="37">
        <v>44181</v>
      </c>
      <c r="J69" s="37">
        <f t="shared" si="1"/>
        <v>44211</v>
      </c>
      <c r="K69" s="38">
        <f t="shared" si="2"/>
        <v>30</v>
      </c>
      <c r="L69" s="38" t="str">
        <f t="shared" si="3"/>
        <v>Dejar al valor nominal</v>
      </c>
      <c r="M69" s="38">
        <f t="shared" si="4"/>
        <v>0</v>
      </c>
      <c r="N69" s="272" t="str">
        <f t="shared" si="5"/>
        <v>OK</v>
      </c>
      <c r="P69" s="23"/>
      <c r="Q69" s="23"/>
      <c r="R69" s="23"/>
    </row>
    <row r="70" spans="1:18">
      <c r="A70" s="22">
        <v>23359500</v>
      </c>
      <c r="B70" s="23" t="s">
        <v>36</v>
      </c>
      <c r="C70" s="34" t="s">
        <v>1008</v>
      </c>
      <c r="D70" s="34"/>
      <c r="F70" s="36" t="s">
        <v>204</v>
      </c>
      <c r="G70" s="23">
        <v>17073406</v>
      </c>
      <c r="H70" s="23">
        <v>17073406</v>
      </c>
      <c r="I70" s="37">
        <v>44181</v>
      </c>
      <c r="J70" s="37">
        <f t="shared" si="1"/>
        <v>44211</v>
      </c>
      <c r="K70" s="38">
        <f t="shared" si="2"/>
        <v>30</v>
      </c>
      <c r="L70" s="38" t="str">
        <f t="shared" si="3"/>
        <v>Dejar al valor nominal</v>
      </c>
      <c r="M70" s="38">
        <f t="shared" si="4"/>
        <v>0</v>
      </c>
      <c r="N70" s="272" t="str">
        <f t="shared" si="5"/>
        <v>OK</v>
      </c>
      <c r="P70" s="23"/>
      <c r="Q70" s="23"/>
      <c r="R70" s="23"/>
    </row>
    <row r="71" spans="1:18">
      <c r="A71" s="22">
        <v>23359500</v>
      </c>
      <c r="B71" s="23" t="s">
        <v>36</v>
      </c>
      <c r="C71" s="34" t="s">
        <v>1008</v>
      </c>
      <c r="D71" s="34"/>
      <c r="F71" s="36" t="s">
        <v>204</v>
      </c>
      <c r="G71" s="23">
        <v>1800946</v>
      </c>
      <c r="H71" s="23">
        <v>1800946</v>
      </c>
      <c r="I71" s="37">
        <v>44181</v>
      </c>
      <c r="J71" s="37">
        <f t="shared" si="1"/>
        <v>44211</v>
      </c>
      <c r="K71" s="38">
        <f t="shared" si="2"/>
        <v>30</v>
      </c>
      <c r="L71" s="38" t="str">
        <f t="shared" si="3"/>
        <v>Dejar al valor nominal</v>
      </c>
      <c r="M71" s="38">
        <f t="shared" si="4"/>
        <v>0</v>
      </c>
      <c r="N71" s="272" t="str">
        <f t="shared" si="5"/>
        <v>OK</v>
      </c>
      <c r="P71" s="23"/>
      <c r="Q71" s="23"/>
      <c r="R71" s="23"/>
    </row>
    <row r="72" spans="1:18">
      <c r="A72" s="22">
        <v>23359500</v>
      </c>
      <c r="B72" s="23" t="s">
        <v>36</v>
      </c>
      <c r="C72" s="34" t="s">
        <v>1008</v>
      </c>
      <c r="D72" s="34"/>
      <c r="F72" s="36" t="s">
        <v>204</v>
      </c>
      <c r="G72" s="23">
        <v>1425977</v>
      </c>
      <c r="H72" s="23">
        <v>1425977</v>
      </c>
      <c r="I72" s="37">
        <v>44182</v>
      </c>
      <c r="J72" s="37">
        <f t="shared" si="1"/>
        <v>44212</v>
      </c>
      <c r="K72" s="38">
        <f t="shared" si="2"/>
        <v>30</v>
      </c>
      <c r="L72" s="38" t="str">
        <f t="shared" si="3"/>
        <v>Dejar al valor nominal</v>
      </c>
      <c r="M72" s="38">
        <f t="shared" si="4"/>
        <v>0</v>
      </c>
      <c r="N72" s="272" t="str">
        <f t="shared" si="5"/>
        <v>OK</v>
      </c>
      <c r="P72" s="23"/>
      <c r="Q72" s="23"/>
      <c r="R72" s="23"/>
    </row>
    <row r="73" spans="1:18">
      <c r="A73" s="22">
        <v>23359500</v>
      </c>
      <c r="B73" s="23" t="s">
        <v>36</v>
      </c>
      <c r="C73" s="34" t="s">
        <v>1008</v>
      </c>
      <c r="D73" s="34"/>
      <c r="F73" s="36" t="s">
        <v>204</v>
      </c>
      <c r="G73" s="23">
        <v>1267231</v>
      </c>
      <c r="H73" s="23">
        <v>1267231</v>
      </c>
      <c r="I73" s="37">
        <v>44182</v>
      </c>
      <c r="J73" s="37">
        <f t="shared" si="1"/>
        <v>44212</v>
      </c>
      <c r="K73" s="38">
        <f t="shared" si="2"/>
        <v>30</v>
      </c>
      <c r="L73" s="38" t="str">
        <f t="shared" si="3"/>
        <v>Dejar al valor nominal</v>
      </c>
      <c r="M73" s="38">
        <f t="shared" si="4"/>
        <v>0</v>
      </c>
      <c r="N73" s="272" t="str">
        <f t="shared" si="5"/>
        <v>OK</v>
      </c>
      <c r="P73" s="23"/>
      <c r="Q73" s="23"/>
      <c r="R73" s="23"/>
    </row>
    <row r="74" spans="1:18">
      <c r="A74" s="22">
        <v>23359500</v>
      </c>
      <c r="B74" s="23" t="s">
        <v>36</v>
      </c>
      <c r="C74" s="34" t="s">
        <v>1008</v>
      </c>
      <c r="D74" s="34"/>
      <c r="F74" s="36" t="s">
        <v>204</v>
      </c>
      <c r="G74" s="23">
        <v>968898</v>
      </c>
      <c r="H74" s="23">
        <v>968898</v>
      </c>
      <c r="I74" s="37">
        <v>44182</v>
      </c>
      <c r="J74" s="37">
        <f t="shared" si="1"/>
        <v>44212</v>
      </c>
      <c r="K74" s="38">
        <f t="shared" si="2"/>
        <v>30</v>
      </c>
      <c r="L74" s="38" t="str">
        <f t="shared" si="3"/>
        <v>Dejar al valor nominal</v>
      </c>
      <c r="M74" s="38">
        <f t="shared" si="4"/>
        <v>0</v>
      </c>
      <c r="N74" s="272" t="str">
        <f t="shared" si="5"/>
        <v>OK</v>
      </c>
      <c r="P74" s="23"/>
      <c r="Q74" s="23"/>
      <c r="R74" s="23"/>
    </row>
    <row r="75" spans="1:18">
      <c r="A75" s="22">
        <v>23359500</v>
      </c>
      <c r="B75" s="23" t="s">
        <v>36</v>
      </c>
      <c r="C75" s="34" t="s">
        <v>1008</v>
      </c>
      <c r="D75" s="34"/>
      <c r="F75" s="36" t="s">
        <v>204</v>
      </c>
      <c r="G75" s="23">
        <v>28705656</v>
      </c>
      <c r="H75" s="23">
        <v>28705656</v>
      </c>
      <c r="I75" s="37">
        <v>44182</v>
      </c>
      <c r="J75" s="37">
        <f t="shared" si="1"/>
        <v>44212</v>
      </c>
      <c r="K75" s="38">
        <f t="shared" si="2"/>
        <v>30</v>
      </c>
      <c r="L75" s="38" t="str">
        <f t="shared" si="3"/>
        <v>Dejar al valor nominal</v>
      </c>
      <c r="M75" s="38">
        <f t="shared" si="4"/>
        <v>0</v>
      </c>
      <c r="N75" s="272" t="str">
        <f t="shared" si="5"/>
        <v>OK</v>
      </c>
      <c r="P75" s="23"/>
      <c r="Q75" s="23"/>
      <c r="R75" s="23"/>
    </row>
    <row r="76" spans="1:18">
      <c r="A76" s="22">
        <v>23359500</v>
      </c>
      <c r="B76" s="23" t="s">
        <v>36</v>
      </c>
      <c r="C76" s="34" t="s">
        <v>1008</v>
      </c>
      <c r="D76" s="34"/>
      <c r="F76" s="36" t="s">
        <v>204</v>
      </c>
      <c r="G76" s="23">
        <v>221697</v>
      </c>
      <c r="H76" s="23">
        <v>221697</v>
      </c>
      <c r="I76" s="37">
        <v>44182</v>
      </c>
      <c r="J76" s="37">
        <f t="shared" si="1"/>
        <v>44212</v>
      </c>
      <c r="K76" s="38">
        <f t="shared" si="2"/>
        <v>30</v>
      </c>
      <c r="L76" s="38" t="str">
        <f t="shared" si="3"/>
        <v>Dejar al valor nominal</v>
      </c>
      <c r="M76" s="38">
        <f t="shared" si="4"/>
        <v>0</v>
      </c>
      <c r="N76" s="272" t="str">
        <f t="shared" si="5"/>
        <v>OK</v>
      </c>
      <c r="P76" s="23"/>
      <c r="Q76" s="23"/>
      <c r="R76" s="23"/>
    </row>
    <row r="77" spans="1:18">
      <c r="A77" s="22">
        <v>23359500</v>
      </c>
      <c r="B77" s="23" t="s">
        <v>36</v>
      </c>
      <c r="C77" s="34" t="s">
        <v>1008</v>
      </c>
      <c r="D77" s="34"/>
      <c r="F77" s="36" t="s">
        <v>204</v>
      </c>
      <c r="G77" s="23">
        <v>1836527</v>
      </c>
      <c r="H77" s="23">
        <v>1836527</v>
      </c>
      <c r="I77" s="37">
        <v>44182</v>
      </c>
      <c r="J77" s="37">
        <f t="shared" si="1"/>
        <v>44212</v>
      </c>
      <c r="K77" s="38">
        <f t="shared" si="2"/>
        <v>30</v>
      </c>
      <c r="L77" s="38" t="str">
        <f t="shared" si="3"/>
        <v>Dejar al valor nominal</v>
      </c>
      <c r="M77" s="38">
        <f t="shared" si="4"/>
        <v>0</v>
      </c>
      <c r="N77" s="272" t="str">
        <f t="shared" si="5"/>
        <v>OK</v>
      </c>
      <c r="P77" s="23"/>
      <c r="Q77" s="23"/>
      <c r="R77" s="23"/>
    </row>
    <row r="78" spans="1:18">
      <c r="A78" s="22">
        <v>23359500</v>
      </c>
      <c r="B78" s="23" t="s">
        <v>36</v>
      </c>
      <c r="C78" s="34" t="s">
        <v>1008</v>
      </c>
      <c r="D78" s="34"/>
      <c r="F78" s="36" t="s">
        <v>204</v>
      </c>
      <c r="G78" s="23">
        <v>4674796</v>
      </c>
      <c r="H78" s="23">
        <v>4674796</v>
      </c>
      <c r="I78" s="37">
        <v>44182</v>
      </c>
      <c r="J78" s="37">
        <f t="shared" si="1"/>
        <v>44212</v>
      </c>
      <c r="K78" s="38">
        <f t="shared" si="2"/>
        <v>30</v>
      </c>
      <c r="L78" s="38" t="str">
        <f t="shared" si="3"/>
        <v>Dejar al valor nominal</v>
      </c>
      <c r="M78" s="38">
        <f t="shared" si="4"/>
        <v>0</v>
      </c>
      <c r="N78" s="272" t="str">
        <f t="shared" si="5"/>
        <v>OK</v>
      </c>
      <c r="P78" s="23"/>
      <c r="Q78" s="23"/>
      <c r="R78" s="23"/>
    </row>
    <row r="79" spans="1:18">
      <c r="A79" s="22">
        <v>23359500</v>
      </c>
      <c r="B79" s="23" t="s">
        <v>36</v>
      </c>
      <c r="C79" s="34" t="s">
        <v>1008</v>
      </c>
      <c r="D79" s="34"/>
      <c r="F79" s="36" t="s">
        <v>204</v>
      </c>
      <c r="G79" s="23">
        <v>1721573</v>
      </c>
      <c r="H79" s="23">
        <v>1721573</v>
      </c>
      <c r="I79" s="37">
        <v>44184</v>
      </c>
      <c r="J79" s="37">
        <f t="shared" si="1"/>
        <v>44214</v>
      </c>
      <c r="K79" s="38">
        <f t="shared" si="2"/>
        <v>30</v>
      </c>
      <c r="L79" s="38" t="str">
        <f t="shared" si="3"/>
        <v>Dejar al valor nominal</v>
      </c>
      <c r="M79" s="38">
        <f t="shared" si="4"/>
        <v>0</v>
      </c>
      <c r="N79" s="272" t="str">
        <f t="shared" si="5"/>
        <v>OK</v>
      </c>
      <c r="P79" s="23"/>
      <c r="Q79" s="23"/>
      <c r="R79" s="23"/>
    </row>
    <row r="80" spans="1:18">
      <c r="A80" s="22">
        <v>23359500</v>
      </c>
      <c r="B80" s="23" t="s">
        <v>36</v>
      </c>
      <c r="C80" s="34" t="s">
        <v>1008</v>
      </c>
      <c r="D80" s="34"/>
      <c r="F80" s="36" t="s">
        <v>204</v>
      </c>
      <c r="G80" s="23">
        <v>6508586</v>
      </c>
      <c r="H80" s="23">
        <v>6508586</v>
      </c>
      <c r="I80" s="37">
        <v>44184</v>
      </c>
      <c r="J80" s="37">
        <f t="shared" si="1"/>
        <v>44214</v>
      </c>
      <c r="K80" s="38">
        <f t="shared" si="2"/>
        <v>30</v>
      </c>
      <c r="L80" s="38" t="str">
        <f t="shared" si="3"/>
        <v>Dejar al valor nominal</v>
      </c>
      <c r="M80" s="38">
        <f t="shared" si="4"/>
        <v>0</v>
      </c>
      <c r="N80" s="272" t="str">
        <f t="shared" si="5"/>
        <v>OK</v>
      </c>
      <c r="P80" s="23"/>
      <c r="Q80" s="23"/>
      <c r="R80" s="23"/>
    </row>
    <row r="81" spans="1:18">
      <c r="A81" s="22">
        <v>23359500</v>
      </c>
      <c r="B81" s="23" t="s">
        <v>36</v>
      </c>
      <c r="C81" s="34" t="s">
        <v>1008</v>
      </c>
      <c r="D81" s="34"/>
      <c r="F81" s="36" t="s">
        <v>204</v>
      </c>
      <c r="G81" s="23">
        <v>1664096</v>
      </c>
      <c r="H81" s="23">
        <v>1664096</v>
      </c>
      <c r="I81" s="37">
        <v>44184</v>
      </c>
      <c r="J81" s="37">
        <f t="shared" si="1"/>
        <v>44214</v>
      </c>
      <c r="K81" s="38">
        <f t="shared" si="2"/>
        <v>30</v>
      </c>
      <c r="L81" s="38" t="str">
        <f t="shared" si="3"/>
        <v>Dejar al valor nominal</v>
      </c>
      <c r="M81" s="38">
        <f t="shared" si="4"/>
        <v>0</v>
      </c>
      <c r="N81" s="272" t="str">
        <f t="shared" si="5"/>
        <v>OK</v>
      </c>
      <c r="P81" s="23"/>
      <c r="Q81" s="23"/>
      <c r="R81" s="23"/>
    </row>
    <row r="82" spans="1:18">
      <c r="A82" s="22">
        <v>23359500</v>
      </c>
      <c r="B82" s="23" t="s">
        <v>36</v>
      </c>
      <c r="C82" s="34" t="s">
        <v>1008</v>
      </c>
      <c r="D82" s="34"/>
      <c r="F82" s="36" t="s">
        <v>204</v>
      </c>
      <c r="G82" s="23">
        <v>6508586</v>
      </c>
      <c r="H82" s="23">
        <v>6508586</v>
      </c>
      <c r="I82" s="37">
        <v>44188</v>
      </c>
      <c r="J82" s="37">
        <f t="shared" si="1"/>
        <v>44218</v>
      </c>
      <c r="K82" s="38">
        <f t="shared" si="2"/>
        <v>30</v>
      </c>
      <c r="L82" s="38" t="str">
        <f t="shared" si="3"/>
        <v>Dejar al valor nominal</v>
      </c>
      <c r="M82" s="38">
        <f t="shared" si="4"/>
        <v>0</v>
      </c>
      <c r="N82" s="272" t="str">
        <f t="shared" si="5"/>
        <v>OK</v>
      </c>
      <c r="P82" s="23"/>
      <c r="Q82" s="23"/>
      <c r="R82" s="23"/>
    </row>
    <row r="83" spans="1:18">
      <c r="A83" s="22">
        <v>23359500</v>
      </c>
      <c r="B83" s="23" t="s">
        <v>36</v>
      </c>
      <c r="C83" s="34" t="s">
        <v>1008</v>
      </c>
      <c r="D83" s="34"/>
      <c r="F83" s="36" t="s">
        <v>204</v>
      </c>
      <c r="G83" s="23">
        <v>865300</v>
      </c>
      <c r="H83" s="23">
        <v>865300</v>
      </c>
      <c r="I83" s="37">
        <v>44169</v>
      </c>
      <c r="J83" s="37">
        <f t="shared" si="1"/>
        <v>44199</v>
      </c>
      <c r="K83" s="38">
        <f t="shared" si="2"/>
        <v>30</v>
      </c>
      <c r="L83" s="38" t="str">
        <f t="shared" si="3"/>
        <v>Dejar al valor nominal</v>
      </c>
      <c r="M83" s="38">
        <f t="shared" si="4"/>
        <v>0</v>
      </c>
      <c r="N83" s="272" t="str">
        <f t="shared" si="5"/>
        <v>OK</v>
      </c>
      <c r="P83" s="23"/>
      <c r="Q83" s="23"/>
      <c r="R83" s="23"/>
    </row>
    <row r="84" spans="1:18">
      <c r="A84" s="22">
        <v>23359500</v>
      </c>
      <c r="B84" s="23" t="s">
        <v>36</v>
      </c>
      <c r="C84" s="34" t="s">
        <v>1008</v>
      </c>
      <c r="D84" s="34"/>
      <c r="F84" s="36" t="s">
        <v>204</v>
      </c>
      <c r="G84" s="23">
        <v>1097564</v>
      </c>
      <c r="H84" s="23">
        <v>1097564</v>
      </c>
      <c r="I84" s="37">
        <v>44183</v>
      </c>
      <c r="J84" s="37">
        <f t="shared" si="1"/>
        <v>44213</v>
      </c>
      <c r="K84" s="38">
        <f t="shared" si="2"/>
        <v>30</v>
      </c>
      <c r="L84" s="38" t="str">
        <f t="shared" si="3"/>
        <v>Dejar al valor nominal</v>
      </c>
      <c r="M84" s="38">
        <f t="shared" si="4"/>
        <v>0</v>
      </c>
      <c r="N84" s="272" t="str">
        <f t="shared" si="5"/>
        <v>OK</v>
      </c>
      <c r="P84" s="23"/>
      <c r="Q84" s="23"/>
      <c r="R84" s="23"/>
    </row>
    <row r="85" spans="1:18">
      <c r="A85" s="22">
        <v>23359500</v>
      </c>
      <c r="B85" s="23" t="s">
        <v>36</v>
      </c>
      <c r="C85" s="34" t="s">
        <v>1008</v>
      </c>
      <c r="D85" s="34"/>
      <c r="F85" s="36" t="s">
        <v>204</v>
      </c>
      <c r="G85" s="23">
        <v>33482915.5</v>
      </c>
      <c r="H85" s="23">
        <v>33482915.5</v>
      </c>
      <c r="I85" s="37">
        <v>44182</v>
      </c>
      <c r="J85" s="37">
        <f t="shared" si="1"/>
        <v>44212</v>
      </c>
      <c r="K85" s="38">
        <f t="shared" si="2"/>
        <v>30</v>
      </c>
      <c r="L85" s="38" t="str">
        <f t="shared" si="3"/>
        <v>Dejar al valor nominal</v>
      </c>
      <c r="M85" s="38">
        <f t="shared" si="4"/>
        <v>0</v>
      </c>
      <c r="N85" s="272" t="str">
        <f t="shared" si="5"/>
        <v>OK</v>
      </c>
      <c r="P85" s="23"/>
      <c r="Q85" s="23"/>
      <c r="R85" s="23"/>
    </row>
    <row r="86" spans="1:18">
      <c r="A86" s="22">
        <v>23359500</v>
      </c>
      <c r="B86" s="23" t="s">
        <v>36</v>
      </c>
      <c r="C86" s="34" t="s">
        <v>1008</v>
      </c>
      <c r="D86" s="34"/>
      <c r="F86" s="36" t="s">
        <v>204</v>
      </c>
      <c r="G86" s="23">
        <v>2250908.37</v>
      </c>
      <c r="H86" s="23">
        <v>2250908.37</v>
      </c>
      <c r="I86" s="37">
        <v>44153</v>
      </c>
      <c r="J86" s="37">
        <f t="shared" si="1"/>
        <v>44183</v>
      </c>
      <c r="K86" s="38">
        <f t="shared" si="2"/>
        <v>30</v>
      </c>
      <c r="L86" s="38" t="str">
        <f t="shared" si="3"/>
        <v>Dejar al valor nominal</v>
      </c>
      <c r="M86" s="38">
        <f t="shared" si="4"/>
        <v>0</v>
      </c>
      <c r="N86" s="272" t="str">
        <f t="shared" si="5"/>
        <v>OK</v>
      </c>
      <c r="P86" s="23"/>
      <c r="Q86" s="23"/>
      <c r="R86" s="23"/>
    </row>
    <row r="87" spans="1:18">
      <c r="A87" s="22">
        <v>23359500</v>
      </c>
      <c r="B87" s="23" t="s">
        <v>36</v>
      </c>
      <c r="C87" s="34" t="s">
        <v>1008</v>
      </c>
      <c r="D87" s="34"/>
      <c r="F87" s="36" t="s">
        <v>204</v>
      </c>
      <c r="G87" s="23">
        <v>2250908.37</v>
      </c>
      <c r="H87" s="23">
        <v>2250908.37</v>
      </c>
      <c r="I87" s="37">
        <v>44174</v>
      </c>
      <c r="J87" s="37">
        <f t="shared" si="1"/>
        <v>44204</v>
      </c>
      <c r="K87" s="38">
        <f t="shared" si="2"/>
        <v>30</v>
      </c>
      <c r="L87" s="38" t="str">
        <f t="shared" si="3"/>
        <v>Dejar al valor nominal</v>
      </c>
      <c r="M87" s="38">
        <f t="shared" si="4"/>
        <v>0</v>
      </c>
      <c r="N87" s="272" t="str">
        <f t="shared" si="5"/>
        <v>OK</v>
      </c>
      <c r="P87" s="23"/>
      <c r="Q87" s="23"/>
      <c r="R87" s="23"/>
    </row>
    <row r="88" spans="1:18">
      <c r="A88" s="22">
        <v>23359500</v>
      </c>
      <c r="B88" s="23" t="s">
        <v>36</v>
      </c>
      <c r="C88" s="34" t="s">
        <v>1008</v>
      </c>
      <c r="D88" s="34"/>
      <c r="F88" s="36" t="s">
        <v>204</v>
      </c>
      <c r="G88" s="23">
        <v>6251211.5599999996</v>
      </c>
      <c r="H88" s="23">
        <v>6251211.5599999996</v>
      </c>
      <c r="I88" s="37">
        <v>44182</v>
      </c>
      <c r="J88" s="37">
        <f t="shared" si="1"/>
        <v>44212</v>
      </c>
      <c r="K88" s="38">
        <f t="shared" si="2"/>
        <v>30</v>
      </c>
      <c r="L88" s="38" t="str">
        <f t="shared" si="3"/>
        <v>Dejar al valor nominal</v>
      </c>
      <c r="M88" s="38">
        <f t="shared" si="4"/>
        <v>0</v>
      </c>
      <c r="N88" s="272" t="str">
        <f t="shared" si="5"/>
        <v>OK</v>
      </c>
      <c r="P88" s="23"/>
      <c r="Q88" s="23"/>
      <c r="R88" s="23"/>
    </row>
    <row r="89" spans="1:18">
      <c r="A89" s="22">
        <v>23359500</v>
      </c>
      <c r="B89" s="23" t="s">
        <v>36</v>
      </c>
      <c r="C89" s="34" t="s">
        <v>1008</v>
      </c>
      <c r="D89" s="34"/>
      <c r="F89" s="36" t="s">
        <v>204</v>
      </c>
      <c r="G89" s="23">
        <v>78013.600000000006</v>
      </c>
      <c r="H89" s="23">
        <v>78013.600000000006</v>
      </c>
      <c r="I89" s="37">
        <v>44195</v>
      </c>
      <c r="J89" s="37">
        <f t="shared" ref="J89:J152" si="6">I89+30</f>
        <v>44225</v>
      </c>
      <c r="K89" s="38">
        <f t="shared" ref="K89:K152" si="7">IF(J89-I89&lt;0,"Error",J89-I89)</f>
        <v>30</v>
      </c>
      <c r="L89" s="38" t="str">
        <f t="shared" ref="L89:L152" si="8">IF(K89&gt;365,"Medir al costo amortizado","Dejar al valor nominal")</f>
        <v>Dejar al valor nominal</v>
      </c>
      <c r="M89" s="38">
        <f t="shared" ref="M89:M152" si="9">H89-G89</f>
        <v>0</v>
      </c>
      <c r="N89" s="272" t="str">
        <f t="shared" ref="N89:N152" si="10">IF($N$20-J89&gt;K89,"Revisar","OK")</f>
        <v>OK</v>
      </c>
      <c r="P89" s="23"/>
      <c r="Q89" s="23"/>
      <c r="R89" s="23"/>
    </row>
    <row r="90" spans="1:18">
      <c r="A90" s="22">
        <v>23359500</v>
      </c>
      <c r="B90" s="23" t="s">
        <v>36</v>
      </c>
      <c r="C90" s="34" t="s">
        <v>1008</v>
      </c>
      <c r="D90" s="34"/>
      <c r="F90" s="36" t="s">
        <v>204</v>
      </c>
      <c r="G90" s="23">
        <v>20000</v>
      </c>
      <c r="H90" s="23">
        <v>20000</v>
      </c>
      <c r="I90" s="37">
        <v>44166</v>
      </c>
      <c r="J90" s="37">
        <f t="shared" si="6"/>
        <v>44196</v>
      </c>
      <c r="K90" s="38">
        <f t="shared" si="7"/>
        <v>30</v>
      </c>
      <c r="L90" s="38" t="str">
        <f t="shared" si="8"/>
        <v>Dejar al valor nominal</v>
      </c>
      <c r="M90" s="38">
        <f t="shared" si="9"/>
        <v>0</v>
      </c>
      <c r="N90" s="272" t="str">
        <f t="shared" si="10"/>
        <v>OK</v>
      </c>
      <c r="P90" s="23"/>
      <c r="Q90" s="23"/>
      <c r="R90" s="23"/>
    </row>
    <row r="91" spans="1:18">
      <c r="A91" s="22">
        <v>23359500</v>
      </c>
      <c r="B91" s="23" t="s">
        <v>36</v>
      </c>
      <c r="C91" s="34" t="s">
        <v>1008</v>
      </c>
      <c r="D91" s="34"/>
      <c r="F91" s="36" t="s">
        <v>204</v>
      </c>
      <c r="G91" s="23">
        <v>50000</v>
      </c>
      <c r="H91" s="23">
        <v>50000</v>
      </c>
      <c r="I91" s="37">
        <v>44166</v>
      </c>
      <c r="J91" s="37">
        <f t="shared" si="6"/>
        <v>44196</v>
      </c>
      <c r="K91" s="38">
        <f t="shared" si="7"/>
        <v>30</v>
      </c>
      <c r="L91" s="38" t="str">
        <f t="shared" si="8"/>
        <v>Dejar al valor nominal</v>
      </c>
      <c r="M91" s="38">
        <f t="shared" si="9"/>
        <v>0</v>
      </c>
      <c r="N91" s="272" t="str">
        <f t="shared" si="10"/>
        <v>OK</v>
      </c>
      <c r="P91" s="23"/>
      <c r="Q91" s="23"/>
      <c r="R91" s="23"/>
    </row>
    <row r="92" spans="1:18">
      <c r="A92" s="22">
        <v>23359500</v>
      </c>
      <c r="B92" s="23" t="s">
        <v>36</v>
      </c>
      <c r="C92" s="34" t="s">
        <v>1008</v>
      </c>
      <c r="D92" s="34"/>
      <c r="F92" s="36" t="s">
        <v>204</v>
      </c>
      <c r="G92" s="23">
        <v>40000</v>
      </c>
      <c r="H92" s="23">
        <v>40000</v>
      </c>
      <c r="I92" s="37">
        <v>44166</v>
      </c>
      <c r="J92" s="37">
        <f t="shared" si="6"/>
        <v>44196</v>
      </c>
      <c r="K92" s="38">
        <f t="shared" si="7"/>
        <v>30</v>
      </c>
      <c r="L92" s="38" t="str">
        <f t="shared" si="8"/>
        <v>Dejar al valor nominal</v>
      </c>
      <c r="M92" s="38">
        <f t="shared" si="9"/>
        <v>0</v>
      </c>
      <c r="N92" s="272" t="str">
        <f t="shared" si="10"/>
        <v>OK</v>
      </c>
      <c r="P92" s="23"/>
      <c r="Q92" s="23"/>
      <c r="R92" s="23"/>
    </row>
    <row r="93" spans="1:18">
      <c r="A93" s="22">
        <v>23359500</v>
      </c>
      <c r="B93" s="23" t="s">
        <v>36</v>
      </c>
      <c r="C93" s="34" t="s">
        <v>1008</v>
      </c>
      <c r="D93" s="34"/>
      <c r="F93" s="36" t="s">
        <v>204</v>
      </c>
      <c r="G93" s="23">
        <v>12437880</v>
      </c>
      <c r="H93" s="23">
        <v>12437880</v>
      </c>
      <c r="I93" s="37">
        <v>44136</v>
      </c>
      <c r="J93" s="37">
        <f t="shared" si="6"/>
        <v>44166</v>
      </c>
      <c r="K93" s="38">
        <f t="shared" si="7"/>
        <v>30</v>
      </c>
      <c r="L93" s="38" t="str">
        <f t="shared" si="8"/>
        <v>Dejar al valor nominal</v>
      </c>
      <c r="M93" s="38">
        <f t="shared" si="9"/>
        <v>0</v>
      </c>
      <c r="N93" s="272" t="str">
        <f t="shared" si="10"/>
        <v>OK</v>
      </c>
      <c r="P93" s="23"/>
      <c r="Q93" s="23"/>
      <c r="R93" s="23"/>
    </row>
    <row r="94" spans="1:18">
      <c r="A94" s="22">
        <v>23359500</v>
      </c>
      <c r="B94" s="23" t="s">
        <v>36</v>
      </c>
      <c r="C94" s="34" t="s">
        <v>1008</v>
      </c>
      <c r="D94" s="34"/>
      <c r="F94" s="36" t="s">
        <v>204</v>
      </c>
      <c r="G94" s="23">
        <v>19012654</v>
      </c>
      <c r="H94" s="23">
        <v>19012654</v>
      </c>
      <c r="I94" s="37">
        <v>44136</v>
      </c>
      <c r="J94" s="37">
        <f t="shared" si="6"/>
        <v>44166</v>
      </c>
      <c r="K94" s="38">
        <f t="shared" si="7"/>
        <v>30</v>
      </c>
      <c r="L94" s="38" t="str">
        <f t="shared" si="8"/>
        <v>Dejar al valor nominal</v>
      </c>
      <c r="M94" s="38">
        <f t="shared" si="9"/>
        <v>0</v>
      </c>
      <c r="N94" s="272" t="str">
        <f t="shared" si="10"/>
        <v>OK</v>
      </c>
      <c r="P94" s="23"/>
      <c r="Q94" s="23"/>
      <c r="R94" s="23"/>
    </row>
    <row r="95" spans="1:18">
      <c r="A95" s="22">
        <v>23359500</v>
      </c>
      <c r="B95" s="23" t="s">
        <v>36</v>
      </c>
      <c r="C95" s="34" t="s">
        <v>1008</v>
      </c>
      <c r="D95" s="34"/>
      <c r="F95" s="36" t="s">
        <v>204</v>
      </c>
      <c r="G95" s="23">
        <v>10710000</v>
      </c>
      <c r="H95" s="23">
        <v>10710000</v>
      </c>
      <c r="I95" s="37">
        <v>44136</v>
      </c>
      <c r="J95" s="37">
        <f t="shared" si="6"/>
        <v>44166</v>
      </c>
      <c r="K95" s="38">
        <f t="shared" si="7"/>
        <v>30</v>
      </c>
      <c r="L95" s="38" t="str">
        <f t="shared" si="8"/>
        <v>Dejar al valor nominal</v>
      </c>
      <c r="M95" s="38">
        <f t="shared" si="9"/>
        <v>0</v>
      </c>
      <c r="N95" s="272" t="str">
        <f t="shared" si="10"/>
        <v>OK</v>
      </c>
      <c r="P95" s="23"/>
      <c r="Q95" s="23"/>
      <c r="R95" s="23"/>
    </row>
    <row r="96" spans="1:18">
      <c r="A96" s="22">
        <v>23359500</v>
      </c>
      <c r="B96" s="23" t="s">
        <v>36</v>
      </c>
      <c r="C96" s="34" t="s">
        <v>1008</v>
      </c>
      <c r="D96" s="34"/>
      <c r="F96" s="36" t="s">
        <v>204</v>
      </c>
      <c r="G96" s="23">
        <v>2682750</v>
      </c>
      <c r="H96" s="23">
        <v>2682750</v>
      </c>
      <c r="I96" s="37">
        <v>44192</v>
      </c>
      <c r="J96" s="37">
        <f t="shared" si="6"/>
        <v>44222</v>
      </c>
      <c r="K96" s="38">
        <f t="shared" si="7"/>
        <v>30</v>
      </c>
      <c r="L96" s="38" t="str">
        <f t="shared" si="8"/>
        <v>Dejar al valor nominal</v>
      </c>
      <c r="M96" s="38">
        <f t="shared" si="9"/>
        <v>0</v>
      </c>
      <c r="N96" s="272" t="str">
        <f t="shared" si="10"/>
        <v>OK</v>
      </c>
      <c r="P96" s="23"/>
      <c r="Q96" s="23"/>
      <c r="R96" s="23"/>
    </row>
    <row r="97" spans="1:18">
      <c r="A97" s="22">
        <v>23359500</v>
      </c>
      <c r="B97" s="23" t="s">
        <v>36</v>
      </c>
      <c r="C97" s="34" t="s">
        <v>1008</v>
      </c>
      <c r="D97" s="34"/>
      <c r="F97" s="36" t="s">
        <v>204</v>
      </c>
      <c r="G97" s="23">
        <v>1971720</v>
      </c>
      <c r="H97" s="23">
        <v>1971720</v>
      </c>
      <c r="I97" s="37">
        <v>44155</v>
      </c>
      <c r="J97" s="37">
        <f t="shared" si="6"/>
        <v>44185</v>
      </c>
      <c r="K97" s="38">
        <f t="shared" si="7"/>
        <v>30</v>
      </c>
      <c r="L97" s="38" t="str">
        <f t="shared" si="8"/>
        <v>Dejar al valor nominal</v>
      </c>
      <c r="M97" s="38">
        <f t="shared" si="9"/>
        <v>0</v>
      </c>
      <c r="N97" s="272" t="str">
        <f t="shared" si="10"/>
        <v>OK</v>
      </c>
      <c r="P97" s="23"/>
      <c r="Q97" s="23"/>
      <c r="R97" s="23"/>
    </row>
    <row r="98" spans="1:18">
      <c r="A98" s="22">
        <v>23359500</v>
      </c>
      <c r="B98" s="23" t="s">
        <v>36</v>
      </c>
      <c r="C98" s="34" t="s">
        <v>1008</v>
      </c>
      <c r="D98" s="34"/>
      <c r="F98" s="36" t="s">
        <v>204</v>
      </c>
      <c r="G98" s="23">
        <v>1084446</v>
      </c>
      <c r="H98" s="23">
        <v>1084446</v>
      </c>
      <c r="I98" s="37">
        <v>44170</v>
      </c>
      <c r="J98" s="37">
        <f t="shared" si="6"/>
        <v>44200</v>
      </c>
      <c r="K98" s="38">
        <f t="shared" si="7"/>
        <v>30</v>
      </c>
      <c r="L98" s="38" t="str">
        <f t="shared" si="8"/>
        <v>Dejar al valor nominal</v>
      </c>
      <c r="M98" s="38">
        <f t="shared" si="9"/>
        <v>0</v>
      </c>
      <c r="N98" s="272" t="str">
        <f t="shared" si="10"/>
        <v>OK</v>
      </c>
      <c r="P98" s="23"/>
      <c r="Q98" s="23"/>
      <c r="R98" s="23"/>
    </row>
    <row r="99" spans="1:18">
      <c r="A99" s="22">
        <v>23359500</v>
      </c>
      <c r="B99" s="23" t="s">
        <v>36</v>
      </c>
      <c r="C99" s="34" t="s">
        <v>1008</v>
      </c>
      <c r="D99" s="34"/>
      <c r="F99" s="36" t="s">
        <v>204</v>
      </c>
      <c r="G99" s="23">
        <v>1044225</v>
      </c>
      <c r="H99" s="23">
        <v>1044225</v>
      </c>
      <c r="I99" s="37">
        <v>44143</v>
      </c>
      <c r="J99" s="37">
        <f t="shared" si="6"/>
        <v>44173</v>
      </c>
      <c r="K99" s="38">
        <f t="shared" si="7"/>
        <v>30</v>
      </c>
      <c r="L99" s="38" t="str">
        <f t="shared" si="8"/>
        <v>Dejar al valor nominal</v>
      </c>
      <c r="M99" s="38">
        <f t="shared" si="9"/>
        <v>0</v>
      </c>
      <c r="N99" s="272" t="str">
        <f t="shared" si="10"/>
        <v>OK</v>
      </c>
      <c r="P99" s="23"/>
      <c r="Q99" s="23"/>
      <c r="R99" s="23"/>
    </row>
    <row r="100" spans="1:18">
      <c r="A100" s="22">
        <v>23359500</v>
      </c>
      <c r="B100" s="23" t="s">
        <v>36</v>
      </c>
      <c r="C100" s="34" t="s">
        <v>1008</v>
      </c>
      <c r="D100" s="34"/>
      <c r="F100" s="36" t="s">
        <v>204</v>
      </c>
      <c r="G100" s="23">
        <v>464100</v>
      </c>
      <c r="H100" s="23">
        <v>464100</v>
      </c>
      <c r="I100" s="37">
        <v>44147</v>
      </c>
      <c r="J100" s="37">
        <f t="shared" si="6"/>
        <v>44177</v>
      </c>
      <c r="K100" s="38">
        <f t="shared" si="7"/>
        <v>30</v>
      </c>
      <c r="L100" s="38" t="str">
        <f t="shared" si="8"/>
        <v>Dejar al valor nominal</v>
      </c>
      <c r="M100" s="38">
        <f t="shared" si="9"/>
        <v>0</v>
      </c>
      <c r="N100" s="272" t="str">
        <f t="shared" si="10"/>
        <v>OK</v>
      </c>
      <c r="P100" s="23"/>
      <c r="Q100" s="23"/>
      <c r="R100" s="23"/>
    </row>
    <row r="101" spans="1:18">
      <c r="A101" s="22">
        <v>23359500</v>
      </c>
      <c r="B101" s="23" t="s">
        <v>36</v>
      </c>
      <c r="C101" s="34" t="s">
        <v>1008</v>
      </c>
      <c r="D101" s="34"/>
      <c r="F101" s="36" t="s">
        <v>204</v>
      </c>
      <c r="G101" s="23">
        <v>78540</v>
      </c>
      <c r="H101" s="23">
        <v>78540</v>
      </c>
      <c r="I101" s="37">
        <v>44149</v>
      </c>
      <c r="J101" s="37">
        <f t="shared" si="6"/>
        <v>44179</v>
      </c>
      <c r="K101" s="38">
        <f t="shared" si="7"/>
        <v>30</v>
      </c>
      <c r="L101" s="38" t="str">
        <f t="shared" si="8"/>
        <v>Dejar al valor nominal</v>
      </c>
      <c r="M101" s="38">
        <f t="shared" si="9"/>
        <v>0</v>
      </c>
      <c r="N101" s="272" t="str">
        <f t="shared" si="10"/>
        <v>OK</v>
      </c>
      <c r="P101" s="23"/>
      <c r="Q101" s="23"/>
      <c r="R101" s="23"/>
    </row>
    <row r="102" spans="1:18">
      <c r="A102" s="22">
        <v>23359500</v>
      </c>
      <c r="B102" s="23" t="s">
        <v>36</v>
      </c>
      <c r="C102" s="34" t="s">
        <v>1008</v>
      </c>
      <c r="D102" s="34"/>
      <c r="F102" s="36" t="s">
        <v>204</v>
      </c>
      <c r="G102" s="23">
        <v>178500</v>
      </c>
      <c r="H102" s="23">
        <v>178500</v>
      </c>
      <c r="I102" s="37">
        <v>44167</v>
      </c>
      <c r="J102" s="37">
        <f t="shared" si="6"/>
        <v>44197</v>
      </c>
      <c r="K102" s="38">
        <f t="shared" si="7"/>
        <v>30</v>
      </c>
      <c r="L102" s="38" t="str">
        <f t="shared" si="8"/>
        <v>Dejar al valor nominal</v>
      </c>
      <c r="M102" s="38">
        <f t="shared" si="9"/>
        <v>0</v>
      </c>
      <c r="N102" s="272" t="str">
        <f t="shared" si="10"/>
        <v>OK</v>
      </c>
      <c r="P102" s="23"/>
      <c r="Q102" s="23"/>
      <c r="R102" s="23"/>
    </row>
    <row r="103" spans="1:18">
      <c r="A103" s="22">
        <v>23359500</v>
      </c>
      <c r="B103" s="23" t="s">
        <v>36</v>
      </c>
      <c r="C103" s="34" t="s">
        <v>1008</v>
      </c>
      <c r="D103" s="34"/>
      <c r="F103" s="36" t="s">
        <v>204</v>
      </c>
      <c r="G103" s="23">
        <v>243010</v>
      </c>
      <c r="H103" s="23">
        <v>243010</v>
      </c>
      <c r="I103" s="37">
        <v>44167</v>
      </c>
      <c r="J103" s="37">
        <f t="shared" si="6"/>
        <v>44197</v>
      </c>
      <c r="K103" s="38">
        <f t="shared" si="7"/>
        <v>30</v>
      </c>
      <c r="L103" s="38" t="str">
        <f t="shared" si="8"/>
        <v>Dejar al valor nominal</v>
      </c>
      <c r="M103" s="38">
        <f t="shared" si="9"/>
        <v>0</v>
      </c>
      <c r="N103" s="272" t="str">
        <f t="shared" si="10"/>
        <v>OK</v>
      </c>
      <c r="P103" s="23"/>
      <c r="Q103" s="23"/>
      <c r="R103" s="23"/>
    </row>
    <row r="104" spans="1:18">
      <c r="A104" s="22">
        <v>23359500</v>
      </c>
      <c r="B104" s="23" t="s">
        <v>36</v>
      </c>
      <c r="C104" s="34" t="s">
        <v>1008</v>
      </c>
      <c r="D104" s="34"/>
      <c r="F104" s="36" t="s">
        <v>204</v>
      </c>
      <c r="G104" s="23">
        <v>78540</v>
      </c>
      <c r="H104" s="23">
        <v>78540</v>
      </c>
      <c r="I104" s="37">
        <v>44167</v>
      </c>
      <c r="J104" s="37">
        <f t="shared" si="6"/>
        <v>44197</v>
      </c>
      <c r="K104" s="38">
        <f t="shared" si="7"/>
        <v>30</v>
      </c>
      <c r="L104" s="38" t="str">
        <f t="shared" si="8"/>
        <v>Dejar al valor nominal</v>
      </c>
      <c r="M104" s="38">
        <f t="shared" si="9"/>
        <v>0</v>
      </c>
      <c r="N104" s="272" t="str">
        <f t="shared" si="10"/>
        <v>OK</v>
      </c>
      <c r="P104" s="23"/>
      <c r="Q104" s="23"/>
      <c r="R104" s="23"/>
    </row>
    <row r="105" spans="1:18">
      <c r="A105" s="22">
        <v>23359500</v>
      </c>
      <c r="B105" s="23" t="s">
        <v>36</v>
      </c>
      <c r="C105" s="34" t="s">
        <v>1008</v>
      </c>
      <c r="D105" s="34"/>
      <c r="F105" s="36" t="s">
        <v>204</v>
      </c>
      <c r="G105" s="23">
        <v>648788</v>
      </c>
      <c r="H105" s="23">
        <v>648788</v>
      </c>
      <c r="I105" s="37">
        <v>44169</v>
      </c>
      <c r="J105" s="37">
        <f t="shared" si="6"/>
        <v>44199</v>
      </c>
      <c r="K105" s="38">
        <f t="shared" si="7"/>
        <v>30</v>
      </c>
      <c r="L105" s="38" t="str">
        <f t="shared" si="8"/>
        <v>Dejar al valor nominal</v>
      </c>
      <c r="M105" s="38">
        <f t="shared" si="9"/>
        <v>0</v>
      </c>
      <c r="N105" s="272" t="str">
        <f t="shared" si="10"/>
        <v>OK</v>
      </c>
      <c r="P105" s="23"/>
      <c r="Q105" s="23"/>
      <c r="R105" s="23"/>
    </row>
    <row r="106" spans="1:18">
      <c r="A106" s="22">
        <v>23359500</v>
      </c>
      <c r="B106" s="23" t="s">
        <v>36</v>
      </c>
      <c r="C106" s="34" t="s">
        <v>1008</v>
      </c>
      <c r="D106" s="34"/>
      <c r="F106" s="36" t="s">
        <v>204</v>
      </c>
      <c r="G106" s="23">
        <v>1396112</v>
      </c>
      <c r="H106" s="23">
        <v>1396112</v>
      </c>
      <c r="I106" s="37">
        <v>44169</v>
      </c>
      <c r="J106" s="37">
        <f t="shared" si="6"/>
        <v>44199</v>
      </c>
      <c r="K106" s="38">
        <f t="shared" si="7"/>
        <v>30</v>
      </c>
      <c r="L106" s="38" t="str">
        <f t="shared" si="8"/>
        <v>Dejar al valor nominal</v>
      </c>
      <c r="M106" s="38">
        <f t="shared" si="9"/>
        <v>0</v>
      </c>
      <c r="N106" s="272" t="str">
        <f t="shared" si="10"/>
        <v>OK</v>
      </c>
      <c r="P106" s="23"/>
      <c r="Q106" s="23"/>
      <c r="R106" s="23"/>
    </row>
    <row r="107" spans="1:18">
      <c r="A107" s="22">
        <v>23359500</v>
      </c>
      <c r="B107" s="23" t="s">
        <v>36</v>
      </c>
      <c r="C107" s="34" t="s">
        <v>1008</v>
      </c>
      <c r="D107" s="34"/>
      <c r="F107" s="36" t="s">
        <v>204</v>
      </c>
      <c r="G107" s="23">
        <v>1673380</v>
      </c>
      <c r="H107" s="23">
        <v>1673380</v>
      </c>
      <c r="I107" s="37">
        <v>44169</v>
      </c>
      <c r="J107" s="37">
        <f t="shared" si="6"/>
        <v>44199</v>
      </c>
      <c r="K107" s="38">
        <f t="shared" si="7"/>
        <v>30</v>
      </c>
      <c r="L107" s="38" t="str">
        <f t="shared" si="8"/>
        <v>Dejar al valor nominal</v>
      </c>
      <c r="M107" s="38">
        <f t="shared" si="9"/>
        <v>0</v>
      </c>
      <c r="N107" s="272" t="str">
        <f t="shared" si="10"/>
        <v>OK</v>
      </c>
      <c r="P107" s="23"/>
      <c r="Q107" s="23"/>
      <c r="R107" s="23"/>
    </row>
    <row r="108" spans="1:18">
      <c r="A108" s="22">
        <v>23359500</v>
      </c>
      <c r="B108" s="23" t="s">
        <v>36</v>
      </c>
      <c r="C108" s="34" t="s">
        <v>1008</v>
      </c>
      <c r="D108" s="34"/>
      <c r="F108" s="36" t="s">
        <v>204</v>
      </c>
      <c r="G108" s="23">
        <v>712865</v>
      </c>
      <c r="H108" s="23">
        <v>712865</v>
      </c>
      <c r="I108" s="37">
        <v>44170</v>
      </c>
      <c r="J108" s="37">
        <f t="shared" si="6"/>
        <v>44200</v>
      </c>
      <c r="K108" s="38">
        <f t="shared" si="7"/>
        <v>30</v>
      </c>
      <c r="L108" s="38" t="str">
        <f t="shared" si="8"/>
        <v>Dejar al valor nominal</v>
      </c>
      <c r="M108" s="38">
        <f t="shared" si="9"/>
        <v>0</v>
      </c>
      <c r="N108" s="272" t="str">
        <f t="shared" si="10"/>
        <v>OK</v>
      </c>
      <c r="P108" s="23"/>
      <c r="Q108" s="23"/>
      <c r="R108" s="23"/>
    </row>
    <row r="109" spans="1:18">
      <c r="A109" s="22">
        <v>23359500</v>
      </c>
      <c r="B109" s="23" t="s">
        <v>36</v>
      </c>
      <c r="C109" s="34" t="s">
        <v>1008</v>
      </c>
      <c r="D109" s="34"/>
      <c r="F109" s="36" t="s">
        <v>204</v>
      </c>
      <c r="G109" s="23">
        <v>685440</v>
      </c>
      <c r="H109" s="23">
        <v>685440</v>
      </c>
      <c r="I109" s="37">
        <v>44172</v>
      </c>
      <c r="J109" s="37">
        <f t="shared" si="6"/>
        <v>44202</v>
      </c>
      <c r="K109" s="38">
        <f t="shared" si="7"/>
        <v>30</v>
      </c>
      <c r="L109" s="38" t="str">
        <f t="shared" si="8"/>
        <v>Dejar al valor nominal</v>
      </c>
      <c r="M109" s="38">
        <f t="shared" si="9"/>
        <v>0</v>
      </c>
      <c r="N109" s="272" t="str">
        <f t="shared" si="10"/>
        <v>OK</v>
      </c>
      <c r="P109" s="23"/>
      <c r="Q109" s="23"/>
      <c r="R109" s="23"/>
    </row>
    <row r="110" spans="1:18">
      <c r="A110" s="22">
        <v>23359500</v>
      </c>
      <c r="B110" s="23" t="s">
        <v>36</v>
      </c>
      <c r="C110" s="34" t="s">
        <v>1008</v>
      </c>
      <c r="D110" s="34"/>
      <c r="F110" s="36" t="s">
        <v>204</v>
      </c>
      <c r="G110" s="23">
        <v>163363</v>
      </c>
      <c r="H110" s="23">
        <v>163363</v>
      </c>
      <c r="I110" s="37">
        <v>44175</v>
      </c>
      <c r="J110" s="37">
        <f t="shared" si="6"/>
        <v>44205</v>
      </c>
      <c r="K110" s="38">
        <f t="shared" si="7"/>
        <v>30</v>
      </c>
      <c r="L110" s="38" t="str">
        <f t="shared" si="8"/>
        <v>Dejar al valor nominal</v>
      </c>
      <c r="M110" s="38">
        <f t="shared" si="9"/>
        <v>0</v>
      </c>
      <c r="N110" s="272" t="str">
        <f t="shared" si="10"/>
        <v>OK</v>
      </c>
      <c r="P110" s="23"/>
      <c r="Q110" s="23"/>
      <c r="R110" s="23"/>
    </row>
    <row r="111" spans="1:18">
      <c r="A111" s="22">
        <v>23359500</v>
      </c>
      <c r="B111" s="23" t="s">
        <v>36</v>
      </c>
      <c r="C111" s="34" t="s">
        <v>1008</v>
      </c>
      <c r="D111" s="34"/>
      <c r="F111" s="36" t="s">
        <v>204</v>
      </c>
      <c r="G111" s="23">
        <v>205031</v>
      </c>
      <c r="H111" s="23">
        <v>205031</v>
      </c>
      <c r="I111" s="37">
        <v>44175</v>
      </c>
      <c r="J111" s="37">
        <f t="shared" si="6"/>
        <v>44205</v>
      </c>
      <c r="K111" s="38">
        <f t="shared" si="7"/>
        <v>30</v>
      </c>
      <c r="L111" s="38" t="str">
        <f t="shared" si="8"/>
        <v>Dejar al valor nominal</v>
      </c>
      <c r="M111" s="38">
        <f t="shared" si="9"/>
        <v>0</v>
      </c>
      <c r="N111" s="272" t="str">
        <f t="shared" si="10"/>
        <v>OK</v>
      </c>
      <c r="P111" s="23"/>
      <c r="Q111" s="23"/>
      <c r="R111" s="23"/>
    </row>
    <row r="112" spans="1:18">
      <c r="A112" s="22">
        <v>23359500</v>
      </c>
      <c r="B112" s="23" t="s">
        <v>36</v>
      </c>
      <c r="C112" s="34" t="s">
        <v>1008</v>
      </c>
      <c r="D112" s="34"/>
      <c r="F112" s="36" t="s">
        <v>204</v>
      </c>
      <c r="G112" s="23">
        <v>20825</v>
      </c>
      <c r="H112" s="23">
        <v>20825</v>
      </c>
      <c r="I112" s="37">
        <v>44175</v>
      </c>
      <c r="J112" s="37">
        <f t="shared" si="6"/>
        <v>44205</v>
      </c>
      <c r="K112" s="38">
        <f t="shared" si="7"/>
        <v>30</v>
      </c>
      <c r="L112" s="38" t="str">
        <f t="shared" si="8"/>
        <v>Dejar al valor nominal</v>
      </c>
      <c r="M112" s="38">
        <f t="shared" si="9"/>
        <v>0</v>
      </c>
      <c r="N112" s="272" t="str">
        <f t="shared" si="10"/>
        <v>OK</v>
      </c>
      <c r="P112" s="23"/>
      <c r="Q112" s="23"/>
      <c r="R112" s="23"/>
    </row>
    <row r="113" spans="1:18">
      <c r="A113" s="22">
        <v>23359500</v>
      </c>
      <c r="B113" s="23" t="s">
        <v>36</v>
      </c>
      <c r="C113" s="34" t="s">
        <v>1008</v>
      </c>
      <c r="D113" s="34"/>
      <c r="F113" s="36" t="s">
        <v>204</v>
      </c>
      <c r="G113" s="23">
        <v>603330</v>
      </c>
      <c r="H113" s="23">
        <v>603330</v>
      </c>
      <c r="I113" s="37">
        <v>44176</v>
      </c>
      <c r="J113" s="37">
        <f t="shared" si="6"/>
        <v>44206</v>
      </c>
      <c r="K113" s="38">
        <f t="shared" si="7"/>
        <v>30</v>
      </c>
      <c r="L113" s="38" t="str">
        <f t="shared" si="8"/>
        <v>Dejar al valor nominal</v>
      </c>
      <c r="M113" s="38">
        <f t="shared" si="9"/>
        <v>0</v>
      </c>
      <c r="N113" s="272" t="str">
        <f t="shared" si="10"/>
        <v>OK</v>
      </c>
      <c r="P113" s="23"/>
      <c r="Q113" s="23"/>
      <c r="R113" s="23"/>
    </row>
    <row r="114" spans="1:18">
      <c r="A114" s="22">
        <v>23359500</v>
      </c>
      <c r="B114" s="23" t="s">
        <v>36</v>
      </c>
      <c r="C114" s="34" t="s">
        <v>1008</v>
      </c>
      <c r="D114" s="34"/>
      <c r="F114" s="36" t="s">
        <v>204</v>
      </c>
      <c r="G114" s="23">
        <v>324870</v>
      </c>
      <c r="H114" s="23">
        <v>324870</v>
      </c>
      <c r="I114" s="37">
        <v>44182</v>
      </c>
      <c r="J114" s="37">
        <f t="shared" si="6"/>
        <v>44212</v>
      </c>
      <c r="K114" s="38">
        <f t="shared" si="7"/>
        <v>30</v>
      </c>
      <c r="L114" s="38" t="str">
        <f t="shared" si="8"/>
        <v>Dejar al valor nominal</v>
      </c>
      <c r="M114" s="38">
        <f t="shared" si="9"/>
        <v>0</v>
      </c>
      <c r="N114" s="272" t="str">
        <f t="shared" si="10"/>
        <v>OK</v>
      </c>
      <c r="P114" s="23"/>
      <c r="Q114" s="23"/>
      <c r="R114" s="23"/>
    </row>
    <row r="115" spans="1:18">
      <c r="A115" s="22">
        <v>23359500</v>
      </c>
      <c r="B115" s="23" t="s">
        <v>36</v>
      </c>
      <c r="C115" s="34" t="s">
        <v>1008</v>
      </c>
      <c r="D115" s="34"/>
      <c r="F115" s="36" t="s">
        <v>204</v>
      </c>
      <c r="G115" s="23">
        <v>619231</v>
      </c>
      <c r="H115" s="23">
        <v>619231</v>
      </c>
      <c r="I115" s="37">
        <v>44183</v>
      </c>
      <c r="J115" s="37">
        <f t="shared" si="6"/>
        <v>44213</v>
      </c>
      <c r="K115" s="38">
        <f t="shared" si="7"/>
        <v>30</v>
      </c>
      <c r="L115" s="38" t="str">
        <f t="shared" si="8"/>
        <v>Dejar al valor nominal</v>
      </c>
      <c r="M115" s="38">
        <f t="shared" si="9"/>
        <v>0</v>
      </c>
      <c r="N115" s="272" t="str">
        <f t="shared" si="10"/>
        <v>OK</v>
      </c>
      <c r="P115" s="23"/>
      <c r="Q115" s="23"/>
      <c r="R115" s="23"/>
    </row>
    <row r="116" spans="1:18">
      <c r="A116" s="22">
        <v>23359500</v>
      </c>
      <c r="B116" s="23" t="s">
        <v>36</v>
      </c>
      <c r="C116" s="34" t="s">
        <v>1008</v>
      </c>
      <c r="D116" s="34"/>
      <c r="F116" s="36" t="s">
        <v>204</v>
      </c>
      <c r="G116" s="23">
        <v>50000</v>
      </c>
      <c r="H116" s="23">
        <v>50000</v>
      </c>
      <c r="I116" s="37">
        <v>44166</v>
      </c>
      <c r="J116" s="37">
        <f t="shared" si="6"/>
        <v>44196</v>
      </c>
      <c r="K116" s="38">
        <f t="shared" si="7"/>
        <v>30</v>
      </c>
      <c r="L116" s="38" t="str">
        <f t="shared" si="8"/>
        <v>Dejar al valor nominal</v>
      </c>
      <c r="M116" s="38">
        <f t="shared" si="9"/>
        <v>0</v>
      </c>
      <c r="N116" s="272" t="str">
        <f t="shared" si="10"/>
        <v>OK</v>
      </c>
      <c r="P116" s="23"/>
      <c r="Q116" s="23"/>
      <c r="R116" s="23"/>
    </row>
    <row r="117" spans="1:18">
      <c r="A117" s="22">
        <v>23359500</v>
      </c>
      <c r="B117" s="23" t="s">
        <v>36</v>
      </c>
      <c r="C117" s="34" t="s">
        <v>1008</v>
      </c>
      <c r="D117" s="34"/>
      <c r="F117" s="36" t="s">
        <v>204</v>
      </c>
      <c r="G117" s="23">
        <v>50000</v>
      </c>
      <c r="H117" s="23">
        <v>50000</v>
      </c>
      <c r="I117" s="37">
        <v>44166</v>
      </c>
      <c r="J117" s="37">
        <f t="shared" si="6"/>
        <v>44196</v>
      </c>
      <c r="K117" s="38">
        <f t="shared" si="7"/>
        <v>30</v>
      </c>
      <c r="L117" s="38" t="str">
        <f t="shared" si="8"/>
        <v>Dejar al valor nominal</v>
      </c>
      <c r="M117" s="38">
        <f t="shared" si="9"/>
        <v>0</v>
      </c>
      <c r="N117" s="272" t="str">
        <f t="shared" si="10"/>
        <v>OK</v>
      </c>
      <c r="P117" s="23"/>
      <c r="Q117" s="23"/>
      <c r="R117" s="23"/>
    </row>
    <row r="118" spans="1:18">
      <c r="A118" s="22">
        <v>23359500</v>
      </c>
      <c r="B118" s="23" t="s">
        <v>36</v>
      </c>
      <c r="C118" s="34" t="s">
        <v>1008</v>
      </c>
      <c r="D118" s="34"/>
      <c r="F118" s="36" t="s">
        <v>204</v>
      </c>
      <c r="G118" s="23">
        <v>50000</v>
      </c>
      <c r="H118" s="23">
        <v>50000</v>
      </c>
      <c r="I118" s="37">
        <v>44166</v>
      </c>
      <c r="J118" s="37">
        <f t="shared" si="6"/>
        <v>44196</v>
      </c>
      <c r="K118" s="38">
        <f t="shared" si="7"/>
        <v>30</v>
      </c>
      <c r="L118" s="38" t="str">
        <f t="shared" si="8"/>
        <v>Dejar al valor nominal</v>
      </c>
      <c r="M118" s="38">
        <f t="shared" si="9"/>
        <v>0</v>
      </c>
      <c r="N118" s="272" t="str">
        <f t="shared" si="10"/>
        <v>OK</v>
      </c>
      <c r="P118" s="23"/>
      <c r="Q118" s="23"/>
      <c r="R118" s="23"/>
    </row>
    <row r="119" spans="1:18">
      <c r="A119" s="22">
        <v>23359500</v>
      </c>
      <c r="B119" s="23" t="s">
        <v>36</v>
      </c>
      <c r="C119" s="34" t="s">
        <v>1008</v>
      </c>
      <c r="D119" s="34"/>
      <c r="F119" s="36" t="s">
        <v>204</v>
      </c>
      <c r="G119" s="23">
        <v>60000</v>
      </c>
      <c r="H119" s="23">
        <v>60000</v>
      </c>
      <c r="I119" s="37">
        <v>44166</v>
      </c>
      <c r="J119" s="37">
        <f t="shared" si="6"/>
        <v>44196</v>
      </c>
      <c r="K119" s="38">
        <f t="shared" si="7"/>
        <v>30</v>
      </c>
      <c r="L119" s="38" t="str">
        <f t="shared" si="8"/>
        <v>Dejar al valor nominal</v>
      </c>
      <c r="M119" s="38">
        <f t="shared" si="9"/>
        <v>0</v>
      </c>
      <c r="N119" s="272" t="str">
        <f t="shared" si="10"/>
        <v>OK</v>
      </c>
      <c r="P119" s="23"/>
      <c r="Q119" s="23"/>
      <c r="R119" s="23"/>
    </row>
    <row r="120" spans="1:18">
      <c r="A120" s="22">
        <v>23359500</v>
      </c>
      <c r="B120" s="23" t="s">
        <v>36</v>
      </c>
      <c r="C120" s="34" t="s">
        <v>1008</v>
      </c>
      <c r="D120" s="34"/>
      <c r="F120" s="36" t="s">
        <v>204</v>
      </c>
      <c r="G120" s="23">
        <v>50000</v>
      </c>
      <c r="H120" s="23">
        <v>50000</v>
      </c>
      <c r="I120" s="37">
        <v>44166</v>
      </c>
      <c r="J120" s="37">
        <f t="shared" si="6"/>
        <v>44196</v>
      </c>
      <c r="K120" s="38">
        <f t="shared" si="7"/>
        <v>30</v>
      </c>
      <c r="L120" s="38" t="str">
        <f t="shared" si="8"/>
        <v>Dejar al valor nominal</v>
      </c>
      <c r="M120" s="38">
        <f t="shared" si="9"/>
        <v>0</v>
      </c>
      <c r="N120" s="272" t="str">
        <f t="shared" si="10"/>
        <v>OK</v>
      </c>
      <c r="P120" s="23"/>
      <c r="Q120" s="23"/>
      <c r="R120" s="23"/>
    </row>
    <row r="121" spans="1:18">
      <c r="A121" s="22">
        <v>23359500</v>
      </c>
      <c r="B121" s="23" t="s">
        <v>36</v>
      </c>
      <c r="C121" s="34" t="s">
        <v>1008</v>
      </c>
      <c r="D121" s="34"/>
      <c r="F121" s="36" t="s">
        <v>204</v>
      </c>
      <c r="G121" s="23">
        <v>4471250</v>
      </c>
      <c r="H121" s="23">
        <v>4471250</v>
      </c>
      <c r="I121" s="37">
        <v>44178</v>
      </c>
      <c r="J121" s="37">
        <f t="shared" si="6"/>
        <v>44208</v>
      </c>
      <c r="K121" s="38">
        <f t="shared" si="7"/>
        <v>30</v>
      </c>
      <c r="L121" s="38" t="str">
        <f t="shared" si="8"/>
        <v>Dejar al valor nominal</v>
      </c>
      <c r="M121" s="38">
        <f t="shared" si="9"/>
        <v>0</v>
      </c>
      <c r="N121" s="272" t="str">
        <f t="shared" si="10"/>
        <v>OK</v>
      </c>
      <c r="P121" s="23"/>
      <c r="Q121" s="23"/>
      <c r="R121" s="23"/>
    </row>
    <row r="122" spans="1:18">
      <c r="A122" s="22">
        <v>23359500</v>
      </c>
      <c r="B122" s="23" t="s">
        <v>36</v>
      </c>
      <c r="C122" s="34" t="s">
        <v>1008</v>
      </c>
      <c r="D122" s="34"/>
      <c r="F122" s="36" t="s">
        <v>204</v>
      </c>
      <c r="G122" s="23">
        <v>1224600</v>
      </c>
      <c r="H122" s="23">
        <v>1224600</v>
      </c>
      <c r="I122" s="37">
        <v>44185</v>
      </c>
      <c r="J122" s="37">
        <f t="shared" si="6"/>
        <v>44215</v>
      </c>
      <c r="K122" s="38">
        <f t="shared" si="7"/>
        <v>30</v>
      </c>
      <c r="L122" s="38" t="str">
        <f t="shared" si="8"/>
        <v>Dejar al valor nominal</v>
      </c>
      <c r="M122" s="38">
        <f t="shared" si="9"/>
        <v>0</v>
      </c>
      <c r="N122" s="272" t="str">
        <f t="shared" si="10"/>
        <v>OK</v>
      </c>
      <c r="P122" s="23"/>
      <c r="Q122" s="23"/>
      <c r="R122" s="23"/>
    </row>
    <row r="123" spans="1:18">
      <c r="A123" s="22">
        <v>23359500</v>
      </c>
      <c r="B123" s="23" t="s">
        <v>36</v>
      </c>
      <c r="C123" s="34" t="s">
        <v>1008</v>
      </c>
      <c r="D123" s="34"/>
      <c r="F123" s="36" t="s">
        <v>204</v>
      </c>
      <c r="G123" s="23">
        <v>24701980</v>
      </c>
      <c r="H123" s="23">
        <v>24701980</v>
      </c>
      <c r="I123" s="37">
        <v>44170</v>
      </c>
      <c r="J123" s="37">
        <f t="shared" si="6"/>
        <v>44200</v>
      </c>
      <c r="K123" s="38">
        <f t="shared" si="7"/>
        <v>30</v>
      </c>
      <c r="L123" s="38" t="str">
        <f t="shared" si="8"/>
        <v>Dejar al valor nominal</v>
      </c>
      <c r="M123" s="38">
        <f t="shared" si="9"/>
        <v>0</v>
      </c>
      <c r="N123" s="272" t="str">
        <f t="shared" si="10"/>
        <v>OK</v>
      </c>
      <c r="P123" s="23"/>
      <c r="Q123" s="23"/>
      <c r="R123" s="23"/>
    </row>
    <row r="124" spans="1:18">
      <c r="A124" s="22">
        <v>23359500</v>
      </c>
      <c r="B124" s="23" t="s">
        <v>36</v>
      </c>
      <c r="C124" s="34" t="s">
        <v>1008</v>
      </c>
      <c r="D124" s="34"/>
      <c r="F124" s="36" t="s">
        <v>204</v>
      </c>
      <c r="G124" s="23">
        <v>5233180</v>
      </c>
      <c r="H124" s="23">
        <v>5233180</v>
      </c>
      <c r="I124" s="37">
        <v>44171</v>
      </c>
      <c r="J124" s="37">
        <f t="shared" si="6"/>
        <v>44201</v>
      </c>
      <c r="K124" s="38">
        <f t="shared" si="7"/>
        <v>30</v>
      </c>
      <c r="L124" s="38" t="str">
        <f t="shared" si="8"/>
        <v>Dejar al valor nominal</v>
      </c>
      <c r="M124" s="38">
        <f t="shared" si="9"/>
        <v>0</v>
      </c>
      <c r="N124" s="272" t="str">
        <f t="shared" si="10"/>
        <v>OK</v>
      </c>
      <c r="P124" s="23"/>
      <c r="Q124" s="23"/>
      <c r="R124" s="23"/>
    </row>
    <row r="125" spans="1:18">
      <c r="A125" s="22">
        <v>23359500</v>
      </c>
      <c r="B125" s="23" t="s">
        <v>36</v>
      </c>
      <c r="C125" s="34" t="s">
        <v>1008</v>
      </c>
      <c r="D125" s="34"/>
      <c r="F125" s="36" t="s">
        <v>204</v>
      </c>
      <c r="G125" s="23">
        <v>657360</v>
      </c>
      <c r="H125" s="23">
        <v>657360</v>
      </c>
      <c r="I125" s="37">
        <v>44176</v>
      </c>
      <c r="J125" s="37">
        <f t="shared" si="6"/>
        <v>44206</v>
      </c>
      <c r="K125" s="38">
        <f t="shared" si="7"/>
        <v>30</v>
      </c>
      <c r="L125" s="38" t="str">
        <f t="shared" si="8"/>
        <v>Dejar al valor nominal</v>
      </c>
      <c r="M125" s="38">
        <f t="shared" si="9"/>
        <v>0</v>
      </c>
      <c r="N125" s="272" t="str">
        <f t="shared" si="10"/>
        <v>OK</v>
      </c>
      <c r="P125" s="23"/>
      <c r="Q125" s="23"/>
      <c r="R125" s="23"/>
    </row>
    <row r="126" spans="1:18">
      <c r="A126" s="22">
        <v>23359500</v>
      </c>
      <c r="B126" s="23" t="s">
        <v>36</v>
      </c>
      <c r="C126" s="34" t="s">
        <v>1008</v>
      </c>
      <c r="D126" s="34"/>
      <c r="F126" s="36" t="s">
        <v>204</v>
      </c>
      <c r="G126" s="23">
        <v>1631850</v>
      </c>
      <c r="H126" s="23">
        <v>1631850</v>
      </c>
      <c r="I126" s="37">
        <v>44176</v>
      </c>
      <c r="J126" s="37">
        <f t="shared" si="6"/>
        <v>44206</v>
      </c>
      <c r="K126" s="38">
        <f t="shared" si="7"/>
        <v>30</v>
      </c>
      <c r="L126" s="38" t="str">
        <f t="shared" si="8"/>
        <v>Dejar al valor nominal</v>
      </c>
      <c r="M126" s="38">
        <f t="shared" si="9"/>
        <v>0</v>
      </c>
      <c r="N126" s="272" t="str">
        <f t="shared" si="10"/>
        <v>OK</v>
      </c>
      <c r="P126" s="23"/>
      <c r="Q126" s="23"/>
      <c r="R126" s="23"/>
    </row>
    <row r="127" spans="1:18">
      <c r="A127" s="22">
        <v>23359500</v>
      </c>
      <c r="B127" s="23" t="s">
        <v>36</v>
      </c>
      <c r="C127" s="34" t="s">
        <v>1008</v>
      </c>
      <c r="D127" s="34"/>
      <c r="F127" s="36" t="s">
        <v>204</v>
      </c>
      <c r="G127" s="23">
        <v>6194305</v>
      </c>
      <c r="H127" s="23">
        <v>6194305</v>
      </c>
      <c r="I127" s="37">
        <v>44176</v>
      </c>
      <c r="J127" s="37">
        <f t="shared" si="6"/>
        <v>44206</v>
      </c>
      <c r="K127" s="38">
        <f t="shared" si="7"/>
        <v>30</v>
      </c>
      <c r="L127" s="38" t="str">
        <f t="shared" si="8"/>
        <v>Dejar al valor nominal</v>
      </c>
      <c r="M127" s="38">
        <f t="shared" si="9"/>
        <v>0</v>
      </c>
      <c r="N127" s="272" t="str">
        <f t="shared" si="10"/>
        <v>OK</v>
      </c>
      <c r="P127" s="23"/>
      <c r="Q127" s="23"/>
      <c r="R127" s="23"/>
    </row>
    <row r="128" spans="1:18">
      <c r="A128" s="22">
        <v>23359500</v>
      </c>
      <c r="B128" s="23" t="s">
        <v>36</v>
      </c>
      <c r="C128" s="34" t="s">
        <v>1008</v>
      </c>
      <c r="D128" s="34"/>
      <c r="F128" s="36" t="s">
        <v>204</v>
      </c>
      <c r="G128" s="23">
        <v>1188300</v>
      </c>
      <c r="H128" s="23">
        <v>1188300</v>
      </c>
      <c r="I128" s="37">
        <v>44178</v>
      </c>
      <c r="J128" s="37">
        <f t="shared" si="6"/>
        <v>44208</v>
      </c>
      <c r="K128" s="38">
        <f t="shared" si="7"/>
        <v>30</v>
      </c>
      <c r="L128" s="38" t="str">
        <f t="shared" si="8"/>
        <v>Dejar al valor nominal</v>
      </c>
      <c r="M128" s="38">
        <f t="shared" si="9"/>
        <v>0</v>
      </c>
      <c r="N128" s="272" t="str">
        <f t="shared" si="10"/>
        <v>OK</v>
      </c>
      <c r="P128" s="23"/>
      <c r="Q128" s="23"/>
      <c r="R128" s="23"/>
    </row>
    <row r="129" spans="1:18">
      <c r="A129" s="22">
        <v>23359500</v>
      </c>
      <c r="B129" s="23" t="s">
        <v>36</v>
      </c>
      <c r="C129" s="34" t="s">
        <v>1008</v>
      </c>
      <c r="D129" s="34"/>
      <c r="F129" s="36" t="s">
        <v>204</v>
      </c>
      <c r="G129" s="23">
        <v>6815250</v>
      </c>
      <c r="H129" s="23">
        <v>6815250</v>
      </c>
      <c r="I129" s="37">
        <v>44181</v>
      </c>
      <c r="J129" s="37">
        <f t="shared" si="6"/>
        <v>44211</v>
      </c>
      <c r="K129" s="38">
        <f t="shared" si="7"/>
        <v>30</v>
      </c>
      <c r="L129" s="38" t="str">
        <f t="shared" si="8"/>
        <v>Dejar al valor nominal</v>
      </c>
      <c r="M129" s="38">
        <f t="shared" si="9"/>
        <v>0</v>
      </c>
      <c r="N129" s="272" t="str">
        <f t="shared" si="10"/>
        <v>OK</v>
      </c>
      <c r="P129" s="23"/>
      <c r="Q129" s="23"/>
      <c r="R129" s="23"/>
    </row>
    <row r="130" spans="1:18">
      <c r="A130" s="22">
        <v>23359500</v>
      </c>
      <c r="B130" s="23" t="s">
        <v>36</v>
      </c>
      <c r="C130" s="34" t="s">
        <v>1008</v>
      </c>
      <c r="D130" s="34"/>
      <c r="F130" s="36" t="s">
        <v>204</v>
      </c>
      <c r="G130" s="23">
        <v>2271750</v>
      </c>
      <c r="H130" s="23">
        <v>2271750</v>
      </c>
      <c r="I130" s="37">
        <v>44184</v>
      </c>
      <c r="J130" s="37">
        <f t="shared" si="6"/>
        <v>44214</v>
      </c>
      <c r="K130" s="38">
        <f t="shared" si="7"/>
        <v>30</v>
      </c>
      <c r="L130" s="38" t="str">
        <f t="shared" si="8"/>
        <v>Dejar al valor nominal</v>
      </c>
      <c r="M130" s="38">
        <f t="shared" si="9"/>
        <v>0</v>
      </c>
      <c r="N130" s="272" t="str">
        <f t="shared" si="10"/>
        <v>OK</v>
      </c>
      <c r="P130" s="23"/>
      <c r="Q130" s="23"/>
      <c r="R130" s="23"/>
    </row>
    <row r="131" spans="1:18">
      <c r="A131" s="22">
        <v>23359500</v>
      </c>
      <c r="B131" s="23" t="s">
        <v>36</v>
      </c>
      <c r="C131" s="34" t="s">
        <v>1008</v>
      </c>
      <c r="D131" s="34"/>
      <c r="F131" s="36" t="s">
        <v>204</v>
      </c>
      <c r="G131" s="23">
        <v>39227750</v>
      </c>
      <c r="H131" s="23">
        <v>39227750</v>
      </c>
      <c r="I131" s="37">
        <v>44184</v>
      </c>
      <c r="J131" s="37">
        <f t="shared" si="6"/>
        <v>44214</v>
      </c>
      <c r="K131" s="38">
        <f t="shared" si="7"/>
        <v>30</v>
      </c>
      <c r="L131" s="38" t="str">
        <f t="shared" si="8"/>
        <v>Dejar al valor nominal</v>
      </c>
      <c r="M131" s="38">
        <f t="shared" si="9"/>
        <v>0</v>
      </c>
      <c r="N131" s="272" t="str">
        <f t="shared" si="10"/>
        <v>OK</v>
      </c>
      <c r="P131" s="23"/>
      <c r="Q131" s="23"/>
      <c r="R131" s="23"/>
    </row>
    <row r="132" spans="1:18">
      <c r="A132" s="22">
        <v>23359500</v>
      </c>
      <c r="B132" s="23" t="s">
        <v>36</v>
      </c>
      <c r="C132" s="34" t="s">
        <v>1008</v>
      </c>
      <c r="D132" s="34"/>
      <c r="F132" s="36" t="s">
        <v>204</v>
      </c>
      <c r="G132" s="23">
        <v>5000000</v>
      </c>
      <c r="H132" s="23">
        <v>5000000</v>
      </c>
      <c r="I132" s="37">
        <v>44192</v>
      </c>
      <c r="J132" s="37">
        <f t="shared" si="6"/>
        <v>44222</v>
      </c>
      <c r="K132" s="38">
        <f t="shared" si="7"/>
        <v>30</v>
      </c>
      <c r="L132" s="38" t="str">
        <f t="shared" si="8"/>
        <v>Dejar al valor nominal</v>
      </c>
      <c r="M132" s="38">
        <f t="shared" si="9"/>
        <v>0</v>
      </c>
      <c r="N132" s="272" t="str">
        <f t="shared" si="10"/>
        <v>OK</v>
      </c>
      <c r="P132" s="23"/>
      <c r="Q132" s="23"/>
      <c r="R132" s="23"/>
    </row>
    <row r="133" spans="1:18">
      <c r="A133" s="22">
        <v>23359500</v>
      </c>
      <c r="B133" s="23" t="s">
        <v>36</v>
      </c>
      <c r="C133" s="34" t="s">
        <v>1008</v>
      </c>
      <c r="D133" s="34"/>
      <c r="F133" s="36" t="s">
        <v>204</v>
      </c>
      <c r="G133" s="23">
        <v>14314</v>
      </c>
      <c r="H133" s="23">
        <v>14314</v>
      </c>
      <c r="I133" s="37">
        <v>44166</v>
      </c>
      <c r="J133" s="37">
        <f t="shared" si="6"/>
        <v>44196</v>
      </c>
      <c r="K133" s="38">
        <f t="shared" si="7"/>
        <v>30</v>
      </c>
      <c r="L133" s="38" t="str">
        <f t="shared" si="8"/>
        <v>Dejar al valor nominal</v>
      </c>
      <c r="M133" s="38">
        <f t="shared" si="9"/>
        <v>0</v>
      </c>
      <c r="N133" s="272" t="str">
        <f t="shared" si="10"/>
        <v>OK</v>
      </c>
      <c r="P133" s="23"/>
      <c r="Q133" s="23"/>
      <c r="R133" s="23"/>
    </row>
    <row r="134" spans="1:18">
      <c r="A134" s="22">
        <v>23359500</v>
      </c>
      <c r="B134" s="23" t="s">
        <v>36</v>
      </c>
      <c r="C134" s="34" t="s">
        <v>1008</v>
      </c>
      <c r="D134" s="34"/>
      <c r="F134" s="36" t="s">
        <v>204</v>
      </c>
      <c r="G134" s="23">
        <v>33884760</v>
      </c>
      <c r="H134" s="23">
        <v>33884760</v>
      </c>
      <c r="I134" s="37">
        <v>44185</v>
      </c>
      <c r="J134" s="37">
        <f t="shared" si="6"/>
        <v>44215</v>
      </c>
      <c r="K134" s="38">
        <f t="shared" si="7"/>
        <v>30</v>
      </c>
      <c r="L134" s="38" t="str">
        <f t="shared" si="8"/>
        <v>Dejar al valor nominal</v>
      </c>
      <c r="M134" s="38">
        <f t="shared" si="9"/>
        <v>0</v>
      </c>
      <c r="N134" s="272" t="str">
        <f t="shared" si="10"/>
        <v>OK</v>
      </c>
      <c r="P134" s="23"/>
      <c r="Q134" s="23"/>
      <c r="R134" s="23"/>
    </row>
    <row r="135" spans="1:18">
      <c r="A135" s="22">
        <v>23359500</v>
      </c>
      <c r="B135" s="23" t="s">
        <v>36</v>
      </c>
      <c r="C135" s="34" t="s">
        <v>1008</v>
      </c>
      <c r="D135" s="34"/>
      <c r="F135" s="36" t="s">
        <v>204</v>
      </c>
      <c r="G135" s="23">
        <v>3202033.74</v>
      </c>
      <c r="H135" s="23">
        <v>3202033.74</v>
      </c>
      <c r="I135" s="37">
        <v>44059</v>
      </c>
      <c r="J135" s="37">
        <f t="shared" si="6"/>
        <v>44089</v>
      </c>
      <c r="K135" s="38">
        <f t="shared" si="7"/>
        <v>30</v>
      </c>
      <c r="L135" s="38" t="str">
        <f t="shared" si="8"/>
        <v>Dejar al valor nominal</v>
      </c>
      <c r="M135" s="38">
        <f t="shared" si="9"/>
        <v>0</v>
      </c>
      <c r="N135" s="272" t="str">
        <f t="shared" si="10"/>
        <v>OK</v>
      </c>
      <c r="P135" s="23"/>
      <c r="Q135" s="23"/>
      <c r="R135" s="23"/>
    </row>
    <row r="136" spans="1:18">
      <c r="A136" s="22">
        <v>23359500</v>
      </c>
      <c r="B136" s="23" t="s">
        <v>36</v>
      </c>
      <c r="C136" s="34" t="s">
        <v>1008</v>
      </c>
      <c r="D136" s="34"/>
      <c r="F136" s="36" t="s">
        <v>204</v>
      </c>
      <c r="G136" s="23">
        <v>265670</v>
      </c>
      <c r="H136" s="23">
        <v>265670</v>
      </c>
      <c r="I136" s="37">
        <v>44154</v>
      </c>
      <c r="J136" s="37">
        <f t="shared" si="6"/>
        <v>44184</v>
      </c>
      <c r="K136" s="38">
        <f t="shared" si="7"/>
        <v>30</v>
      </c>
      <c r="L136" s="38" t="str">
        <f t="shared" si="8"/>
        <v>Dejar al valor nominal</v>
      </c>
      <c r="M136" s="38">
        <f t="shared" si="9"/>
        <v>0</v>
      </c>
      <c r="N136" s="272" t="str">
        <f t="shared" si="10"/>
        <v>OK</v>
      </c>
      <c r="P136" s="23"/>
      <c r="Q136" s="23"/>
      <c r="R136" s="23"/>
    </row>
    <row r="137" spans="1:18">
      <c r="A137" s="22">
        <v>23359500</v>
      </c>
      <c r="B137" s="23" t="s">
        <v>36</v>
      </c>
      <c r="C137" s="34" t="s">
        <v>1008</v>
      </c>
      <c r="D137" s="34"/>
      <c r="F137" s="36" t="s">
        <v>204</v>
      </c>
      <c r="G137" s="23">
        <v>304761</v>
      </c>
      <c r="H137" s="23">
        <v>304761</v>
      </c>
      <c r="I137" s="37">
        <v>44154</v>
      </c>
      <c r="J137" s="37">
        <f t="shared" si="6"/>
        <v>44184</v>
      </c>
      <c r="K137" s="38">
        <f t="shared" si="7"/>
        <v>30</v>
      </c>
      <c r="L137" s="38" t="str">
        <f t="shared" si="8"/>
        <v>Dejar al valor nominal</v>
      </c>
      <c r="M137" s="38">
        <f t="shared" si="9"/>
        <v>0</v>
      </c>
      <c r="N137" s="272" t="str">
        <f t="shared" si="10"/>
        <v>OK</v>
      </c>
      <c r="P137" s="23"/>
      <c r="Q137" s="23"/>
      <c r="R137" s="23"/>
    </row>
    <row r="138" spans="1:18">
      <c r="A138" s="22">
        <v>23359500</v>
      </c>
      <c r="B138" s="23" t="s">
        <v>36</v>
      </c>
      <c r="C138" s="34" t="s">
        <v>1008</v>
      </c>
      <c r="D138" s="34"/>
      <c r="F138" s="36" t="s">
        <v>204</v>
      </c>
      <c r="G138" s="23">
        <v>265497</v>
      </c>
      <c r="H138" s="23">
        <v>265497</v>
      </c>
      <c r="I138" s="37">
        <v>44177</v>
      </c>
      <c r="J138" s="37">
        <f t="shared" si="6"/>
        <v>44207</v>
      </c>
      <c r="K138" s="38">
        <f t="shared" si="7"/>
        <v>30</v>
      </c>
      <c r="L138" s="38" t="str">
        <f t="shared" si="8"/>
        <v>Dejar al valor nominal</v>
      </c>
      <c r="M138" s="38">
        <f t="shared" si="9"/>
        <v>0</v>
      </c>
      <c r="N138" s="272" t="str">
        <f t="shared" si="10"/>
        <v>OK</v>
      </c>
      <c r="P138" s="23"/>
      <c r="Q138" s="23"/>
      <c r="R138" s="23"/>
    </row>
    <row r="139" spans="1:18">
      <c r="A139" s="22">
        <v>23359500</v>
      </c>
      <c r="B139" s="23" t="s">
        <v>36</v>
      </c>
      <c r="C139" s="34" t="s">
        <v>1008</v>
      </c>
      <c r="D139" s="34"/>
      <c r="F139" s="36" t="s">
        <v>204</v>
      </c>
      <c r="G139" s="23">
        <v>340974</v>
      </c>
      <c r="H139" s="23">
        <v>340974</v>
      </c>
      <c r="I139" s="37">
        <v>44167</v>
      </c>
      <c r="J139" s="37">
        <f t="shared" si="6"/>
        <v>44197</v>
      </c>
      <c r="K139" s="38">
        <f t="shared" si="7"/>
        <v>30</v>
      </c>
      <c r="L139" s="38" t="str">
        <f t="shared" si="8"/>
        <v>Dejar al valor nominal</v>
      </c>
      <c r="M139" s="38">
        <f t="shared" si="9"/>
        <v>0</v>
      </c>
      <c r="N139" s="272" t="str">
        <f t="shared" si="10"/>
        <v>OK</v>
      </c>
      <c r="P139" s="23"/>
      <c r="Q139" s="23"/>
      <c r="R139" s="23"/>
    </row>
    <row r="140" spans="1:18">
      <c r="A140" s="22">
        <v>23359500</v>
      </c>
      <c r="B140" s="23" t="s">
        <v>36</v>
      </c>
      <c r="C140" s="34" t="s">
        <v>1008</v>
      </c>
      <c r="D140" s="34"/>
      <c r="F140" s="36" t="s">
        <v>204</v>
      </c>
      <c r="G140" s="23">
        <v>340974</v>
      </c>
      <c r="H140" s="23">
        <v>340974</v>
      </c>
      <c r="I140" s="37">
        <v>44167</v>
      </c>
      <c r="J140" s="37">
        <f t="shared" si="6"/>
        <v>44197</v>
      </c>
      <c r="K140" s="38">
        <f t="shared" si="7"/>
        <v>30</v>
      </c>
      <c r="L140" s="38" t="str">
        <f t="shared" si="8"/>
        <v>Dejar al valor nominal</v>
      </c>
      <c r="M140" s="38">
        <f t="shared" si="9"/>
        <v>0</v>
      </c>
      <c r="N140" s="272" t="str">
        <f t="shared" si="10"/>
        <v>OK</v>
      </c>
      <c r="P140" s="23"/>
      <c r="Q140" s="23"/>
      <c r="R140" s="23"/>
    </row>
    <row r="141" spans="1:18">
      <c r="A141" s="22">
        <v>23359500</v>
      </c>
      <c r="B141" s="23" t="s">
        <v>36</v>
      </c>
      <c r="C141" s="34" t="s">
        <v>1008</v>
      </c>
      <c r="D141" s="34"/>
      <c r="F141" s="36" t="s">
        <v>204</v>
      </c>
      <c r="G141" s="23">
        <v>50000</v>
      </c>
      <c r="H141" s="23">
        <v>50000</v>
      </c>
      <c r="I141" s="37">
        <v>44166</v>
      </c>
      <c r="J141" s="37">
        <f t="shared" si="6"/>
        <v>44196</v>
      </c>
      <c r="K141" s="38">
        <f t="shared" si="7"/>
        <v>30</v>
      </c>
      <c r="L141" s="38" t="str">
        <f t="shared" si="8"/>
        <v>Dejar al valor nominal</v>
      </c>
      <c r="M141" s="38">
        <f t="shared" si="9"/>
        <v>0</v>
      </c>
      <c r="N141" s="272" t="str">
        <f t="shared" si="10"/>
        <v>OK</v>
      </c>
      <c r="P141" s="23"/>
      <c r="Q141" s="23"/>
      <c r="R141" s="23"/>
    </row>
    <row r="142" spans="1:18">
      <c r="A142" s="22">
        <v>23359500</v>
      </c>
      <c r="B142" s="23" t="s">
        <v>36</v>
      </c>
      <c r="C142" s="34" t="s">
        <v>1008</v>
      </c>
      <c r="D142" s="34"/>
      <c r="F142" s="36" t="s">
        <v>204</v>
      </c>
      <c r="G142" s="23">
        <v>5118445</v>
      </c>
      <c r="H142" s="23">
        <v>5118445</v>
      </c>
      <c r="I142" s="37">
        <v>44196</v>
      </c>
      <c r="J142" s="37">
        <f t="shared" si="6"/>
        <v>44226</v>
      </c>
      <c r="K142" s="38">
        <f t="shared" si="7"/>
        <v>30</v>
      </c>
      <c r="L142" s="38" t="str">
        <f t="shared" si="8"/>
        <v>Dejar al valor nominal</v>
      </c>
      <c r="M142" s="38">
        <f t="shared" si="9"/>
        <v>0</v>
      </c>
      <c r="N142" s="272" t="str">
        <f t="shared" si="10"/>
        <v>OK</v>
      </c>
      <c r="P142" s="23"/>
      <c r="Q142" s="23"/>
      <c r="R142" s="23"/>
    </row>
    <row r="143" spans="1:18">
      <c r="A143" s="22">
        <v>23359500</v>
      </c>
      <c r="B143" s="23" t="s">
        <v>36</v>
      </c>
      <c r="C143" s="34" t="s">
        <v>1008</v>
      </c>
      <c r="D143" s="34"/>
      <c r="F143" s="36" t="s">
        <v>204</v>
      </c>
      <c r="G143" s="23">
        <v>1389944.82</v>
      </c>
      <c r="H143" s="23">
        <v>1389944.82</v>
      </c>
      <c r="I143" s="37">
        <v>44177</v>
      </c>
      <c r="J143" s="37">
        <f t="shared" si="6"/>
        <v>44207</v>
      </c>
      <c r="K143" s="38">
        <f t="shared" si="7"/>
        <v>30</v>
      </c>
      <c r="L143" s="38" t="str">
        <f t="shared" si="8"/>
        <v>Dejar al valor nominal</v>
      </c>
      <c r="M143" s="38">
        <f t="shared" si="9"/>
        <v>0</v>
      </c>
      <c r="N143" s="272" t="str">
        <f t="shared" si="10"/>
        <v>OK</v>
      </c>
      <c r="P143" s="23"/>
      <c r="Q143" s="23"/>
      <c r="R143" s="23"/>
    </row>
    <row r="144" spans="1:18">
      <c r="A144" s="22">
        <v>23359500</v>
      </c>
      <c r="B144" s="23" t="s">
        <v>36</v>
      </c>
      <c r="C144" s="34" t="s">
        <v>1008</v>
      </c>
      <c r="D144" s="34"/>
      <c r="F144" s="36" t="s">
        <v>204</v>
      </c>
      <c r="G144" s="23">
        <v>960925</v>
      </c>
      <c r="H144" s="23">
        <v>960925</v>
      </c>
      <c r="I144" s="37">
        <v>44177</v>
      </c>
      <c r="J144" s="37">
        <f t="shared" si="6"/>
        <v>44207</v>
      </c>
      <c r="K144" s="38">
        <f t="shared" si="7"/>
        <v>30</v>
      </c>
      <c r="L144" s="38" t="str">
        <f t="shared" si="8"/>
        <v>Dejar al valor nominal</v>
      </c>
      <c r="M144" s="38">
        <f t="shared" si="9"/>
        <v>0</v>
      </c>
      <c r="N144" s="272" t="str">
        <f t="shared" si="10"/>
        <v>OK</v>
      </c>
      <c r="P144" s="23"/>
      <c r="Q144" s="23"/>
      <c r="R144" s="23"/>
    </row>
    <row r="145" spans="1:18">
      <c r="A145" s="22">
        <v>23359500</v>
      </c>
      <c r="B145" s="23" t="s">
        <v>36</v>
      </c>
      <c r="C145" s="34" t="s">
        <v>1008</v>
      </c>
      <c r="D145" s="34"/>
      <c r="F145" s="36" t="s">
        <v>204</v>
      </c>
      <c r="G145" s="23">
        <v>678300</v>
      </c>
      <c r="H145" s="23">
        <v>678300</v>
      </c>
      <c r="I145" s="37">
        <v>44177</v>
      </c>
      <c r="J145" s="37">
        <f t="shared" si="6"/>
        <v>44207</v>
      </c>
      <c r="K145" s="38">
        <f t="shared" si="7"/>
        <v>30</v>
      </c>
      <c r="L145" s="38" t="str">
        <f t="shared" si="8"/>
        <v>Dejar al valor nominal</v>
      </c>
      <c r="M145" s="38">
        <f t="shared" si="9"/>
        <v>0</v>
      </c>
      <c r="N145" s="272" t="str">
        <f t="shared" si="10"/>
        <v>OK</v>
      </c>
      <c r="P145" s="23"/>
      <c r="Q145" s="23"/>
      <c r="R145" s="23"/>
    </row>
    <row r="146" spans="1:18">
      <c r="A146" s="22">
        <v>23359500</v>
      </c>
      <c r="B146" s="23" t="s">
        <v>36</v>
      </c>
      <c r="C146" s="34" t="s">
        <v>1008</v>
      </c>
      <c r="D146" s="34"/>
      <c r="F146" s="36" t="s">
        <v>204</v>
      </c>
      <c r="G146" s="23">
        <v>1272240.8999999999</v>
      </c>
      <c r="H146" s="23">
        <v>1272240.8999999999</v>
      </c>
      <c r="I146" s="37">
        <v>44184</v>
      </c>
      <c r="J146" s="37">
        <f t="shared" si="6"/>
        <v>44214</v>
      </c>
      <c r="K146" s="38">
        <f t="shared" si="7"/>
        <v>30</v>
      </c>
      <c r="L146" s="38" t="str">
        <f t="shared" si="8"/>
        <v>Dejar al valor nominal</v>
      </c>
      <c r="M146" s="38">
        <f t="shared" si="9"/>
        <v>0</v>
      </c>
      <c r="N146" s="272" t="str">
        <f t="shared" si="10"/>
        <v>OK</v>
      </c>
      <c r="P146" s="23"/>
      <c r="Q146" s="23"/>
      <c r="R146" s="23"/>
    </row>
    <row r="147" spans="1:18">
      <c r="A147" s="22">
        <v>23359500</v>
      </c>
      <c r="B147" s="23" t="s">
        <v>36</v>
      </c>
      <c r="C147" s="34" t="s">
        <v>1008</v>
      </c>
      <c r="D147" s="34"/>
      <c r="F147" s="36" t="s">
        <v>204</v>
      </c>
      <c r="G147" s="23">
        <v>67187</v>
      </c>
      <c r="H147" s="23">
        <v>67187</v>
      </c>
      <c r="I147" s="37">
        <v>44147</v>
      </c>
      <c r="J147" s="37">
        <f t="shared" si="6"/>
        <v>44177</v>
      </c>
      <c r="K147" s="38">
        <f t="shared" si="7"/>
        <v>30</v>
      </c>
      <c r="L147" s="38" t="str">
        <f t="shared" si="8"/>
        <v>Dejar al valor nominal</v>
      </c>
      <c r="M147" s="38">
        <f t="shared" si="9"/>
        <v>0</v>
      </c>
      <c r="N147" s="272" t="str">
        <f t="shared" si="10"/>
        <v>OK</v>
      </c>
      <c r="P147" s="23"/>
      <c r="Q147" s="23"/>
      <c r="R147" s="23"/>
    </row>
    <row r="148" spans="1:18">
      <c r="A148" s="22">
        <v>23359500</v>
      </c>
      <c r="B148" s="23" t="s">
        <v>36</v>
      </c>
      <c r="C148" s="34" t="s">
        <v>1008</v>
      </c>
      <c r="D148" s="34"/>
      <c r="F148" s="36" t="s">
        <v>204</v>
      </c>
      <c r="G148" s="23">
        <v>99782</v>
      </c>
      <c r="H148" s="23">
        <v>99782</v>
      </c>
      <c r="I148" s="37">
        <v>44170</v>
      </c>
      <c r="J148" s="37">
        <f t="shared" si="6"/>
        <v>44200</v>
      </c>
      <c r="K148" s="38">
        <f t="shared" si="7"/>
        <v>30</v>
      </c>
      <c r="L148" s="38" t="str">
        <f t="shared" si="8"/>
        <v>Dejar al valor nominal</v>
      </c>
      <c r="M148" s="38">
        <f t="shared" si="9"/>
        <v>0</v>
      </c>
      <c r="N148" s="272" t="str">
        <f t="shared" si="10"/>
        <v>OK</v>
      </c>
      <c r="P148" s="23"/>
      <c r="Q148" s="23"/>
      <c r="R148" s="23"/>
    </row>
    <row r="149" spans="1:18">
      <c r="A149" s="22">
        <v>23359500</v>
      </c>
      <c r="B149" s="23" t="s">
        <v>36</v>
      </c>
      <c r="C149" s="34" t="s">
        <v>1008</v>
      </c>
      <c r="D149" s="34"/>
      <c r="F149" s="36" t="s">
        <v>204</v>
      </c>
      <c r="G149" s="23">
        <v>107517</v>
      </c>
      <c r="H149" s="23">
        <v>107517</v>
      </c>
      <c r="I149" s="37">
        <v>44171</v>
      </c>
      <c r="J149" s="37">
        <f t="shared" si="6"/>
        <v>44201</v>
      </c>
      <c r="K149" s="38">
        <f t="shared" si="7"/>
        <v>30</v>
      </c>
      <c r="L149" s="38" t="str">
        <f t="shared" si="8"/>
        <v>Dejar al valor nominal</v>
      </c>
      <c r="M149" s="38">
        <f t="shared" si="9"/>
        <v>0</v>
      </c>
      <c r="N149" s="272" t="str">
        <f t="shared" si="10"/>
        <v>OK</v>
      </c>
      <c r="P149" s="23"/>
      <c r="Q149" s="23"/>
      <c r="R149" s="23"/>
    </row>
    <row r="150" spans="1:18">
      <c r="A150" s="22">
        <v>23359500</v>
      </c>
      <c r="B150" s="23" t="s">
        <v>36</v>
      </c>
      <c r="C150" s="34" t="s">
        <v>1008</v>
      </c>
      <c r="D150" s="34"/>
      <c r="F150" s="36" t="s">
        <v>204</v>
      </c>
      <c r="G150" s="23">
        <v>1272000</v>
      </c>
      <c r="H150" s="23">
        <v>1272000</v>
      </c>
      <c r="I150" s="37">
        <v>44170</v>
      </c>
      <c r="J150" s="37">
        <f t="shared" si="6"/>
        <v>44200</v>
      </c>
      <c r="K150" s="38">
        <f t="shared" si="7"/>
        <v>30</v>
      </c>
      <c r="L150" s="38" t="str">
        <f t="shared" si="8"/>
        <v>Dejar al valor nominal</v>
      </c>
      <c r="M150" s="38">
        <f t="shared" si="9"/>
        <v>0</v>
      </c>
      <c r="N150" s="272" t="str">
        <f t="shared" si="10"/>
        <v>OK</v>
      </c>
      <c r="P150" s="23"/>
      <c r="Q150" s="23"/>
      <c r="R150" s="23"/>
    </row>
    <row r="151" spans="1:18">
      <c r="A151" s="22">
        <v>23359500</v>
      </c>
      <c r="B151" s="23" t="s">
        <v>36</v>
      </c>
      <c r="C151" s="34" t="s">
        <v>1008</v>
      </c>
      <c r="D151" s="34"/>
      <c r="F151" s="36" t="s">
        <v>204</v>
      </c>
      <c r="G151" s="23">
        <v>1199520</v>
      </c>
      <c r="H151" s="23">
        <v>1199520</v>
      </c>
      <c r="I151" s="37">
        <v>44160</v>
      </c>
      <c r="J151" s="37">
        <f t="shared" si="6"/>
        <v>44190</v>
      </c>
      <c r="K151" s="38">
        <f t="shared" si="7"/>
        <v>30</v>
      </c>
      <c r="L151" s="38" t="str">
        <f t="shared" si="8"/>
        <v>Dejar al valor nominal</v>
      </c>
      <c r="M151" s="38">
        <f t="shared" si="9"/>
        <v>0</v>
      </c>
      <c r="N151" s="272" t="str">
        <f t="shared" si="10"/>
        <v>OK</v>
      </c>
      <c r="P151" s="23"/>
      <c r="Q151" s="23"/>
      <c r="R151" s="23"/>
    </row>
    <row r="152" spans="1:18">
      <c r="A152" s="22">
        <v>23359500</v>
      </c>
      <c r="B152" s="23" t="s">
        <v>36</v>
      </c>
      <c r="C152" s="34" t="s">
        <v>1008</v>
      </c>
      <c r="D152" s="34"/>
      <c r="F152" s="36" t="s">
        <v>204</v>
      </c>
      <c r="G152" s="23">
        <v>12353011.92</v>
      </c>
      <c r="H152" s="23">
        <v>12353011.92</v>
      </c>
      <c r="I152" s="37">
        <v>44175</v>
      </c>
      <c r="J152" s="37">
        <f t="shared" si="6"/>
        <v>44205</v>
      </c>
      <c r="K152" s="38">
        <f t="shared" si="7"/>
        <v>30</v>
      </c>
      <c r="L152" s="38" t="str">
        <f t="shared" si="8"/>
        <v>Dejar al valor nominal</v>
      </c>
      <c r="M152" s="38">
        <f t="shared" si="9"/>
        <v>0</v>
      </c>
      <c r="N152" s="272" t="str">
        <f t="shared" si="10"/>
        <v>OK</v>
      </c>
      <c r="P152" s="23"/>
      <c r="Q152" s="23"/>
      <c r="R152" s="23"/>
    </row>
    <row r="153" spans="1:18">
      <c r="A153" s="22">
        <v>23359500</v>
      </c>
      <c r="B153" s="23" t="s">
        <v>36</v>
      </c>
      <c r="C153" s="34" t="s">
        <v>1008</v>
      </c>
      <c r="D153" s="34"/>
      <c r="F153" s="36" t="s">
        <v>204</v>
      </c>
      <c r="G153" s="23">
        <v>1529280</v>
      </c>
      <c r="H153" s="23">
        <v>1529280</v>
      </c>
      <c r="I153" s="37">
        <v>44182</v>
      </c>
      <c r="J153" s="37">
        <f t="shared" ref="J153:J163" si="11">I153+30</f>
        <v>44212</v>
      </c>
      <c r="K153" s="38">
        <f t="shared" ref="K153:K163" si="12">IF(J153-I153&lt;0,"Error",J153-I153)</f>
        <v>30</v>
      </c>
      <c r="L153" s="38" t="str">
        <f t="shared" ref="L153:L163" si="13">IF(K153&gt;365,"Medir al costo amortizado","Dejar al valor nominal")</f>
        <v>Dejar al valor nominal</v>
      </c>
      <c r="M153" s="38">
        <f t="shared" ref="M153:M163" si="14">H153-G153</f>
        <v>0</v>
      </c>
      <c r="N153" s="272" t="str">
        <f t="shared" ref="N153:N163" si="15">IF($N$20-J153&gt;K153,"Revisar","OK")</f>
        <v>OK</v>
      </c>
      <c r="P153" s="23"/>
      <c r="Q153" s="23"/>
      <c r="R153" s="23"/>
    </row>
    <row r="154" spans="1:18">
      <c r="A154" s="22">
        <v>23359500</v>
      </c>
      <c r="B154" s="23" t="s">
        <v>36</v>
      </c>
      <c r="C154" s="34" t="s">
        <v>1008</v>
      </c>
      <c r="D154" s="34"/>
      <c r="F154" s="36" t="s">
        <v>204</v>
      </c>
      <c r="G154" s="23">
        <v>378000</v>
      </c>
      <c r="H154" s="23">
        <v>378000</v>
      </c>
      <c r="I154" s="37">
        <v>44182</v>
      </c>
      <c r="J154" s="37">
        <f t="shared" si="11"/>
        <v>44212</v>
      </c>
      <c r="K154" s="38">
        <f t="shared" si="12"/>
        <v>30</v>
      </c>
      <c r="L154" s="38" t="str">
        <f t="shared" si="13"/>
        <v>Dejar al valor nominal</v>
      </c>
      <c r="M154" s="38">
        <f t="shared" si="14"/>
        <v>0</v>
      </c>
      <c r="N154" s="272" t="str">
        <f t="shared" si="15"/>
        <v>OK</v>
      </c>
      <c r="P154" s="23"/>
      <c r="Q154" s="23"/>
      <c r="R154" s="23"/>
    </row>
    <row r="155" spans="1:18">
      <c r="A155" s="22">
        <v>23359500</v>
      </c>
      <c r="B155" s="23" t="s">
        <v>36</v>
      </c>
      <c r="C155" s="34" t="s">
        <v>1008</v>
      </c>
      <c r="D155" s="34"/>
      <c r="F155" s="36" t="s">
        <v>204</v>
      </c>
      <c r="G155" s="23">
        <v>614754</v>
      </c>
      <c r="H155" s="23">
        <v>614754</v>
      </c>
      <c r="I155" s="37">
        <v>44185</v>
      </c>
      <c r="J155" s="37">
        <f t="shared" si="11"/>
        <v>44215</v>
      </c>
      <c r="K155" s="38">
        <f t="shared" si="12"/>
        <v>30</v>
      </c>
      <c r="L155" s="38" t="str">
        <f t="shared" si="13"/>
        <v>Dejar al valor nominal</v>
      </c>
      <c r="M155" s="38">
        <f t="shared" si="14"/>
        <v>0</v>
      </c>
      <c r="N155" s="272" t="str">
        <f t="shared" si="15"/>
        <v>OK</v>
      </c>
      <c r="P155" s="23"/>
      <c r="Q155" s="23"/>
      <c r="R155" s="23"/>
    </row>
    <row r="156" spans="1:18">
      <c r="A156" s="22">
        <v>23359500</v>
      </c>
      <c r="B156" s="23" t="s">
        <v>36</v>
      </c>
      <c r="C156" s="34" t="s">
        <v>1008</v>
      </c>
      <c r="D156" s="34"/>
      <c r="F156" s="36" t="s">
        <v>204</v>
      </c>
      <c r="G156" s="23">
        <v>3829134</v>
      </c>
      <c r="H156" s="23">
        <v>3829134</v>
      </c>
      <c r="I156" s="37">
        <v>44185</v>
      </c>
      <c r="J156" s="37">
        <f t="shared" si="11"/>
        <v>44215</v>
      </c>
      <c r="K156" s="38">
        <f t="shared" si="12"/>
        <v>30</v>
      </c>
      <c r="L156" s="38" t="str">
        <f t="shared" si="13"/>
        <v>Dejar al valor nominal</v>
      </c>
      <c r="M156" s="38">
        <f t="shared" si="14"/>
        <v>0</v>
      </c>
      <c r="N156" s="272" t="str">
        <f t="shared" si="15"/>
        <v>OK</v>
      </c>
      <c r="P156" s="23"/>
      <c r="Q156" s="23"/>
      <c r="R156" s="23"/>
    </row>
    <row r="157" spans="1:18">
      <c r="A157" s="22">
        <v>23359500</v>
      </c>
      <c r="B157" s="23" t="s">
        <v>36</v>
      </c>
      <c r="C157" s="34" t="s">
        <v>1008</v>
      </c>
      <c r="D157" s="34"/>
      <c r="F157" s="36" t="s">
        <v>204</v>
      </c>
      <c r="G157" s="23">
        <v>3154752</v>
      </c>
      <c r="H157" s="23">
        <v>3154752</v>
      </c>
      <c r="I157" s="37">
        <v>44167</v>
      </c>
      <c r="J157" s="37">
        <f t="shared" si="11"/>
        <v>44197</v>
      </c>
      <c r="K157" s="38">
        <f t="shared" si="12"/>
        <v>30</v>
      </c>
      <c r="L157" s="38" t="str">
        <f t="shared" si="13"/>
        <v>Dejar al valor nominal</v>
      </c>
      <c r="M157" s="38">
        <f t="shared" si="14"/>
        <v>0</v>
      </c>
      <c r="N157" s="272" t="str">
        <f t="shared" si="15"/>
        <v>OK</v>
      </c>
      <c r="P157" s="23"/>
      <c r="Q157" s="23"/>
      <c r="R157" s="23"/>
    </row>
    <row r="158" spans="1:18">
      <c r="A158" s="22">
        <v>23359500</v>
      </c>
      <c r="B158" s="23" t="s">
        <v>36</v>
      </c>
      <c r="C158" s="34" t="s">
        <v>1008</v>
      </c>
      <c r="D158" s="34"/>
      <c r="F158" s="36" t="s">
        <v>204</v>
      </c>
      <c r="G158" s="23">
        <v>1577376</v>
      </c>
      <c r="H158" s="23">
        <v>1577376</v>
      </c>
      <c r="I158" s="37">
        <v>44174</v>
      </c>
      <c r="J158" s="37">
        <f t="shared" si="11"/>
        <v>44204</v>
      </c>
      <c r="K158" s="38">
        <f t="shared" si="12"/>
        <v>30</v>
      </c>
      <c r="L158" s="38" t="str">
        <f t="shared" si="13"/>
        <v>Dejar al valor nominal</v>
      </c>
      <c r="M158" s="38">
        <f t="shared" si="14"/>
        <v>0</v>
      </c>
      <c r="N158" s="272" t="str">
        <f t="shared" si="15"/>
        <v>OK</v>
      </c>
      <c r="P158" s="23"/>
      <c r="Q158" s="23"/>
      <c r="R158" s="23"/>
    </row>
    <row r="159" spans="1:18">
      <c r="A159" s="22">
        <v>23359500</v>
      </c>
      <c r="B159" s="23" t="s">
        <v>36</v>
      </c>
      <c r="C159" s="34" t="s">
        <v>1008</v>
      </c>
      <c r="D159" s="34"/>
      <c r="F159" s="36" t="s">
        <v>204</v>
      </c>
      <c r="G159" s="23">
        <v>3943440</v>
      </c>
      <c r="H159" s="23">
        <v>3943440</v>
      </c>
      <c r="I159" s="37">
        <v>44181</v>
      </c>
      <c r="J159" s="37">
        <f t="shared" si="11"/>
        <v>44211</v>
      </c>
      <c r="K159" s="38">
        <f t="shared" si="12"/>
        <v>30</v>
      </c>
      <c r="L159" s="38" t="str">
        <f t="shared" si="13"/>
        <v>Dejar al valor nominal</v>
      </c>
      <c r="M159" s="38">
        <f t="shared" si="14"/>
        <v>0</v>
      </c>
      <c r="N159" s="272" t="str">
        <f t="shared" si="15"/>
        <v>OK</v>
      </c>
      <c r="P159" s="23"/>
      <c r="Q159" s="23"/>
      <c r="R159" s="23"/>
    </row>
    <row r="160" spans="1:18">
      <c r="A160" s="22">
        <v>23359500</v>
      </c>
      <c r="B160" s="23" t="s">
        <v>36</v>
      </c>
      <c r="C160" s="34" t="s">
        <v>1008</v>
      </c>
      <c r="D160" s="34"/>
      <c r="F160" s="36" t="s">
        <v>204</v>
      </c>
      <c r="G160" s="23">
        <v>788688</v>
      </c>
      <c r="H160" s="23">
        <v>788688</v>
      </c>
      <c r="I160" s="37">
        <v>44182</v>
      </c>
      <c r="J160" s="37">
        <f t="shared" si="11"/>
        <v>44212</v>
      </c>
      <c r="K160" s="38">
        <f t="shared" si="12"/>
        <v>30</v>
      </c>
      <c r="L160" s="38" t="str">
        <f t="shared" si="13"/>
        <v>Dejar al valor nominal</v>
      </c>
      <c r="M160" s="38">
        <f t="shared" si="14"/>
        <v>0</v>
      </c>
      <c r="N160" s="272" t="str">
        <f t="shared" si="15"/>
        <v>OK</v>
      </c>
      <c r="P160" s="23"/>
      <c r="Q160" s="23"/>
      <c r="R160" s="23"/>
    </row>
    <row r="161" spans="1:18">
      <c r="A161" s="22">
        <v>23359500</v>
      </c>
      <c r="B161" s="23" t="s">
        <v>36</v>
      </c>
      <c r="C161" s="34" t="s">
        <v>1008</v>
      </c>
      <c r="D161" s="34"/>
      <c r="F161" s="36" t="s">
        <v>204</v>
      </c>
      <c r="G161" s="23">
        <v>788688</v>
      </c>
      <c r="H161" s="23">
        <v>788688</v>
      </c>
      <c r="I161" s="37">
        <v>44183</v>
      </c>
      <c r="J161" s="37">
        <f t="shared" si="11"/>
        <v>44213</v>
      </c>
      <c r="K161" s="38">
        <f t="shared" si="12"/>
        <v>30</v>
      </c>
      <c r="L161" s="38" t="str">
        <f t="shared" si="13"/>
        <v>Dejar al valor nominal</v>
      </c>
      <c r="M161" s="38">
        <f t="shared" si="14"/>
        <v>0</v>
      </c>
      <c r="N161" s="272" t="str">
        <f t="shared" si="15"/>
        <v>OK</v>
      </c>
      <c r="P161" s="23"/>
      <c r="Q161" s="23"/>
      <c r="R161" s="23"/>
    </row>
    <row r="162" spans="1:18">
      <c r="A162" s="22">
        <v>23359500</v>
      </c>
      <c r="B162" s="23" t="s">
        <v>36</v>
      </c>
      <c r="C162" s="34" t="s">
        <v>1008</v>
      </c>
      <c r="D162" s="34"/>
      <c r="F162" s="36" t="s">
        <v>204</v>
      </c>
      <c r="G162" s="23">
        <v>111400000</v>
      </c>
      <c r="H162" s="23">
        <v>111400000</v>
      </c>
      <c r="I162" s="37">
        <v>44174</v>
      </c>
      <c r="J162" s="37">
        <f t="shared" si="11"/>
        <v>44204</v>
      </c>
      <c r="K162" s="38">
        <f t="shared" si="12"/>
        <v>30</v>
      </c>
      <c r="L162" s="38" t="str">
        <f t="shared" si="13"/>
        <v>Dejar al valor nominal</v>
      </c>
      <c r="M162" s="38">
        <f t="shared" si="14"/>
        <v>0</v>
      </c>
      <c r="N162" s="272" t="str">
        <f t="shared" si="15"/>
        <v>OK</v>
      </c>
      <c r="P162" s="23"/>
      <c r="Q162" s="23"/>
      <c r="R162" s="23"/>
    </row>
    <row r="163" spans="1:18">
      <c r="A163" s="22">
        <v>23359500</v>
      </c>
      <c r="B163" s="23" t="s">
        <v>36</v>
      </c>
      <c r="C163" s="34" t="s">
        <v>1008</v>
      </c>
      <c r="D163" s="34"/>
      <c r="F163" s="36" t="s">
        <v>204</v>
      </c>
      <c r="G163" s="23">
        <v>50000</v>
      </c>
      <c r="H163" s="23">
        <v>50000</v>
      </c>
      <c r="I163" s="37">
        <v>44166</v>
      </c>
      <c r="J163" s="37">
        <f t="shared" si="11"/>
        <v>44196</v>
      </c>
      <c r="K163" s="38">
        <f t="shared" si="12"/>
        <v>30</v>
      </c>
      <c r="L163" s="38" t="str">
        <f t="shared" si="13"/>
        <v>Dejar al valor nominal</v>
      </c>
      <c r="M163" s="38">
        <f t="shared" si="14"/>
        <v>0</v>
      </c>
      <c r="N163" s="272" t="str">
        <f t="shared" si="15"/>
        <v>OK</v>
      </c>
      <c r="P163" s="23"/>
      <c r="Q163" s="23"/>
      <c r="R163" s="23"/>
    </row>
    <row r="164" spans="1:18" s="22" customFormat="1">
      <c r="P164" s="280"/>
      <c r="Q164" s="23"/>
      <c r="R164" s="23"/>
    </row>
    <row r="165" spans="1:18">
      <c r="A165" s="22">
        <v>23359500</v>
      </c>
      <c r="B165" s="23" t="s">
        <v>36</v>
      </c>
      <c r="C165" s="34" t="s">
        <v>1008</v>
      </c>
      <c r="D165" s="34"/>
      <c r="E165" s="49" t="s">
        <v>505</v>
      </c>
      <c r="F165" s="36" t="s">
        <v>204</v>
      </c>
      <c r="G165" s="23">
        <v>396639</v>
      </c>
      <c r="H165" s="23">
        <v>396639</v>
      </c>
      <c r="I165" s="37">
        <v>44166</v>
      </c>
      <c r="J165" s="37">
        <f t="shared" ref="J165:J171" si="16">I165+30</f>
        <v>44196</v>
      </c>
      <c r="K165" s="38">
        <f t="shared" ref="K165:K171" si="17">IF(J165-I165&lt;0,"Error",J165-I165)</f>
        <v>30</v>
      </c>
      <c r="L165" s="38" t="str">
        <f t="shared" ref="L165:L171" si="18">IF(K165&gt;365,"Medir al costo amortizado","Dejar al valor nominal")</f>
        <v>Dejar al valor nominal</v>
      </c>
      <c r="M165" s="38">
        <f t="shared" ref="M165:M171" si="19">H165-G165</f>
        <v>0</v>
      </c>
      <c r="N165" s="272" t="str">
        <f t="shared" ref="N165:N171" si="20">IF($N$20-J165&gt;K165,"Revisar","OK")</f>
        <v>OK</v>
      </c>
      <c r="O165" s="23" t="s">
        <v>506</v>
      </c>
      <c r="P165" s="23"/>
      <c r="Q165" s="23"/>
      <c r="R165" s="23"/>
    </row>
    <row r="166" spans="1:18">
      <c r="A166" s="22">
        <v>23359500</v>
      </c>
      <c r="B166" s="23" t="s">
        <v>36</v>
      </c>
      <c r="C166" s="34" t="s">
        <v>1008</v>
      </c>
      <c r="D166" s="34"/>
      <c r="E166" s="49" t="s">
        <v>505</v>
      </c>
      <c r="F166" s="36" t="s">
        <v>204</v>
      </c>
      <c r="G166" s="23">
        <v>8041846</v>
      </c>
      <c r="H166" s="23">
        <v>8041846</v>
      </c>
      <c r="I166" s="37">
        <v>44166</v>
      </c>
      <c r="J166" s="37">
        <f t="shared" si="16"/>
        <v>44196</v>
      </c>
      <c r="K166" s="38">
        <f t="shared" si="17"/>
        <v>30</v>
      </c>
      <c r="L166" s="38" t="str">
        <f t="shared" si="18"/>
        <v>Dejar al valor nominal</v>
      </c>
      <c r="M166" s="38">
        <f t="shared" si="19"/>
        <v>0</v>
      </c>
      <c r="N166" s="272" t="str">
        <f t="shared" si="20"/>
        <v>OK</v>
      </c>
      <c r="O166" s="23" t="s">
        <v>506</v>
      </c>
      <c r="P166" s="23"/>
      <c r="Q166" s="23"/>
      <c r="R166" s="23"/>
    </row>
    <row r="167" spans="1:18">
      <c r="A167" s="22">
        <v>23359500</v>
      </c>
      <c r="B167" s="23" t="s">
        <v>36</v>
      </c>
      <c r="C167" s="34" t="s">
        <v>1008</v>
      </c>
      <c r="D167" s="34"/>
      <c r="E167" s="49" t="s">
        <v>505</v>
      </c>
      <c r="F167" s="36" t="s">
        <v>204</v>
      </c>
      <c r="G167" s="23">
        <v>979000.00000000047</v>
      </c>
      <c r="H167" s="23">
        <v>979000.00000000047</v>
      </c>
      <c r="I167" s="37">
        <v>44166</v>
      </c>
      <c r="J167" s="37">
        <f t="shared" si="16"/>
        <v>44196</v>
      </c>
      <c r="K167" s="38">
        <f t="shared" si="17"/>
        <v>30</v>
      </c>
      <c r="L167" s="38" t="str">
        <f t="shared" si="18"/>
        <v>Dejar al valor nominal</v>
      </c>
      <c r="M167" s="38">
        <f t="shared" si="19"/>
        <v>0</v>
      </c>
      <c r="N167" s="272" t="str">
        <f t="shared" si="20"/>
        <v>OK</v>
      </c>
      <c r="O167" s="23" t="s">
        <v>506</v>
      </c>
      <c r="P167" s="23"/>
      <c r="Q167" s="23"/>
      <c r="R167" s="23"/>
    </row>
    <row r="168" spans="1:18">
      <c r="A168" s="22">
        <v>23359500</v>
      </c>
      <c r="B168" s="23" t="s">
        <v>36</v>
      </c>
      <c r="C168" s="34" t="s">
        <v>1008</v>
      </c>
      <c r="D168" s="34"/>
      <c r="E168" s="49" t="s">
        <v>505</v>
      </c>
      <c r="F168" s="36" t="s">
        <v>204</v>
      </c>
      <c r="G168" s="23">
        <v>220000</v>
      </c>
      <c r="H168" s="23">
        <v>220000</v>
      </c>
      <c r="I168" s="37">
        <v>44166</v>
      </c>
      <c r="J168" s="37">
        <f t="shared" si="16"/>
        <v>44196</v>
      </c>
      <c r="K168" s="38">
        <f t="shared" si="17"/>
        <v>30</v>
      </c>
      <c r="L168" s="38" t="str">
        <f t="shared" si="18"/>
        <v>Dejar al valor nominal</v>
      </c>
      <c r="M168" s="38">
        <f t="shared" si="19"/>
        <v>0</v>
      </c>
      <c r="N168" s="272" t="str">
        <f t="shared" si="20"/>
        <v>OK</v>
      </c>
      <c r="O168" s="23" t="s">
        <v>506</v>
      </c>
      <c r="P168" s="23"/>
      <c r="Q168" s="23"/>
      <c r="R168" s="23"/>
    </row>
    <row r="169" spans="1:18">
      <c r="A169" s="22">
        <v>23359500</v>
      </c>
      <c r="B169" s="23" t="s">
        <v>36</v>
      </c>
      <c r="C169" s="34" t="s">
        <v>1008</v>
      </c>
      <c r="D169" s="34"/>
      <c r="E169" s="49" t="s">
        <v>505</v>
      </c>
      <c r="F169" s="36" t="s">
        <v>204</v>
      </c>
      <c r="G169" s="23">
        <v>1572119</v>
      </c>
      <c r="H169" s="23">
        <v>1572119</v>
      </c>
      <c r="I169" s="37">
        <v>44166</v>
      </c>
      <c r="J169" s="37">
        <f t="shared" si="16"/>
        <v>44196</v>
      </c>
      <c r="K169" s="38">
        <f t="shared" si="17"/>
        <v>30</v>
      </c>
      <c r="L169" s="38" t="str">
        <f t="shared" si="18"/>
        <v>Dejar al valor nominal</v>
      </c>
      <c r="M169" s="38">
        <f t="shared" si="19"/>
        <v>0</v>
      </c>
      <c r="N169" s="272" t="str">
        <f t="shared" si="20"/>
        <v>OK</v>
      </c>
      <c r="O169" s="23" t="s">
        <v>506</v>
      </c>
      <c r="P169" s="23"/>
      <c r="Q169" s="23"/>
      <c r="R169" s="23"/>
    </row>
    <row r="170" spans="1:18">
      <c r="A170" s="22">
        <v>23359500</v>
      </c>
      <c r="B170" s="23" t="s">
        <v>36</v>
      </c>
      <c r="C170" s="34" t="s">
        <v>1008</v>
      </c>
      <c r="D170" s="34"/>
      <c r="E170" s="49" t="s">
        <v>505</v>
      </c>
      <c r="F170" s="36" t="s">
        <v>204</v>
      </c>
      <c r="G170" s="23">
        <v>245000.00000000012</v>
      </c>
      <c r="H170" s="23">
        <v>245000.00000000012</v>
      </c>
      <c r="I170" s="37">
        <v>44166</v>
      </c>
      <c r="J170" s="37">
        <f t="shared" si="16"/>
        <v>44196</v>
      </c>
      <c r="K170" s="38">
        <f t="shared" si="17"/>
        <v>30</v>
      </c>
      <c r="L170" s="38" t="str">
        <f t="shared" si="18"/>
        <v>Dejar al valor nominal</v>
      </c>
      <c r="M170" s="38">
        <f t="shared" si="19"/>
        <v>0</v>
      </c>
      <c r="N170" s="272" t="str">
        <f t="shared" si="20"/>
        <v>OK</v>
      </c>
      <c r="O170" s="23" t="s">
        <v>506</v>
      </c>
      <c r="P170" s="23"/>
      <c r="Q170" s="23"/>
      <c r="R170" s="23"/>
    </row>
    <row r="171" spans="1:18">
      <c r="A171" s="22">
        <v>23359500</v>
      </c>
      <c r="B171" s="23" t="s">
        <v>36</v>
      </c>
      <c r="C171" s="34" t="s">
        <v>1008</v>
      </c>
      <c r="D171" s="34"/>
      <c r="E171" s="49" t="s">
        <v>505</v>
      </c>
      <c r="F171" s="36" t="s">
        <v>204</v>
      </c>
      <c r="G171" s="23">
        <v>1664600</v>
      </c>
      <c r="H171" s="23">
        <v>1664600</v>
      </c>
      <c r="I171" s="37">
        <v>44166</v>
      </c>
      <c r="J171" s="37">
        <f t="shared" si="16"/>
        <v>44196</v>
      </c>
      <c r="K171" s="38">
        <f t="shared" si="17"/>
        <v>30</v>
      </c>
      <c r="L171" s="38" t="str">
        <f t="shared" si="18"/>
        <v>Dejar al valor nominal</v>
      </c>
      <c r="M171" s="38">
        <f t="shared" si="19"/>
        <v>0</v>
      </c>
      <c r="N171" s="272" t="str">
        <f t="shared" si="20"/>
        <v>OK</v>
      </c>
      <c r="O171" s="23" t="s">
        <v>506</v>
      </c>
      <c r="P171" s="23"/>
      <c r="Q171" s="23"/>
      <c r="R171" s="23"/>
    </row>
    <row r="172" spans="1:18">
      <c r="A172" s="22">
        <v>23359500</v>
      </c>
      <c r="B172" s="23" t="s">
        <v>36</v>
      </c>
      <c r="C172" s="34" t="s">
        <v>1008</v>
      </c>
      <c r="D172" s="34"/>
      <c r="E172" s="49" t="s">
        <v>505</v>
      </c>
      <c r="F172" s="36" t="s">
        <v>204</v>
      </c>
      <c r="G172" s="23">
        <v>4009110</v>
      </c>
      <c r="H172" s="23">
        <v>4009110</v>
      </c>
      <c r="I172" s="37">
        <v>44166</v>
      </c>
      <c r="J172" s="37">
        <f t="shared" ref="J172:J175" si="21">I172+30</f>
        <v>44196</v>
      </c>
      <c r="K172" s="38">
        <f t="shared" ref="K172:K175" si="22">IF(J172-I172&lt;0,"Error",J172-I172)</f>
        <v>30</v>
      </c>
      <c r="L172" s="38" t="str">
        <f t="shared" ref="L172:L175" si="23">IF(K172&gt;365,"Medir al costo amortizado","Dejar al valor nominal")</f>
        <v>Dejar al valor nominal</v>
      </c>
      <c r="M172" s="38">
        <f t="shared" ref="M172:M175" si="24">H172-G172</f>
        <v>0</v>
      </c>
      <c r="N172" s="272" t="str">
        <f t="shared" ref="N172:N175" si="25">IF($N$20-J172&gt;K172,"Revisar","OK")</f>
        <v>OK</v>
      </c>
      <c r="O172" s="23" t="s">
        <v>506</v>
      </c>
      <c r="P172" s="23"/>
      <c r="Q172" s="23"/>
      <c r="R172" s="23"/>
    </row>
    <row r="173" spans="1:18">
      <c r="A173" s="22">
        <v>23359500</v>
      </c>
      <c r="B173" s="23" t="s">
        <v>36</v>
      </c>
      <c r="C173" s="34" t="s">
        <v>1008</v>
      </c>
      <c r="D173" s="34"/>
      <c r="E173" s="49" t="s">
        <v>505</v>
      </c>
      <c r="F173" s="36" t="s">
        <v>204</v>
      </c>
      <c r="G173" s="23">
        <v>1229311</v>
      </c>
      <c r="H173" s="23">
        <v>1229311</v>
      </c>
      <c r="I173" s="37">
        <v>44166</v>
      </c>
      <c r="J173" s="37">
        <f t="shared" si="21"/>
        <v>44196</v>
      </c>
      <c r="K173" s="38">
        <f t="shared" si="22"/>
        <v>30</v>
      </c>
      <c r="L173" s="38" t="str">
        <f t="shared" si="23"/>
        <v>Dejar al valor nominal</v>
      </c>
      <c r="M173" s="38">
        <f t="shared" si="24"/>
        <v>0</v>
      </c>
      <c r="N173" s="272" t="str">
        <f t="shared" si="25"/>
        <v>OK</v>
      </c>
      <c r="O173" s="23" t="s">
        <v>506</v>
      </c>
      <c r="P173" s="23"/>
      <c r="Q173" s="23"/>
      <c r="R173" s="23"/>
    </row>
    <row r="174" spans="1:18">
      <c r="A174" s="22">
        <v>23359500</v>
      </c>
      <c r="B174" s="23" t="s">
        <v>36</v>
      </c>
      <c r="C174" s="34" t="s">
        <v>1008</v>
      </c>
      <c r="D174" s="34"/>
      <c r="E174" s="49" t="s">
        <v>505</v>
      </c>
      <c r="F174" s="36" t="s">
        <v>204</v>
      </c>
      <c r="G174" s="23">
        <v>101850.00000000017</v>
      </c>
      <c r="H174" s="23">
        <v>101850.00000000017</v>
      </c>
      <c r="I174" s="37">
        <v>44166</v>
      </c>
      <c r="J174" s="37">
        <f t="shared" si="21"/>
        <v>44196</v>
      </c>
      <c r="K174" s="38">
        <f t="shared" si="22"/>
        <v>30</v>
      </c>
      <c r="L174" s="38" t="str">
        <f t="shared" si="23"/>
        <v>Dejar al valor nominal</v>
      </c>
      <c r="M174" s="38">
        <f t="shared" si="24"/>
        <v>0</v>
      </c>
      <c r="N174" s="272" t="str">
        <f t="shared" si="25"/>
        <v>OK</v>
      </c>
      <c r="O174" s="23" t="s">
        <v>506</v>
      </c>
      <c r="P174" s="23"/>
      <c r="Q174" s="23"/>
      <c r="R174" s="23"/>
    </row>
    <row r="175" spans="1:18">
      <c r="A175" s="22">
        <v>23359500</v>
      </c>
      <c r="B175" s="23" t="s">
        <v>36</v>
      </c>
      <c r="C175" s="34" t="s">
        <v>1008</v>
      </c>
      <c r="D175" s="34"/>
      <c r="E175" s="49" t="s">
        <v>505</v>
      </c>
      <c r="F175" s="36" t="s">
        <v>204</v>
      </c>
      <c r="G175" s="23">
        <v>4026960</v>
      </c>
      <c r="H175" s="23">
        <v>4026960</v>
      </c>
      <c r="I175" s="37">
        <v>44166</v>
      </c>
      <c r="J175" s="37">
        <f t="shared" si="21"/>
        <v>44196</v>
      </c>
      <c r="K175" s="38">
        <f t="shared" si="22"/>
        <v>30</v>
      </c>
      <c r="L175" s="38" t="str">
        <f t="shared" si="23"/>
        <v>Dejar al valor nominal</v>
      </c>
      <c r="M175" s="38">
        <f t="shared" si="24"/>
        <v>0</v>
      </c>
      <c r="N175" s="272" t="str">
        <f t="shared" si="25"/>
        <v>OK</v>
      </c>
      <c r="O175" s="23" t="s">
        <v>506</v>
      </c>
      <c r="P175" s="23"/>
      <c r="Q175" s="23"/>
      <c r="R175" s="23"/>
    </row>
    <row r="176" spans="1:18" s="22" customFormat="1">
      <c r="P176" s="280"/>
      <c r="Q176" s="278" t="s">
        <v>490</v>
      </c>
      <c r="R176" s="278" t="s">
        <v>491</v>
      </c>
    </row>
    <row r="177" spans="1:19">
      <c r="A177" s="22">
        <v>23359500</v>
      </c>
      <c r="B177" s="23" t="s">
        <v>36</v>
      </c>
      <c r="C177" s="34" t="s">
        <v>492</v>
      </c>
      <c r="D177" s="34"/>
      <c r="F177" s="36" t="s">
        <v>204</v>
      </c>
      <c r="G177" s="23">
        <f>H177</f>
        <v>105737118.72840001</v>
      </c>
      <c r="H177" s="23">
        <f>P177*$H$20</f>
        <v>105737118.72840001</v>
      </c>
      <c r="I177" s="37">
        <v>44072</v>
      </c>
      <c r="J177" s="37">
        <f>I177+30</f>
        <v>44102</v>
      </c>
      <c r="K177" s="38">
        <f>IF(J177-I177&lt;0,"Error",J177-I177)</f>
        <v>30</v>
      </c>
      <c r="L177" s="38" t="str">
        <f>IF(K177&gt;365,"Medir al costo amortizado","Dejar al valor nominal")</f>
        <v>Dejar al valor nominal</v>
      </c>
      <c r="M177" s="38">
        <f>H177-G177</f>
        <v>0</v>
      </c>
      <c r="N177" s="272" t="str">
        <f>IF($N$20-J177&gt;K177,"Revisar","OK")</f>
        <v>OK</v>
      </c>
      <c r="O177" s="23" t="s">
        <v>1009</v>
      </c>
      <c r="P177" s="270">
        <v>32265.06</v>
      </c>
      <c r="Q177" s="270">
        <f t="shared" ref="Q177:Q180" si="26">P177</f>
        <v>32265.06</v>
      </c>
      <c r="S177" s="270"/>
    </row>
    <row r="178" spans="1:19">
      <c r="A178" s="22">
        <v>23359500</v>
      </c>
      <c r="B178" s="23" t="s">
        <v>36</v>
      </c>
      <c r="C178" s="34" t="s">
        <v>492</v>
      </c>
      <c r="D178" s="34"/>
      <c r="F178" s="36" t="s">
        <v>204</v>
      </c>
      <c r="G178" s="23">
        <f t="shared" ref="G178:G180" si="27">H178</f>
        <v>93127339.436399996</v>
      </c>
      <c r="H178" s="23">
        <f t="shared" ref="H178:H180" si="28">P178*$H$20</f>
        <v>93127339.436399996</v>
      </c>
      <c r="I178" s="37">
        <v>44134</v>
      </c>
      <c r="J178" s="37">
        <f>I178+30</f>
        <v>44164</v>
      </c>
      <c r="K178" s="38">
        <f>IF(J178-I178&lt;0,"Error",J178-I178)</f>
        <v>30</v>
      </c>
      <c r="L178" s="38" t="str">
        <f>IF(K178&gt;365,"Medir al costo amortizado","Dejar al valor nominal")</f>
        <v>Dejar al valor nominal</v>
      </c>
      <c r="M178" s="38">
        <f>H178-G178</f>
        <v>0</v>
      </c>
      <c r="N178" s="272" t="str">
        <f>IF($N$20-J178&gt;K178,"Revisar","OK")</f>
        <v>OK</v>
      </c>
      <c r="O178" s="23" t="s">
        <v>1009</v>
      </c>
      <c r="P178" s="270">
        <v>28417.26</v>
      </c>
      <c r="Q178" s="270">
        <f t="shared" si="26"/>
        <v>28417.26</v>
      </c>
      <c r="S178" s="270"/>
    </row>
    <row r="179" spans="1:19">
      <c r="A179" s="22">
        <v>23359500</v>
      </c>
      <c r="B179" s="23" t="s">
        <v>36</v>
      </c>
      <c r="C179" s="34" t="s">
        <v>492</v>
      </c>
      <c r="D179" s="34"/>
      <c r="F179" s="36" t="s">
        <v>204</v>
      </c>
      <c r="G179" s="23">
        <f t="shared" si="27"/>
        <v>14108513.7282</v>
      </c>
      <c r="H179" s="23">
        <f t="shared" si="28"/>
        <v>14108513.7282</v>
      </c>
      <c r="I179" s="37">
        <v>44174</v>
      </c>
      <c r="J179" s="37">
        <f>I179+30</f>
        <v>44204</v>
      </c>
      <c r="K179" s="38">
        <f>IF(J179-I179&lt;0,"Error",J179-I179)</f>
        <v>30</v>
      </c>
      <c r="L179" s="38" t="str">
        <f>IF(K179&gt;365,"Medir al costo amortizado","Dejar al valor nominal")</f>
        <v>Dejar al valor nominal</v>
      </c>
      <c r="M179" s="38">
        <f>H179-G179</f>
        <v>0</v>
      </c>
      <c r="N179" s="272" t="str">
        <f>IF($N$20-J179&gt;K179,"Revisar","OK")</f>
        <v>OK</v>
      </c>
      <c r="O179" s="23" t="s">
        <v>1009</v>
      </c>
      <c r="P179" s="270">
        <v>4305.13</v>
      </c>
      <c r="Q179" s="270">
        <f t="shared" si="26"/>
        <v>4305.13</v>
      </c>
      <c r="S179" s="270"/>
    </row>
    <row r="180" spans="1:19">
      <c r="A180" s="22">
        <v>23359500</v>
      </c>
      <c r="B180" s="23" t="s">
        <v>36</v>
      </c>
      <c r="C180" s="34" t="s">
        <v>492</v>
      </c>
      <c r="D180" s="34"/>
      <c r="F180" s="36" t="s">
        <v>204</v>
      </c>
      <c r="G180" s="23">
        <f t="shared" si="27"/>
        <v>134293854.51719999</v>
      </c>
      <c r="H180" s="23">
        <f t="shared" si="28"/>
        <v>134293854.51719999</v>
      </c>
      <c r="I180" s="37">
        <v>44092</v>
      </c>
      <c r="J180" s="37">
        <f>I180+30</f>
        <v>44122</v>
      </c>
      <c r="K180" s="38">
        <f>IF(J180-I180&lt;0,"Error",J180-I180)</f>
        <v>30</v>
      </c>
      <c r="L180" s="38" t="str">
        <f>IF(K180&gt;365,"Medir al costo amortizado","Dejar al valor nominal")</f>
        <v>Dejar al valor nominal</v>
      </c>
      <c r="M180" s="38">
        <f>H180-G180</f>
        <v>0</v>
      </c>
      <c r="N180" s="272" t="str">
        <f>IF($N$20-J180&gt;K180,"Revisar","OK")</f>
        <v>OK</v>
      </c>
      <c r="O180" s="23" t="s">
        <v>1009</v>
      </c>
      <c r="P180" s="270">
        <v>40978.980000000003</v>
      </c>
      <c r="Q180" s="270">
        <f t="shared" si="26"/>
        <v>40978.980000000003</v>
      </c>
      <c r="S180" s="270"/>
    </row>
    <row r="181" spans="1:19" s="22" customFormat="1">
      <c r="P181" s="281">
        <f>SUM(P177:P180)</f>
        <v>105966.43</v>
      </c>
      <c r="Q181" s="282">
        <f>SUM(Q177:Q180)</f>
        <v>105966.43</v>
      </c>
      <c r="R181" s="270"/>
      <c r="S181" s="280"/>
    </row>
    <row r="182" spans="1:19">
      <c r="A182" s="22">
        <v>28050500</v>
      </c>
      <c r="B182" s="23" t="s">
        <v>56</v>
      </c>
      <c r="C182" s="34" t="s">
        <v>913</v>
      </c>
      <c r="D182" s="34"/>
      <c r="F182" s="36" t="s">
        <v>486</v>
      </c>
      <c r="G182" s="23">
        <f>500950087+18595558.58-74814486.17</f>
        <v>444731159.40999997</v>
      </c>
      <c r="H182" s="23">
        <v>444731159.40999997</v>
      </c>
      <c r="I182" s="37">
        <v>44185</v>
      </c>
      <c r="J182" s="37">
        <f t="shared" ref="J182:J183" si="29">I182+30</f>
        <v>44215</v>
      </c>
      <c r="K182" s="38">
        <f t="shared" ref="K182:K183" si="30">IF(J182-I182&lt;0,"Error",J182-I182)</f>
        <v>30</v>
      </c>
      <c r="L182" s="38" t="str">
        <f t="shared" ref="L182:L183" si="31">IF(K182&gt;365,"Medir al costo amortizado","Dejar al valor nominal")</f>
        <v>Dejar al valor nominal</v>
      </c>
      <c r="M182" s="38">
        <f t="shared" ref="M182:M183" si="32">H182-G182</f>
        <v>0</v>
      </c>
      <c r="N182" s="272" t="str">
        <f t="shared" ref="N182:N183" si="33">IF($N$20-J182&gt;K182,"Revisar","OK")</f>
        <v>OK</v>
      </c>
    </row>
    <row r="183" spans="1:19">
      <c r="A183" s="22">
        <v>28050500</v>
      </c>
      <c r="B183" s="23" t="s">
        <v>56</v>
      </c>
      <c r="C183" s="34" t="s">
        <v>914</v>
      </c>
      <c r="D183" s="34"/>
      <c r="F183" s="36" t="s">
        <v>486</v>
      </c>
      <c r="G183" s="23">
        <f>579857261.63-30138610-37283542-27011871.63</f>
        <v>485423238</v>
      </c>
      <c r="H183" s="23">
        <v>485423238</v>
      </c>
      <c r="I183" s="37">
        <v>44175</v>
      </c>
      <c r="J183" s="37">
        <f t="shared" si="29"/>
        <v>44205</v>
      </c>
      <c r="K183" s="38">
        <f t="shared" si="30"/>
        <v>30</v>
      </c>
      <c r="L183" s="38" t="str">
        <f t="shared" si="31"/>
        <v>Dejar al valor nominal</v>
      </c>
      <c r="M183" s="38">
        <f t="shared" si="32"/>
        <v>0</v>
      </c>
      <c r="N183" s="272" t="str">
        <f t="shared" si="33"/>
        <v>OK</v>
      </c>
    </row>
    <row r="184" spans="1:19" s="22" customFormat="1" ht="15.75">
      <c r="G184" s="48"/>
      <c r="H184" s="283"/>
      <c r="P184" s="280"/>
      <c r="Q184" s="280"/>
      <c r="R184" s="280"/>
    </row>
    <row r="185" spans="1:19">
      <c r="A185" s="114">
        <v>23650500</v>
      </c>
      <c r="B185" s="115" t="s">
        <v>37</v>
      </c>
      <c r="C185" s="273" t="s">
        <v>493</v>
      </c>
      <c r="D185" s="273">
        <v>800197268</v>
      </c>
      <c r="E185" s="284"/>
      <c r="F185" s="274" t="s">
        <v>484</v>
      </c>
      <c r="G185" s="115">
        <v>6998000</v>
      </c>
      <c r="H185" s="115">
        <v>6998000</v>
      </c>
      <c r="I185" s="275">
        <v>44196</v>
      </c>
      <c r="J185" s="275">
        <f>I185+5</f>
        <v>44201</v>
      </c>
      <c r="K185" s="276">
        <f t="shared" ref="K185:K195" si="34">IF(J185-I185&lt;0,"Error",J185-I185)</f>
        <v>5</v>
      </c>
      <c r="L185" s="276" t="str">
        <f t="shared" ref="L185:L195" si="35">IF(K185&gt;365,"Medir al costo amortizado","Dejar al valor nominal")</f>
        <v>Dejar al valor nominal</v>
      </c>
      <c r="M185" s="276">
        <f t="shared" ref="M185:M195" si="36">H185-G185</f>
        <v>0</v>
      </c>
      <c r="N185" s="277" t="str">
        <f t="shared" ref="N185:N195" si="37">IF($N$20-J185&gt;K185,"Revisar","OK")</f>
        <v>OK</v>
      </c>
      <c r="O185" s="115" t="s">
        <v>494</v>
      </c>
    </row>
    <row r="186" spans="1:19">
      <c r="A186" s="114">
        <v>23654000</v>
      </c>
      <c r="B186" s="115" t="s">
        <v>38</v>
      </c>
      <c r="C186" s="273" t="s">
        <v>493</v>
      </c>
      <c r="D186" s="273">
        <v>800197268</v>
      </c>
      <c r="E186" s="284"/>
      <c r="F186" s="274" t="s">
        <v>484</v>
      </c>
      <c r="G186" s="115">
        <v>7040439.3600000003</v>
      </c>
      <c r="H186" s="115">
        <f>1035000+1177000+353000+4490000-15000</f>
        <v>7040000</v>
      </c>
      <c r="I186" s="275">
        <v>44196</v>
      </c>
      <c r="J186" s="275">
        <f t="shared" ref="J186:J195" si="38">I186+5</f>
        <v>44201</v>
      </c>
      <c r="K186" s="276">
        <f t="shared" si="34"/>
        <v>5</v>
      </c>
      <c r="L186" s="276" t="str">
        <f t="shared" si="35"/>
        <v>Dejar al valor nominal</v>
      </c>
      <c r="M186" s="276">
        <f t="shared" si="36"/>
        <v>-439.36000000033528</v>
      </c>
      <c r="N186" s="277" t="str">
        <f t="shared" si="37"/>
        <v>OK</v>
      </c>
      <c r="O186" s="115" t="s">
        <v>494</v>
      </c>
    </row>
    <row r="187" spans="1:19">
      <c r="A187" s="114">
        <v>23657001</v>
      </c>
      <c r="B187" s="115" t="s">
        <v>39</v>
      </c>
      <c r="C187" s="273" t="s">
        <v>493</v>
      </c>
      <c r="D187" s="273">
        <v>800197268</v>
      </c>
      <c r="E187" s="284"/>
      <c r="F187" s="274" t="s">
        <v>484</v>
      </c>
      <c r="G187" s="115">
        <v>6324268</v>
      </c>
      <c r="H187" s="115">
        <v>6324000</v>
      </c>
      <c r="I187" s="275">
        <v>44196</v>
      </c>
      <c r="J187" s="275">
        <f t="shared" si="38"/>
        <v>44201</v>
      </c>
      <c r="K187" s="276">
        <f t="shared" si="34"/>
        <v>5</v>
      </c>
      <c r="L187" s="276" t="str">
        <f t="shared" si="35"/>
        <v>Dejar al valor nominal</v>
      </c>
      <c r="M187" s="276">
        <f t="shared" si="36"/>
        <v>-268</v>
      </c>
      <c r="N187" s="277" t="str">
        <f t="shared" si="37"/>
        <v>OK</v>
      </c>
      <c r="O187" s="115" t="s">
        <v>494</v>
      </c>
    </row>
    <row r="188" spans="1:19">
      <c r="A188" s="114">
        <v>23680100</v>
      </c>
      <c r="B188" s="115" t="s">
        <v>41</v>
      </c>
      <c r="C188" s="273" t="s">
        <v>495</v>
      </c>
      <c r="D188" s="273">
        <v>899999061</v>
      </c>
      <c r="E188" s="284"/>
      <c r="F188" s="274" t="s">
        <v>484</v>
      </c>
      <c r="G188" s="115">
        <v>1726281.7</v>
      </c>
      <c r="H188" s="115">
        <v>1726000</v>
      </c>
      <c r="I188" s="275">
        <v>44196</v>
      </c>
      <c r="J188" s="275">
        <f t="shared" si="38"/>
        <v>44201</v>
      </c>
      <c r="K188" s="276">
        <f t="shared" si="34"/>
        <v>5</v>
      </c>
      <c r="L188" s="276" t="str">
        <f t="shared" si="35"/>
        <v>Dejar al valor nominal</v>
      </c>
      <c r="M188" s="276">
        <f t="shared" si="36"/>
        <v>-281.69999999995343</v>
      </c>
      <c r="N188" s="277" t="str">
        <f t="shared" si="37"/>
        <v>OK</v>
      </c>
      <c r="O188" s="115" t="s">
        <v>496</v>
      </c>
    </row>
    <row r="189" spans="1:19" s="22" customFormat="1">
      <c r="P189" s="280"/>
      <c r="Q189" s="280"/>
      <c r="R189" s="280"/>
    </row>
    <row r="190" spans="1:19">
      <c r="A190" s="114">
        <v>23700500</v>
      </c>
      <c r="B190" s="115" t="s">
        <v>42</v>
      </c>
      <c r="C190" s="273" t="s">
        <v>498</v>
      </c>
      <c r="D190" s="273" t="s">
        <v>498</v>
      </c>
      <c r="E190" s="284"/>
      <c r="F190" s="274" t="s">
        <v>485</v>
      </c>
      <c r="G190" s="115">
        <v>9946300</v>
      </c>
      <c r="H190" s="115">
        <v>9946300</v>
      </c>
      <c r="I190" s="275">
        <v>44196</v>
      </c>
      <c r="J190" s="275">
        <f t="shared" si="38"/>
        <v>44201</v>
      </c>
      <c r="K190" s="276">
        <f t="shared" si="34"/>
        <v>5</v>
      </c>
      <c r="L190" s="276" t="str">
        <f t="shared" si="35"/>
        <v>Dejar al valor nominal</v>
      </c>
      <c r="M190" s="276">
        <f t="shared" si="36"/>
        <v>0</v>
      </c>
      <c r="N190" s="277" t="str">
        <f t="shared" si="37"/>
        <v>OK</v>
      </c>
      <c r="O190" s="115" t="s">
        <v>497</v>
      </c>
    </row>
    <row r="191" spans="1:19">
      <c r="A191" s="114">
        <v>23700600</v>
      </c>
      <c r="B191" s="115" t="s">
        <v>43</v>
      </c>
      <c r="C191" s="273" t="s">
        <v>498</v>
      </c>
      <c r="D191" s="273" t="s">
        <v>498</v>
      </c>
      <c r="E191" s="284"/>
      <c r="F191" s="274" t="s">
        <v>485</v>
      </c>
      <c r="G191" s="115">
        <v>10346300</v>
      </c>
      <c r="H191" s="115">
        <v>10346300</v>
      </c>
      <c r="I191" s="275">
        <v>44196</v>
      </c>
      <c r="J191" s="275">
        <f t="shared" si="38"/>
        <v>44201</v>
      </c>
      <c r="K191" s="276">
        <f t="shared" si="34"/>
        <v>5</v>
      </c>
      <c r="L191" s="276" t="str">
        <f t="shared" si="35"/>
        <v>Dejar al valor nominal</v>
      </c>
      <c r="M191" s="276">
        <f t="shared" si="36"/>
        <v>0</v>
      </c>
      <c r="N191" s="277" t="str">
        <f t="shared" si="37"/>
        <v>OK</v>
      </c>
      <c r="O191" s="115" t="s">
        <v>497</v>
      </c>
    </row>
    <row r="192" spans="1:19">
      <c r="A192" s="114">
        <v>23701000</v>
      </c>
      <c r="B192" s="115" t="s">
        <v>44</v>
      </c>
      <c r="C192" s="273" t="s">
        <v>498</v>
      </c>
      <c r="D192" s="273" t="s">
        <v>498</v>
      </c>
      <c r="E192" s="284"/>
      <c r="F192" s="274" t="s">
        <v>485</v>
      </c>
      <c r="G192" s="115">
        <v>8786600</v>
      </c>
      <c r="H192" s="115">
        <f>6959600+730900+1096100</f>
        <v>8786600</v>
      </c>
      <c r="I192" s="275">
        <v>44196</v>
      </c>
      <c r="J192" s="275">
        <f t="shared" si="38"/>
        <v>44201</v>
      </c>
      <c r="K192" s="276">
        <f t="shared" si="34"/>
        <v>5</v>
      </c>
      <c r="L192" s="276" t="str">
        <f t="shared" si="35"/>
        <v>Dejar al valor nominal</v>
      </c>
      <c r="M192" s="276">
        <f t="shared" si="36"/>
        <v>0</v>
      </c>
      <c r="N192" s="277" t="str">
        <f t="shared" si="37"/>
        <v>OK</v>
      </c>
      <c r="O192" s="115" t="s">
        <v>497</v>
      </c>
    </row>
    <row r="193" spans="1:18">
      <c r="A193" s="114">
        <v>23702500</v>
      </c>
      <c r="B193" s="115" t="s">
        <v>194</v>
      </c>
      <c r="C193" s="273" t="s">
        <v>498</v>
      </c>
      <c r="D193" s="273" t="s">
        <v>498</v>
      </c>
      <c r="E193" s="284"/>
      <c r="F193" s="274" t="s">
        <v>272</v>
      </c>
      <c r="G193" s="115">
        <v>1240532</v>
      </c>
      <c r="H193" s="115">
        <v>1240532</v>
      </c>
      <c r="I193" s="275">
        <v>44196</v>
      </c>
      <c r="J193" s="275">
        <f t="shared" ref="J193:J194" si="39">I193+5</f>
        <v>44201</v>
      </c>
      <c r="K193" s="276">
        <f t="shared" ref="K193:K194" si="40">IF(J193-I193&lt;0,"Error",J193-I193)</f>
        <v>5</v>
      </c>
      <c r="L193" s="276" t="str">
        <f t="shared" ref="L193:L194" si="41">IF(K193&gt;365,"Medir al costo amortizado","Dejar al valor nominal")</f>
        <v>Dejar al valor nominal</v>
      </c>
      <c r="M193" s="276">
        <f t="shared" ref="M193:M194" si="42">H193-G193</f>
        <v>0</v>
      </c>
      <c r="N193" s="277" t="str">
        <f t="shared" ref="N193:N194" si="43">IF($N$20-J193&gt;K193,"Revisar","OK")</f>
        <v>OK</v>
      </c>
      <c r="O193" s="115"/>
    </row>
    <row r="194" spans="1:18">
      <c r="A194" s="114">
        <v>23704500</v>
      </c>
      <c r="B194" s="115" t="s">
        <v>195</v>
      </c>
      <c r="C194" s="273" t="s">
        <v>498</v>
      </c>
      <c r="D194" s="273" t="s">
        <v>498</v>
      </c>
      <c r="E194" s="284"/>
      <c r="F194" s="274" t="s">
        <v>272</v>
      </c>
      <c r="G194" s="115">
        <v>5070000</v>
      </c>
      <c r="H194" s="115">
        <v>5070000</v>
      </c>
      <c r="I194" s="275">
        <v>44196</v>
      </c>
      <c r="J194" s="275">
        <f t="shared" si="39"/>
        <v>44201</v>
      </c>
      <c r="K194" s="276">
        <f t="shared" si="40"/>
        <v>5</v>
      </c>
      <c r="L194" s="276" t="str">
        <f t="shared" si="41"/>
        <v>Dejar al valor nominal</v>
      </c>
      <c r="M194" s="276">
        <f t="shared" si="42"/>
        <v>0</v>
      </c>
      <c r="N194" s="277" t="str">
        <f t="shared" si="43"/>
        <v>OK</v>
      </c>
      <c r="O194" s="115"/>
    </row>
    <row r="195" spans="1:18">
      <c r="A195" s="114">
        <v>23803000</v>
      </c>
      <c r="B195" s="115" t="s">
        <v>45</v>
      </c>
      <c r="C195" s="273" t="s">
        <v>498</v>
      </c>
      <c r="D195" s="273" t="s">
        <v>498</v>
      </c>
      <c r="E195" s="284"/>
      <c r="F195" s="274" t="s">
        <v>485</v>
      </c>
      <c r="G195" s="115">
        <v>28439800</v>
      </c>
      <c r="H195" s="115">
        <v>28439800</v>
      </c>
      <c r="I195" s="275">
        <v>44196</v>
      </c>
      <c r="J195" s="275">
        <f t="shared" si="38"/>
        <v>44201</v>
      </c>
      <c r="K195" s="276">
        <f t="shared" si="34"/>
        <v>5</v>
      </c>
      <c r="L195" s="276" t="str">
        <f t="shared" si="35"/>
        <v>Dejar al valor nominal</v>
      </c>
      <c r="M195" s="276">
        <f t="shared" si="36"/>
        <v>0</v>
      </c>
      <c r="N195" s="277" t="str">
        <f t="shared" si="37"/>
        <v>OK</v>
      </c>
      <c r="O195" s="115" t="s">
        <v>497</v>
      </c>
    </row>
    <row r="196" spans="1:18" s="22" customFormat="1">
      <c r="P196" s="280"/>
      <c r="Q196" s="280"/>
      <c r="R196" s="280"/>
    </row>
    <row r="197" spans="1:18">
      <c r="B197" s="34"/>
      <c r="G197" s="40">
        <f>SUM(G23:G196)</f>
        <v>2539976400.0092001</v>
      </c>
    </row>
  </sheetData>
  <mergeCells count="16">
    <mergeCell ref="M21:M22"/>
    <mergeCell ref="N21:N22"/>
    <mergeCell ref="O21:O22"/>
    <mergeCell ref="P21:P22"/>
    <mergeCell ref="G21:G22"/>
    <mergeCell ref="H21:H22"/>
    <mergeCell ref="I21:I22"/>
    <mergeCell ref="J21:J22"/>
    <mergeCell ref="K21:K22"/>
    <mergeCell ref="L21:L22"/>
    <mergeCell ref="F21:F22"/>
    <mergeCell ref="A21:A22"/>
    <mergeCell ref="B21:B22"/>
    <mergeCell ref="C21:C22"/>
    <mergeCell ref="D21:D22"/>
    <mergeCell ref="E21:E22"/>
  </mergeCells>
  <dataValidations disablePrompts="1" count="1">
    <dataValidation type="list" allowBlank="1" showInputMessage="1" showErrorMessage="1" sqref="F23:F24 F177:F180 F185:F188 F26 F165:F175 F28:F163 F190:F195 F182:F183" xr:uid="{628429BF-A7AE-F242-B60C-6D85A36A7045}">
      <formula1>$XFD$1:$XFD$8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3F51F-B653-8342-9D79-612AE897A3C1}">
  <dimension ref="A1:XFD441"/>
  <sheetViews>
    <sheetView zoomScaleNormal="100" workbookViewId="0"/>
  </sheetViews>
  <sheetFormatPr baseColWidth="10" defaultRowHeight="15"/>
  <cols>
    <col min="1" max="1" width="10.5" style="22" customWidth="1"/>
    <col min="2" max="2" width="31.375" style="23" customWidth="1"/>
    <col min="3" max="3" width="18" style="23" customWidth="1"/>
    <col min="4" max="4" width="13.125" style="23" customWidth="1"/>
    <col min="5" max="5" width="13.875" style="49" customWidth="1"/>
    <col min="6" max="6" width="31" style="23" bestFit="1" customWidth="1"/>
    <col min="7" max="7" width="14" style="23" bestFit="1" customWidth="1"/>
    <col min="8" max="8" width="15.5" style="23" bestFit="1" customWidth="1"/>
    <col min="9" max="10" width="11.625" style="23" customWidth="1"/>
    <col min="11" max="11" width="11.875" style="23" customWidth="1"/>
    <col min="12" max="12" width="24.125" style="23" bestFit="1" customWidth="1"/>
    <col min="13" max="13" width="12.5" style="26" bestFit="1" customWidth="1"/>
    <col min="14" max="14" width="11.875" style="23" customWidth="1"/>
    <col min="15" max="15" width="50.875" style="23" customWidth="1"/>
    <col min="16" max="16" width="11.125" style="270" bestFit="1" customWidth="1"/>
    <col min="17" max="17" width="10.125" style="270" bestFit="1" customWidth="1"/>
    <col min="18" max="18" width="12.375" style="270" bestFit="1" customWidth="1"/>
    <col min="19" max="19" width="13.625" style="23" bestFit="1" customWidth="1"/>
    <col min="20" max="25" width="10.875" style="23"/>
    <col min="26" max="26" width="11.125" style="23" bestFit="1" customWidth="1"/>
    <col min="27" max="16379" width="10.875" style="23"/>
    <col min="16380" max="16383" width="11.5" style="23" customWidth="1"/>
    <col min="16384" max="16384" width="29.5" style="23" customWidth="1"/>
  </cols>
  <sheetData>
    <row r="1" spans="1:18 16384:16384">
      <c r="C1" s="24" t="s">
        <v>1061</v>
      </c>
      <c r="XFD1" s="27" t="s">
        <v>481</v>
      </c>
    </row>
    <row r="2" spans="1:18 16384:16384">
      <c r="A2" s="337" t="s">
        <v>201</v>
      </c>
      <c r="B2" s="24" t="s">
        <v>202</v>
      </c>
      <c r="C2" s="24" t="s">
        <v>1030</v>
      </c>
      <c r="D2" s="24" t="s">
        <v>203</v>
      </c>
      <c r="E2" s="24" t="s">
        <v>261</v>
      </c>
      <c r="F2" s="24" t="s">
        <v>237</v>
      </c>
      <c r="XFD2" s="27" t="s">
        <v>204</v>
      </c>
    </row>
    <row r="3" spans="1:18 16384:16384">
      <c r="A3" s="22">
        <v>22100100</v>
      </c>
      <c r="B3" s="23" t="s">
        <v>35</v>
      </c>
      <c r="C3" s="23">
        <v>125519076.47</v>
      </c>
      <c r="D3" s="23">
        <f t="shared" ref="D3:D14" ca="1" si="0">SUMIF($A$21:$G$440,A3,$G$21:$G$440)-C3</f>
        <v>5.0000101327896118E-3</v>
      </c>
      <c r="E3" s="23">
        <f>C3+'HW PYMES'!M58</f>
        <v>-10263175</v>
      </c>
      <c r="F3" s="23" t="s">
        <v>781</v>
      </c>
      <c r="XFD3" s="27" t="s">
        <v>482</v>
      </c>
    </row>
    <row r="4" spans="1:18 16384:16384">
      <c r="A4" s="22">
        <v>23359500</v>
      </c>
      <c r="B4" s="23" t="s">
        <v>36</v>
      </c>
      <c r="C4" s="23">
        <v>1726971093.3199999</v>
      </c>
      <c r="D4" s="23">
        <f t="shared" ca="1" si="0"/>
        <v>-4.9996376037597656E-3</v>
      </c>
      <c r="E4" s="23">
        <f>C4+'HW PYMES'!M59</f>
        <v>10263174.999999762</v>
      </c>
      <c r="F4" s="23" t="s">
        <v>781</v>
      </c>
      <c r="XFD4" s="27" t="s">
        <v>483</v>
      </c>
    </row>
    <row r="5" spans="1:18 16384:16384">
      <c r="A5" s="22">
        <v>23650500</v>
      </c>
      <c r="B5" s="23" t="s">
        <v>37</v>
      </c>
      <c r="C5" s="23">
        <v>8228000</v>
      </c>
      <c r="D5" s="23">
        <f t="shared" ca="1" si="0"/>
        <v>0</v>
      </c>
      <c r="E5" s="23">
        <f>C5+'HW PYMES'!M61</f>
        <v>0</v>
      </c>
      <c r="XFD5" s="27" t="s">
        <v>484</v>
      </c>
    </row>
    <row r="6" spans="1:18 16384:16384">
      <c r="A6" s="22">
        <v>23654000</v>
      </c>
      <c r="B6" s="23" t="s">
        <v>38</v>
      </c>
      <c r="C6" s="23">
        <v>18780270.399999999</v>
      </c>
      <c r="D6" s="23">
        <f t="shared" ca="1" si="0"/>
        <v>0</v>
      </c>
      <c r="E6" s="23">
        <f>C6+'HW PYMES'!M62</f>
        <v>0</v>
      </c>
      <c r="XFD6" s="27" t="s">
        <v>485</v>
      </c>
    </row>
    <row r="7" spans="1:18 16384:16384">
      <c r="A7" s="22">
        <v>23657001</v>
      </c>
      <c r="B7" s="23" t="s">
        <v>39</v>
      </c>
      <c r="C7" s="23">
        <v>9953586</v>
      </c>
      <c r="D7" s="23">
        <f t="shared" ca="1" si="0"/>
        <v>0</v>
      </c>
      <c r="E7" s="23">
        <f>C7+'HW PYMES'!M63</f>
        <v>0</v>
      </c>
      <c r="XFD7" s="27" t="s">
        <v>486</v>
      </c>
    </row>
    <row r="8" spans="1:18 16384:16384">
      <c r="A8" s="22">
        <v>23670100</v>
      </c>
      <c r="B8" s="23" t="s">
        <v>40</v>
      </c>
      <c r="C8" s="23">
        <v>2160847.7400000002</v>
      </c>
      <c r="D8" s="23">
        <f t="shared" ca="1" si="0"/>
        <v>0</v>
      </c>
      <c r="E8" s="23">
        <f>C8+'HW PYMES'!M64</f>
        <v>0</v>
      </c>
      <c r="XFD8" s="27" t="s">
        <v>272</v>
      </c>
    </row>
    <row r="9" spans="1:18 16384:16384">
      <c r="A9" s="22">
        <v>23680100</v>
      </c>
      <c r="B9" s="23" t="s">
        <v>41</v>
      </c>
      <c r="C9" s="23">
        <v>2509436.58</v>
      </c>
      <c r="D9" s="23">
        <f t="shared" ca="1" si="0"/>
        <v>0</v>
      </c>
      <c r="E9" s="23">
        <f>C9+'HW PYMES'!M65</f>
        <v>0</v>
      </c>
      <c r="I9" s="270"/>
      <c r="XFD9" s="27"/>
    </row>
    <row r="10" spans="1:18 16384:16384">
      <c r="A10" s="22">
        <v>23700500</v>
      </c>
      <c r="B10" s="23" t="s">
        <v>42</v>
      </c>
      <c r="C10" s="23">
        <v>15291239</v>
      </c>
      <c r="D10" s="23">
        <f t="shared" ca="1" si="0"/>
        <v>0</v>
      </c>
      <c r="E10" s="23">
        <f>C10+'HW PYMES'!M67</f>
        <v>0</v>
      </c>
      <c r="I10" s="270"/>
    </row>
    <row r="11" spans="1:18 16384:16384">
      <c r="A11" s="22">
        <v>23700600</v>
      </c>
      <c r="B11" s="23" t="s">
        <v>43</v>
      </c>
      <c r="C11" s="23">
        <v>17902599</v>
      </c>
      <c r="D11" s="23">
        <f t="shared" ca="1" si="0"/>
        <v>0</v>
      </c>
      <c r="E11" s="23">
        <f>C11+'HW PYMES'!M68</f>
        <v>0</v>
      </c>
      <c r="I11" s="270"/>
    </row>
    <row r="12" spans="1:18 16384:16384">
      <c r="A12" s="22">
        <v>23701000</v>
      </c>
      <c r="B12" s="23" t="s">
        <v>44</v>
      </c>
      <c r="C12" s="23">
        <v>14059283</v>
      </c>
      <c r="D12" s="23">
        <f t="shared" ca="1" si="0"/>
        <v>0</v>
      </c>
      <c r="E12" s="23">
        <f>C12+'HW PYMES'!M69</f>
        <v>0</v>
      </c>
      <c r="I12" s="270"/>
    </row>
    <row r="13" spans="1:18 16384:16384">
      <c r="A13" s="22">
        <v>23803000</v>
      </c>
      <c r="B13" s="23" t="s">
        <v>45</v>
      </c>
      <c r="C13" s="23">
        <v>97132563</v>
      </c>
      <c r="D13" s="23">
        <f t="shared" ca="1" si="0"/>
        <v>0</v>
      </c>
      <c r="E13" s="23">
        <f>C13+'HW PYMES'!M72</f>
        <v>0</v>
      </c>
      <c r="I13" s="270"/>
      <c r="M13" s="23"/>
      <c r="P13" s="23"/>
      <c r="Q13" s="23"/>
      <c r="R13" s="23"/>
    </row>
    <row r="14" spans="1:18 16384:16384">
      <c r="A14" s="22">
        <v>28050500</v>
      </c>
      <c r="B14" s="23" t="s">
        <v>56</v>
      </c>
      <c r="C14" s="23">
        <v>1332132239.0799999</v>
      </c>
      <c r="D14" s="23">
        <f t="shared" ca="1" si="0"/>
        <v>0</v>
      </c>
      <c r="E14" s="23">
        <f>C14+'HW PYMES'!M85</f>
        <v>0</v>
      </c>
      <c r="I14" s="270"/>
      <c r="M14" s="23"/>
      <c r="P14" s="23"/>
      <c r="Q14" s="23"/>
      <c r="R14" s="23"/>
    </row>
    <row r="15" spans="1:18 16384:16384">
      <c r="C15" s="29">
        <f>SUM(C3:C14)</f>
        <v>3370640233.5900002</v>
      </c>
    </row>
    <row r="16" spans="1:18 16384:16384">
      <c r="B16" s="30" t="s">
        <v>206</v>
      </c>
      <c r="C16" s="30">
        <f>C15-G441</f>
        <v>0</v>
      </c>
    </row>
    <row r="17" spans="1:18">
      <c r="B17" s="30"/>
      <c r="C17" s="30"/>
      <c r="H17" s="335" t="s">
        <v>487</v>
      </c>
    </row>
    <row r="18" spans="1:18">
      <c r="H18" s="271">
        <v>3432.5</v>
      </c>
      <c r="N18" s="32">
        <v>44196</v>
      </c>
    </row>
    <row r="19" spans="1:18" ht="15" customHeight="1">
      <c r="A19" s="474" t="s">
        <v>209</v>
      </c>
      <c r="B19" s="476" t="s">
        <v>210</v>
      </c>
      <c r="C19" s="478" t="s">
        <v>211</v>
      </c>
      <c r="D19" s="478" t="s">
        <v>212</v>
      </c>
      <c r="E19" s="516" t="s">
        <v>213</v>
      </c>
      <c r="F19" s="478" t="s">
        <v>455</v>
      </c>
      <c r="G19" s="493" t="s">
        <v>499</v>
      </c>
      <c r="H19" s="493" t="s">
        <v>488</v>
      </c>
      <c r="I19" s="472" t="s">
        <v>215</v>
      </c>
      <c r="J19" s="472" t="s">
        <v>457</v>
      </c>
      <c r="K19" s="472" t="s">
        <v>217</v>
      </c>
      <c r="L19" s="472" t="s">
        <v>219</v>
      </c>
      <c r="M19" s="485" t="s">
        <v>221</v>
      </c>
      <c r="N19" s="472" t="s">
        <v>489</v>
      </c>
      <c r="O19" s="472" t="s">
        <v>222</v>
      </c>
      <c r="P19" s="518" t="s">
        <v>500</v>
      </c>
    </row>
    <row r="20" spans="1:18" ht="45" customHeight="1">
      <c r="A20" s="475"/>
      <c r="B20" s="477"/>
      <c r="C20" s="472"/>
      <c r="D20" s="472"/>
      <c r="E20" s="517"/>
      <c r="F20" s="472"/>
      <c r="G20" s="479"/>
      <c r="H20" s="479"/>
      <c r="I20" s="473"/>
      <c r="J20" s="473"/>
      <c r="K20" s="473"/>
      <c r="L20" s="473"/>
      <c r="M20" s="486"/>
      <c r="N20" s="473"/>
      <c r="O20" s="473"/>
      <c r="P20" s="519"/>
      <c r="Q20" s="278" t="s">
        <v>490</v>
      </c>
      <c r="R20" s="278" t="s">
        <v>491</v>
      </c>
    </row>
    <row r="21" spans="1:18">
      <c r="A21" s="22">
        <v>22100100</v>
      </c>
      <c r="B21" s="23" t="s">
        <v>35</v>
      </c>
      <c r="C21" s="34" t="s">
        <v>1006</v>
      </c>
      <c r="D21" s="34"/>
      <c r="F21" s="36" t="s">
        <v>482</v>
      </c>
      <c r="G21" s="23">
        <f>H21</f>
        <v>125519076.47500001</v>
      </c>
      <c r="H21" s="279">
        <f>P21*$H$18</f>
        <v>125519076.47500001</v>
      </c>
      <c r="I21" s="37">
        <v>44196</v>
      </c>
      <c r="J21" s="37">
        <v>44609</v>
      </c>
      <c r="K21" s="38">
        <f>IF(J21-I21&lt;0,"Error",J21-I21)</f>
        <v>413</v>
      </c>
      <c r="L21" s="38" t="str">
        <f>IF(K21&gt;365,"Medir al costo amortizado","Dejar al valor nominal")</f>
        <v>Medir al costo amortizado</v>
      </c>
      <c r="M21" s="38">
        <f>H21-G21</f>
        <v>0</v>
      </c>
      <c r="N21" s="272" t="str">
        <f>IF($N$18-J21&gt;K21,"Revisar","OK")</f>
        <v>OK</v>
      </c>
      <c r="O21" s="23" t="s">
        <v>501</v>
      </c>
      <c r="P21" s="270">
        <v>36567.83</v>
      </c>
      <c r="Q21" s="270">
        <f>P21</f>
        <v>36567.83</v>
      </c>
    </row>
    <row r="22" spans="1:18">
      <c r="C22" s="34"/>
      <c r="D22" s="34"/>
      <c r="I22" s="37"/>
      <c r="J22" s="37"/>
      <c r="K22" s="38"/>
      <c r="L22" s="38"/>
      <c r="M22" s="38"/>
      <c r="N22" s="272"/>
    </row>
    <row r="23" spans="1:18">
      <c r="A23" s="22">
        <v>23359500</v>
      </c>
      <c r="B23" s="23" t="s">
        <v>36</v>
      </c>
      <c r="C23" s="34" t="s">
        <v>1007</v>
      </c>
      <c r="D23" s="34"/>
      <c r="F23" s="36" t="s">
        <v>204</v>
      </c>
      <c r="G23" s="23">
        <f>H23</f>
        <v>5168624.1749999998</v>
      </c>
      <c r="H23" s="279">
        <f t="shared" ref="H23:H31" si="1">P23*$H$18</f>
        <v>5168624.1749999998</v>
      </c>
      <c r="I23" s="37">
        <v>44463</v>
      </c>
      <c r="J23" s="37">
        <f>I23+60</f>
        <v>44523</v>
      </c>
      <c r="K23" s="38">
        <f>IF(J23-I23&lt;0,"Error",J23-I23)</f>
        <v>60</v>
      </c>
      <c r="L23" s="38" t="str">
        <f>IF(K23&gt;365,"Medir al costo amortizado","Dejar al valor nominal")</f>
        <v>Dejar al valor nominal</v>
      </c>
      <c r="M23" s="38">
        <f>H23-G23</f>
        <v>0</v>
      </c>
      <c r="N23" s="272" t="str">
        <f>IF($N$18-J23&gt;K23,"Revisar","OK")</f>
        <v>OK</v>
      </c>
      <c r="P23" s="270">
        <v>1505.79</v>
      </c>
      <c r="Q23" s="270">
        <f>P23</f>
        <v>1505.79</v>
      </c>
      <c r="R23" s="23"/>
    </row>
    <row r="24" spans="1:18">
      <c r="A24" s="22">
        <v>23359500</v>
      </c>
      <c r="B24" s="23" t="s">
        <v>36</v>
      </c>
      <c r="C24" s="34" t="s">
        <v>1007</v>
      </c>
      <c r="D24" s="34"/>
      <c r="F24" s="36" t="s">
        <v>204</v>
      </c>
      <c r="G24" s="23">
        <f t="shared" ref="G24:G31" si="2">H24</f>
        <v>7951729.5</v>
      </c>
      <c r="H24" s="279">
        <f t="shared" si="1"/>
        <v>7951729.5</v>
      </c>
      <c r="I24" s="37">
        <v>44463</v>
      </c>
      <c r="J24" s="37">
        <f t="shared" ref="J24:J31" si="3">I24+60</f>
        <v>44523</v>
      </c>
      <c r="K24" s="38">
        <f t="shared" ref="K24:K30" si="4">IF(J24-I24&lt;0,"Error",J24-I24)</f>
        <v>60</v>
      </c>
      <c r="L24" s="38" t="str">
        <f t="shared" ref="L24:L31" si="5">IF(K24&gt;365,"Medir al costo amortizado","Dejar al valor nominal")</f>
        <v>Dejar al valor nominal</v>
      </c>
      <c r="M24" s="38">
        <f t="shared" ref="M24:M30" si="6">H24-G24</f>
        <v>0</v>
      </c>
      <c r="N24" s="272" t="str">
        <f t="shared" ref="N24:N30" si="7">IF($N$18-J24&gt;K24,"Revisar","OK")</f>
        <v>OK</v>
      </c>
      <c r="P24" s="270">
        <v>2316.6</v>
      </c>
      <c r="Q24" s="270">
        <f t="shared" ref="Q24:Q31" si="8">P24</f>
        <v>2316.6</v>
      </c>
      <c r="R24" s="23"/>
    </row>
    <row r="25" spans="1:18">
      <c r="A25" s="22">
        <v>23359500</v>
      </c>
      <c r="B25" s="23" t="s">
        <v>36</v>
      </c>
      <c r="C25" s="34" t="s">
        <v>1007</v>
      </c>
      <c r="D25" s="34"/>
      <c r="F25" s="36" t="s">
        <v>204</v>
      </c>
      <c r="G25" s="23">
        <f t="shared" si="2"/>
        <v>11897045</v>
      </c>
      <c r="H25" s="279">
        <f t="shared" si="1"/>
        <v>11897045</v>
      </c>
      <c r="I25" s="37">
        <v>44474</v>
      </c>
      <c r="J25" s="37">
        <f t="shared" si="3"/>
        <v>44534</v>
      </c>
      <c r="K25" s="38">
        <f t="shared" si="4"/>
        <v>60</v>
      </c>
      <c r="L25" s="38" t="str">
        <f t="shared" si="5"/>
        <v>Dejar al valor nominal</v>
      </c>
      <c r="M25" s="38">
        <f t="shared" si="6"/>
        <v>0</v>
      </c>
      <c r="N25" s="272" t="str">
        <f t="shared" si="7"/>
        <v>OK</v>
      </c>
      <c r="P25" s="270">
        <v>3466</v>
      </c>
      <c r="Q25" s="270">
        <f t="shared" si="8"/>
        <v>3466</v>
      </c>
      <c r="R25" s="23"/>
    </row>
    <row r="26" spans="1:18">
      <c r="A26" s="22">
        <v>23359500</v>
      </c>
      <c r="B26" s="23" t="s">
        <v>36</v>
      </c>
      <c r="C26" s="34" t="s">
        <v>1007</v>
      </c>
      <c r="D26" s="34"/>
      <c r="F26" s="36" t="s">
        <v>204</v>
      </c>
      <c r="G26" s="23">
        <f t="shared" si="2"/>
        <v>5212800.45</v>
      </c>
      <c r="H26" s="279">
        <f t="shared" si="1"/>
        <v>5212800.45</v>
      </c>
      <c r="I26" s="37">
        <v>44510</v>
      </c>
      <c r="J26" s="37">
        <f t="shared" si="3"/>
        <v>44570</v>
      </c>
      <c r="K26" s="38">
        <f t="shared" si="4"/>
        <v>60</v>
      </c>
      <c r="L26" s="38" t="str">
        <f t="shared" si="5"/>
        <v>Dejar al valor nominal</v>
      </c>
      <c r="M26" s="38">
        <f t="shared" si="6"/>
        <v>0</v>
      </c>
      <c r="N26" s="272" t="str">
        <f t="shared" si="7"/>
        <v>OK</v>
      </c>
      <c r="P26" s="270">
        <v>1518.66</v>
      </c>
      <c r="Q26" s="270">
        <f t="shared" si="8"/>
        <v>1518.66</v>
      </c>
      <c r="R26" s="23"/>
    </row>
    <row r="27" spans="1:18">
      <c r="A27" s="22">
        <v>23359500</v>
      </c>
      <c r="B27" s="23" t="s">
        <v>36</v>
      </c>
      <c r="C27" s="34" t="s">
        <v>1007</v>
      </c>
      <c r="D27" s="34"/>
      <c r="F27" s="36" t="s">
        <v>204</v>
      </c>
      <c r="G27" s="23">
        <f t="shared" si="2"/>
        <v>7037895.0249999994</v>
      </c>
      <c r="H27" s="279">
        <f t="shared" si="1"/>
        <v>7037895.0249999994</v>
      </c>
      <c r="I27" s="37">
        <v>44510</v>
      </c>
      <c r="J27" s="37">
        <f t="shared" si="3"/>
        <v>44570</v>
      </c>
      <c r="K27" s="38">
        <f t="shared" si="4"/>
        <v>60</v>
      </c>
      <c r="L27" s="38" t="str">
        <f t="shared" si="5"/>
        <v>Dejar al valor nominal</v>
      </c>
      <c r="M27" s="38">
        <f t="shared" si="6"/>
        <v>0</v>
      </c>
      <c r="N27" s="272" t="str">
        <f t="shared" si="7"/>
        <v>OK</v>
      </c>
      <c r="P27" s="270">
        <v>2050.37</v>
      </c>
      <c r="Q27" s="270">
        <f t="shared" si="8"/>
        <v>2050.37</v>
      </c>
      <c r="R27" s="23"/>
    </row>
    <row r="28" spans="1:18">
      <c r="A28" s="22">
        <v>23359500</v>
      </c>
      <c r="B28" s="23" t="s">
        <v>36</v>
      </c>
      <c r="C28" s="34" t="s">
        <v>1007</v>
      </c>
      <c r="D28" s="34"/>
      <c r="F28" s="36" t="s">
        <v>204</v>
      </c>
      <c r="G28" s="23">
        <f t="shared" si="2"/>
        <v>5256976.7249999996</v>
      </c>
      <c r="H28" s="279">
        <f t="shared" si="1"/>
        <v>5256976.7249999996</v>
      </c>
      <c r="I28" s="37">
        <v>44530</v>
      </c>
      <c r="J28" s="37">
        <f t="shared" si="3"/>
        <v>44590</v>
      </c>
      <c r="K28" s="38">
        <f t="shared" si="4"/>
        <v>60</v>
      </c>
      <c r="L28" s="38" t="str">
        <f t="shared" si="5"/>
        <v>Dejar al valor nominal</v>
      </c>
      <c r="M28" s="38">
        <f t="shared" si="6"/>
        <v>0</v>
      </c>
      <c r="N28" s="272" t="str">
        <f t="shared" si="7"/>
        <v>OK</v>
      </c>
      <c r="P28" s="270">
        <v>1531.53</v>
      </c>
      <c r="Q28" s="270">
        <f t="shared" si="8"/>
        <v>1531.53</v>
      </c>
      <c r="R28" s="23"/>
    </row>
    <row r="29" spans="1:18">
      <c r="A29" s="22">
        <v>23359500</v>
      </c>
      <c r="B29" s="23" t="s">
        <v>36</v>
      </c>
      <c r="C29" s="34" t="s">
        <v>1007</v>
      </c>
      <c r="D29" s="34"/>
      <c r="F29" s="36" t="s">
        <v>204</v>
      </c>
      <c r="G29" s="23">
        <f t="shared" si="2"/>
        <v>4771449.5999999996</v>
      </c>
      <c r="H29" s="279">
        <f t="shared" si="1"/>
        <v>4771449.5999999996</v>
      </c>
      <c r="I29" s="37">
        <v>44539</v>
      </c>
      <c r="J29" s="37">
        <f t="shared" si="3"/>
        <v>44599</v>
      </c>
      <c r="K29" s="38">
        <f t="shared" si="4"/>
        <v>60</v>
      </c>
      <c r="L29" s="38" t="str">
        <f t="shared" si="5"/>
        <v>Dejar al valor nominal</v>
      </c>
      <c r="M29" s="38">
        <f t="shared" si="6"/>
        <v>0</v>
      </c>
      <c r="N29" s="272" t="str">
        <f t="shared" si="7"/>
        <v>OK</v>
      </c>
      <c r="P29" s="270">
        <v>1390.08</v>
      </c>
      <c r="Q29" s="270">
        <f t="shared" si="8"/>
        <v>1390.08</v>
      </c>
      <c r="R29" s="23"/>
    </row>
    <row r="30" spans="1:18">
      <c r="A30" s="22">
        <v>23359500</v>
      </c>
      <c r="B30" s="23" t="s">
        <v>36</v>
      </c>
      <c r="C30" s="34" t="s">
        <v>1007</v>
      </c>
      <c r="D30" s="34"/>
      <c r="F30" s="36" t="s">
        <v>204</v>
      </c>
      <c r="G30" s="23">
        <f t="shared" si="2"/>
        <v>5389505.5500000007</v>
      </c>
      <c r="H30" s="279">
        <f t="shared" si="1"/>
        <v>5389505.5500000007</v>
      </c>
      <c r="I30" s="37">
        <v>44561</v>
      </c>
      <c r="J30" s="37">
        <f t="shared" si="3"/>
        <v>44621</v>
      </c>
      <c r="K30" s="38">
        <f t="shared" si="4"/>
        <v>60</v>
      </c>
      <c r="L30" s="38" t="str">
        <f t="shared" si="5"/>
        <v>Dejar al valor nominal</v>
      </c>
      <c r="M30" s="38">
        <f t="shared" si="6"/>
        <v>0</v>
      </c>
      <c r="N30" s="272" t="str">
        <f t="shared" si="7"/>
        <v>OK</v>
      </c>
      <c r="P30" s="270">
        <v>1570.14</v>
      </c>
      <c r="Q30" s="270">
        <f t="shared" si="8"/>
        <v>1570.14</v>
      </c>
      <c r="R30" s="23"/>
    </row>
    <row r="31" spans="1:18">
      <c r="A31" s="22">
        <v>23359500</v>
      </c>
      <c r="B31" s="23" t="s">
        <v>36</v>
      </c>
      <c r="C31" s="34" t="s">
        <v>1010</v>
      </c>
      <c r="D31" s="34"/>
      <c r="F31" s="36" t="s">
        <v>204</v>
      </c>
      <c r="G31" s="23">
        <f t="shared" si="2"/>
        <v>10263175</v>
      </c>
      <c r="H31" s="279">
        <f t="shared" si="1"/>
        <v>10263175</v>
      </c>
      <c r="I31" s="37">
        <v>44552</v>
      </c>
      <c r="J31" s="37">
        <f t="shared" si="3"/>
        <v>44612</v>
      </c>
      <c r="K31" s="38">
        <f t="shared" ref="K31" si="9">IF(J31-I31&lt;0,"Error",J31-I31)</f>
        <v>60</v>
      </c>
      <c r="L31" s="38" t="str">
        <f t="shared" si="5"/>
        <v>Dejar al valor nominal</v>
      </c>
      <c r="M31" s="38">
        <f t="shared" ref="M31" si="10">H31-G31</f>
        <v>0</v>
      </c>
      <c r="N31" s="272" t="str">
        <f t="shared" ref="N31" si="11">IF($N$18-J31&gt;K31,"Revisar","OK")</f>
        <v>OK</v>
      </c>
      <c r="O31" s="23" t="s">
        <v>1011</v>
      </c>
      <c r="P31" s="270">
        <v>2990</v>
      </c>
      <c r="Q31" s="270">
        <f t="shared" si="8"/>
        <v>2990</v>
      </c>
      <c r="R31" s="23"/>
    </row>
    <row r="32" spans="1:18">
      <c r="C32" s="34"/>
      <c r="D32" s="34"/>
      <c r="I32" s="37"/>
      <c r="J32" s="37"/>
      <c r="K32" s="38"/>
      <c r="L32" s="38"/>
      <c r="M32" s="38"/>
      <c r="N32" s="272"/>
    </row>
    <row r="33" spans="1:18">
      <c r="A33" s="22">
        <v>23359500</v>
      </c>
      <c r="B33" s="23" t="s">
        <v>36</v>
      </c>
      <c r="C33" s="34" t="s">
        <v>1008</v>
      </c>
      <c r="D33" s="34"/>
      <c r="F33" s="36" t="s">
        <v>204</v>
      </c>
      <c r="G33" s="23">
        <v>314240</v>
      </c>
      <c r="H33" s="23">
        <v>314240</v>
      </c>
      <c r="I33" s="37">
        <v>44518</v>
      </c>
      <c r="J33" s="37">
        <f t="shared" ref="J33" si="12">I33+30</f>
        <v>44548</v>
      </c>
      <c r="K33" s="38">
        <f t="shared" ref="K33" si="13">IF(J33-I33&lt;0,"Error",J33-I33)</f>
        <v>30</v>
      </c>
      <c r="L33" s="38" t="str">
        <f t="shared" ref="L33" si="14">IF(K33&gt;365,"Medir al costo amortizado","Dejar al valor nominal")</f>
        <v>Dejar al valor nominal</v>
      </c>
      <c r="M33" s="38">
        <f t="shared" ref="M33" si="15">H33-G33</f>
        <v>0</v>
      </c>
      <c r="N33" s="272" t="str">
        <f t="shared" ref="N33" si="16">IF($N$18-J33&gt;K33,"Revisar","OK")</f>
        <v>OK</v>
      </c>
    </row>
    <row r="34" spans="1:18">
      <c r="A34" s="22">
        <v>23359500</v>
      </c>
      <c r="B34" s="23" t="s">
        <v>36</v>
      </c>
      <c r="C34" s="34" t="s">
        <v>1008</v>
      </c>
      <c r="D34" s="34"/>
      <c r="F34" s="36" t="s">
        <v>204</v>
      </c>
      <c r="G34" s="23">
        <v>314240</v>
      </c>
      <c r="H34" s="23">
        <v>314240</v>
      </c>
      <c r="I34" s="37">
        <v>44518</v>
      </c>
      <c r="J34" s="37">
        <f t="shared" ref="J34:J97" si="17">I34+30</f>
        <v>44548</v>
      </c>
      <c r="K34" s="38">
        <f t="shared" ref="K34:K97" si="18">IF(J34-I34&lt;0,"Error",J34-I34)</f>
        <v>30</v>
      </c>
      <c r="L34" s="38" t="str">
        <f t="shared" ref="L34:L97" si="19">IF(K34&gt;365,"Medir al costo amortizado","Dejar al valor nominal")</f>
        <v>Dejar al valor nominal</v>
      </c>
      <c r="M34" s="38">
        <f t="shared" ref="M34:M97" si="20">H34-G34</f>
        <v>0</v>
      </c>
      <c r="N34" s="272" t="str">
        <f t="shared" ref="N34:N97" si="21">IF($N$18-J34&gt;K34,"Revisar","OK")</f>
        <v>OK</v>
      </c>
    </row>
    <row r="35" spans="1:18">
      <c r="A35" s="22">
        <v>23359500</v>
      </c>
      <c r="B35" s="23" t="s">
        <v>36</v>
      </c>
      <c r="C35" s="34" t="s">
        <v>1008</v>
      </c>
      <c r="D35" s="34"/>
      <c r="F35" s="36" t="s">
        <v>204</v>
      </c>
      <c r="G35" s="23">
        <v>314240</v>
      </c>
      <c r="H35" s="23">
        <v>314240</v>
      </c>
      <c r="I35" s="37">
        <v>44548</v>
      </c>
      <c r="J35" s="37">
        <f t="shared" si="17"/>
        <v>44578</v>
      </c>
      <c r="K35" s="38">
        <f t="shared" si="18"/>
        <v>30</v>
      </c>
      <c r="L35" s="38" t="str">
        <f t="shared" si="19"/>
        <v>Dejar al valor nominal</v>
      </c>
      <c r="M35" s="38">
        <f t="shared" si="20"/>
        <v>0</v>
      </c>
      <c r="N35" s="272" t="str">
        <f t="shared" si="21"/>
        <v>OK</v>
      </c>
      <c r="P35" s="23"/>
      <c r="Q35" s="23"/>
      <c r="R35" s="23"/>
    </row>
    <row r="36" spans="1:18">
      <c r="A36" s="22">
        <v>23359500</v>
      </c>
      <c r="B36" s="23" t="s">
        <v>36</v>
      </c>
      <c r="C36" s="34" t="s">
        <v>1008</v>
      </c>
      <c r="D36" s="34"/>
      <c r="F36" s="36" t="s">
        <v>204</v>
      </c>
      <c r="G36" s="23">
        <v>314240</v>
      </c>
      <c r="H36" s="23">
        <v>314240</v>
      </c>
      <c r="I36" s="37">
        <v>44548</v>
      </c>
      <c r="J36" s="37">
        <f t="shared" si="17"/>
        <v>44578</v>
      </c>
      <c r="K36" s="38">
        <f t="shared" si="18"/>
        <v>30</v>
      </c>
      <c r="L36" s="38" t="str">
        <f t="shared" si="19"/>
        <v>Dejar al valor nominal</v>
      </c>
      <c r="M36" s="38">
        <f t="shared" si="20"/>
        <v>0</v>
      </c>
      <c r="N36" s="272" t="str">
        <f t="shared" si="21"/>
        <v>OK</v>
      </c>
      <c r="P36" s="23"/>
      <c r="Q36" s="23"/>
      <c r="R36" s="23"/>
    </row>
    <row r="37" spans="1:18">
      <c r="A37" s="22">
        <v>23359500</v>
      </c>
      <c r="B37" s="23" t="s">
        <v>36</v>
      </c>
      <c r="C37" s="34" t="s">
        <v>1008</v>
      </c>
      <c r="D37" s="34"/>
      <c r="F37" s="36" t="s">
        <v>204</v>
      </c>
      <c r="G37" s="23">
        <v>4372282</v>
      </c>
      <c r="H37" s="23">
        <v>4372282</v>
      </c>
      <c r="I37" s="37">
        <v>44552</v>
      </c>
      <c r="J37" s="37">
        <f t="shared" si="17"/>
        <v>44582</v>
      </c>
      <c r="K37" s="38">
        <f t="shared" si="18"/>
        <v>30</v>
      </c>
      <c r="L37" s="38" t="str">
        <f t="shared" si="19"/>
        <v>Dejar al valor nominal</v>
      </c>
      <c r="M37" s="38">
        <f t="shared" si="20"/>
        <v>0</v>
      </c>
      <c r="N37" s="272" t="str">
        <f t="shared" si="21"/>
        <v>OK</v>
      </c>
      <c r="P37" s="23"/>
      <c r="Q37" s="23"/>
      <c r="R37" s="23"/>
    </row>
    <row r="38" spans="1:18">
      <c r="A38" s="22">
        <v>23359500</v>
      </c>
      <c r="B38" s="23" t="s">
        <v>36</v>
      </c>
      <c r="C38" s="34" t="s">
        <v>1008</v>
      </c>
      <c r="D38" s="34"/>
      <c r="F38" s="36" t="s">
        <v>204</v>
      </c>
      <c r="G38" s="23">
        <v>892500</v>
      </c>
      <c r="H38" s="23">
        <v>892500</v>
      </c>
      <c r="I38" s="37">
        <v>44525</v>
      </c>
      <c r="J38" s="37">
        <f t="shared" si="17"/>
        <v>44555</v>
      </c>
      <c r="K38" s="38">
        <f t="shared" si="18"/>
        <v>30</v>
      </c>
      <c r="L38" s="38" t="str">
        <f t="shared" si="19"/>
        <v>Dejar al valor nominal</v>
      </c>
      <c r="M38" s="38">
        <f t="shared" si="20"/>
        <v>0</v>
      </c>
      <c r="N38" s="272" t="str">
        <f t="shared" si="21"/>
        <v>OK</v>
      </c>
      <c r="P38" s="23"/>
      <c r="Q38" s="23"/>
      <c r="R38" s="23"/>
    </row>
    <row r="39" spans="1:18">
      <c r="A39" s="22">
        <v>23359500</v>
      </c>
      <c r="B39" s="23" t="s">
        <v>36</v>
      </c>
      <c r="C39" s="34" t="s">
        <v>1008</v>
      </c>
      <c r="D39" s="34"/>
      <c r="F39" s="36" t="s">
        <v>204</v>
      </c>
      <c r="G39" s="23">
        <v>654500</v>
      </c>
      <c r="H39" s="23">
        <v>654500</v>
      </c>
      <c r="I39" s="37">
        <v>44533</v>
      </c>
      <c r="J39" s="37">
        <f t="shared" si="17"/>
        <v>44563</v>
      </c>
      <c r="K39" s="38">
        <f t="shared" si="18"/>
        <v>30</v>
      </c>
      <c r="L39" s="38" t="str">
        <f t="shared" si="19"/>
        <v>Dejar al valor nominal</v>
      </c>
      <c r="M39" s="38">
        <f t="shared" si="20"/>
        <v>0</v>
      </c>
      <c r="N39" s="272" t="str">
        <f t="shared" si="21"/>
        <v>OK</v>
      </c>
      <c r="P39" s="23"/>
      <c r="Q39" s="23"/>
      <c r="R39" s="23"/>
    </row>
    <row r="40" spans="1:18">
      <c r="A40" s="22">
        <v>23359500</v>
      </c>
      <c r="B40" s="23" t="s">
        <v>36</v>
      </c>
      <c r="C40" s="34" t="s">
        <v>1008</v>
      </c>
      <c r="D40" s="34"/>
      <c r="F40" s="36" t="s">
        <v>204</v>
      </c>
      <c r="G40" s="23">
        <v>1806636</v>
      </c>
      <c r="H40" s="23">
        <v>1806636</v>
      </c>
      <c r="I40" s="37">
        <v>44545</v>
      </c>
      <c r="J40" s="37">
        <f t="shared" si="17"/>
        <v>44575</v>
      </c>
      <c r="K40" s="38">
        <f t="shared" si="18"/>
        <v>30</v>
      </c>
      <c r="L40" s="38" t="str">
        <f t="shared" si="19"/>
        <v>Dejar al valor nominal</v>
      </c>
      <c r="M40" s="38">
        <f t="shared" si="20"/>
        <v>0</v>
      </c>
      <c r="N40" s="272" t="str">
        <f t="shared" si="21"/>
        <v>OK</v>
      </c>
      <c r="P40" s="23"/>
      <c r="Q40" s="23"/>
      <c r="R40" s="23"/>
    </row>
    <row r="41" spans="1:18">
      <c r="A41" s="22">
        <v>23359500</v>
      </c>
      <c r="B41" s="23" t="s">
        <v>36</v>
      </c>
      <c r="C41" s="34" t="s">
        <v>1008</v>
      </c>
      <c r="D41" s="34"/>
      <c r="F41" s="36" t="s">
        <v>204</v>
      </c>
      <c r="G41" s="23">
        <v>11880000</v>
      </c>
      <c r="H41" s="23">
        <v>11880000</v>
      </c>
      <c r="I41" s="37">
        <v>44520</v>
      </c>
      <c r="J41" s="37">
        <f t="shared" si="17"/>
        <v>44550</v>
      </c>
      <c r="K41" s="38">
        <f t="shared" si="18"/>
        <v>30</v>
      </c>
      <c r="L41" s="38" t="str">
        <f t="shared" si="19"/>
        <v>Dejar al valor nominal</v>
      </c>
      <c r="M41" s="38">
        <f t="shared" si="20"/>
        <v>0</v>
      </c>
      <c r="N41" s="272" t="str">
        <f t="shared" si="21"/>
        <v>OK</v>
      </c>
      <c r="P41" s="23"/>
      <c r="Q41" s="23"/>
      <c r="R41" s="23"/>
    </row>
    <row r="42" spans="1:18">
      <c r="A42" s="22">
        <v>23359500</v>
      </c>
      <c r="B42" s="23" t="s">
        <v>36</v>
      </c>
      <c r="C42" s="34" t="s">
        <v>1008</v>
      </c>
      <c r="D42" s="34"/>
      <c r="F42" s="36" t="s">
        <v>204</v>
      </c>
      <c r="G42" s="23">
        <v>20790000</v>
      </c>
      <c r="H42" s="23">
        <v>20790000</v>
      </c>
      <c r="I42" s="37">
        <v>44531</v>
      </c>
      <c r="J42" s="37">
        <f t="shared" si="17"/>
        <v>44561</v>
      </c>
      <c r="K42" s="38">
        <f t="shared" si="18"/>
        <v>30</v>
      </c>
      <c r="L42" s="38" t="str">
        <f t="shared" si="19"/>
        <v>Dejar al valor nominal</v>
      </c>
      <c r="M42" s="38">
        <f t="shared" si="20"/>
        <v>0</v>
      </c>
      <c r="N42" s="272" t="str">
        <f t="shared" si="21"/>
        <v>OK</v>
      </c>
      <c r="P42" s="23"/>
      <c r="Q42" s="23"/>
      <c r="R42" s="23"/>
    </row>
    <row r="43" spans="1:18">
      <c r="A43" s="22">
        <v>23359500</v>
      </c>
      <c r="B43" s="23" t="s">
        <v>36</v>
      </c>
      <c r="C43" s="34" t="s">
        <v>1008</v>
      </c>
      <c r="D43" s="34"/>
      <c r="F43" s="36" t="s">
        <v>204</v>
      </c>
      <c r="G43" s="23">
        <v>19234285.289999999</v>
      </c>
      <c r="H43" s="23">
        <v>19234285.289999999</v>
      </c>
      <c r="I43" s="37">
        <v>44537</v>
      </c>
      <c r="J43" s="37">
        <f t="shared" si="17"/>
        <v>44567</v>
      </c>
      <c r="K43" s="38">
        <f t="shared" si="18"/>
        <v>30</v>
      </c>
      <c r="L43" s="38" t="str">
        <f t="shared" si="19"/>
        <v>Dejar al valor nominal</v>
      </c>
      <c r="M43" s="38">
        <f t="shared" si="20"/>
        <v>0</v>
      </c>
      <c r="N43" s="272" t="str">
        <f t="shared" si="21"/>
        <v>OK</v>
      </c>
      <c r="P43" s="23"/>
      <c r="Q43" s="23"/>
      <c r="R43" s="23"/>
    </row>
    <row r="44" spans="1:18">
      <c r="A44" s="22">
        <v>23359500</v>
      </c>
      <c r="B44" s="23" t="s">
        <v>36</v>
      </c>
      <c r="C44" s="34" t="s">
        <v>1008</v>
      </c>
      <c r="D44" s="34"/>
      <c r="F44" s="36" t="s">
        <v>204</v>
      </c>
      <c r="G44" s="23">
        <v>579474</v>
      </c>
      <c r="H44" s="23">
        <v>579474</v>
      </c>
      <c r="I44" s="37">
        <v>44531</v>
      </c>
      <c r="J44" s="37">
        <f t="shared" si="17"/>
        <v>44561</v>
      </c>
      <c r="K44" s="38">
        <f t="shared" si="18"/>
        <v>30</v>
      </c>
      <c r="L44" s="38" t="str">
        <f t="shared" si="19"/>
        <v>Dejar al valor nominal</v>
      </c>
      <c r="M44" s="38">
        <f t="shared" si="20"/>
        <v>0</v>
      </c>
      <c r="N44" s="272" t="str">
        <f t="shared" si="21"/>
        <v>OK</v>
      </c>
      <c r="P44" s="23"/>
      <c r="Q44" s="23"/>
      <c r="R44" s="23"/>
    </row>
    <row r="45" spans="1:18">
      <c r="A45" s="22">
        <v>23359500</v>
      </c>
      <c r="B45" s="23" t="s">
        <v>36</v>
      </c>
      <c r="C45" s="34" t="s">
        <v>1008</v>
      </c>
      <c r="D45" s="34"/>
      <c r="F45" s="36" t="s">
        <v>204</v>
      </c>
      <c r="G45" s="23">
        <v>862500</v>
      </c>
      <c r="H45" s="23">
        <v>862500</v>
      </c>
      <c r="I45" s="37">
        <v>44503</v>
      </c>
      <c r="J45" s="37">
        <f t="shared" si="17"/>
        <v>44533</v>
      </c>
      <c r="K45" s="38">
        <f t="shared" si="18"/>
        <v>30</v>
      </c>
      <c r="L45" s="38" t="str">
        <f t="shared" si="19"/>
        <v>Dejar al valor nominal</v>
      </c>
      <c r="M45" s="38">
        <f t="shared" si="20"/>
        <v>0</v>
      </c>
      <c r="N45" s="272" t="str">
        <f t="shared" si="21"/>
        <v>OK</v>
      </c>
      <c r="P45" s="23"/>
      <c r="Q45" s="23"/>
      <c r="R45" s="23"/>
    </row>
    <row r="46" spans="1:18">
      <c r="A46" s="22">
        <v>23359500</v>
      </c>
      <c r="B46" s="23" t="s">
        <v>36</v>
      </c>
      <c r="C46" s="34" t="s">
        <v>1008</v>
      </c>
      <c r="D46" s="34"/>
      <c r="F46" s="36" t="s">
        <v>204</v>
      </c>
      <c r="G46" s="23">
        <v>77350</v>
      </c>
      <c r="H46" s="23">
        <v>77350</v>
      </c>
      <c r="I46" s="37">
        <v>44503</v>
      </c>
      <c r="J46" s="37">
        <f t="shared" si="17"/>
        <v>44533</v>
      </c>
      <c r="K46" s="38">
        <f t="shared" si="18"/>
        <v>30</v>
      </c>
      <c r="L46" s="38" t="str">
        <f t="shared" si="19"/>
        <v>Dejar al valor nominal</v>
      </c>
      <c r="M46" s="38">
        <f t="shared" si="20"/>
        <v>0</v>
      </c>
      <c r="N46" s="272" t="str">
        <f t="shared" si="21"/>
        <v>OK</v>
      </c>
      <c r="P46" s="23"/>
      <c r="Q46" s="23"/>
      <c r="R46" s="23"/>
    </row>
    <row r="47" spans="1:18">
      <c r="A47" s="22">
        <v>23359500</v>
      </c>
      <c r="B47" s="23" t="s">
        <v>36</v>
      </c>
      <c r="C47" s="34" t="s">
        <v>1008</v>
      </c>
      <c r="D47" s="34"/>
      <c r="F47" s="36" t="s">
        <v>204</v>
      </c>
      <c r="G47" s="23">
        <v>218500</v>
      </c>
      <c r="H47" s="23">
        <v>218500</v>
      </c>
      <c r="I47" s="37">
        <v>44509</v>
      </c>
      <c r="J47" s="37">
        <f t="shared" si="17"/>
        <v>44539</v>
      </c>
      <c r="K47" s="38">
        <f t="shared" si="18"/>
        <v>30</v>
      </c>
      <c r="L47" s="38" t="str">
        <f t="shared" si="19"/>
        <v>Dejar al valor nominal</v>
      </c>
      <c r="M47" s="38">
        <f t="shared" si="20"/>
        <v>0</v>
      </c>
      <c r="N47" s="272" t="str">
        <f t="shared" si="21"/>
        <v>OK</v>
      </c>
      <c r="P47" s="23"/>
      <c r="Q47" s="23"/>
      <c r="R47" s="23"/>
    </row>
    <row r="48" spans="1:18">
      <c r="A48" s="22">
        <v>23359500</v>
      </c>
      <c r="B48" s="23" t="s">
        <v>36</v>
      </c>
      <c r="C48" s="34" t="s">
        <v>1008</v>
      </c>
      <c r="D48" s="34"/>
      <c r="F48" s="36" t="s">
        <v>204</v>
      </c>
      <c r="G48" s="23">
        <v>7140000</v>
      </c>
      <c r="H48" s="23">
        <v>7140000</v>
      </c>
      <c r="I48" s="37">
        <v>44457</v>
      </c>
      <c r="J48" s="37">
        <f t="shared" si="17"/>
        <v>44487</v>
      </c>
      <c r="K48" s="38">
        <f t="shared" si="18"/>
        <v>30</v>
      </c>
      <c r="L48" s="38" t="str">
        <f t="shared" si="19"/>
        <v>Dejar al valor nominal</v>
      </c>
      <c r="M48" s="38">
        <f t="shared" si="20"/>
        <v>0</v>
      </c>
      <c r="N48" s="272" t="str">
        <f t="shared" si="21"/>
        <v>OK</v>
      </c>
      <c r="P48" s="23"/>
      <c r="Q48" s="23"/>
      <c r="R48" s="23"/>
    </row>
    <row r="49" spans="1:18">
      <c r="A49" s="22">
        <v>23359500</v>
      </c>
      <c r="B49" s="23" t="s">
        <v>36</v>
      </c>
      <c r="C49" s="34" t="s">
        <v>1008</v>
      </c>
      <c r="D49" s="34"/>
      <c r="F49" s="36" t="s">
        <v>204</v>
      </c>
      <c r="G49" s="23">
        <v>4998000</v>
      </c>
      <c r="H49" s="23">
        <v>4998000</v>
      </c>
      <c r="I49" s="37">
        <v>44476</v>
      </c>
      <c r="J49" s="37">
        <f t="shared" si="17"/>
        <v>44506</v>
      </c>
      <c r="K49" s="38">
        <f t="shared" si="18"/>
        <v>30</v>
      </c>
      <c r="L49" s="38" t="str">
        <f t="shared" si="19"/>
        <v>Dejar al valor nominal</v>
      </c>
      <c r="M49" s="38">
        <f t="shared" si="20"/>
        <v>0</v>
      </c>
      <c r="N49" s="272" t="str">
        <f t="shared" si="21"/>
        <v>OK</v>
      </c>
      <c r="P49" s="23"/>
      <c r="Q49" s="23"/>
      <c r="R49" s="23"/>
    </row>
    <row r="50" spans="1:18">
      <c r="A50" s="22">
        <v>23359500</v>
      </c>
      <c r="B50" s="23" t="s">
        <v>36</v>
      </c>
      <c r="C50" s="34" t="s">
        <v>1008</v>
      </c>
      <c r="D50" s="34"/>
      <c r="F50" s="36" t="s">
        <v>204</v>
      </c>
      <c r="G50" s="23">
        <v>353210</v>
      </c>
      <c r="H50" s="23">
        <v>353210</v>
      </c>
      <c r="I50" s="37">
        <v>44503</v>
      </c>
      <c r="J50" s="37">
        <f t="shared" si="17"/>
        <v>44533</v>
      </c>
      <c r="K50" s="38">
        <f t="shared" si="18"/>
        <v>30</v>
      </c>
      <c r="L50" s="38" t="str">
        <f t="shared" si="19"/>
        <v>Dejar al valor nominal</v>
      </c>
      <c r="M50" s="38">
        <f t="shared" si="20"/>
        <v>0</v>
      </c>
      <c r="N50" s="272" t="str">
        <f t="shared" si="21"/>
        <v>OK</v>
      </c>
      <c r="P50" s="23"/>
      <c r="Q50" s="23"/>
      <c r="R50" s="23"/>
    </row>
    <row r="51" spans="1:18">
      <c r="A51" s="22">
        <v>23359500</v>
      </c>
      <c r="B51" s="23" t="s">
        <v>36</v>
      </c>
      <c r="C51" s="34" t="s">
        <v>1008</v>
      </c>
      <c r="D51" s="34"/>
      <c r="F51" s="36" t="s">
        <v>204</v>
      </c>
      <c r="G51" s="23">
        <v>353210</v>
      </c>
      <c r="H51" s="23">
        <v>353210</v>
      </c>
      <c r="I51" s="37">
        <v>44531</v>
      </c>
      <c r="J51" s="37">
        <f t="shared" si="17"/>
        <v>44561</v>
      </c>
      <c r="K51" s="38">
        <f t="shared" si="18"/>
        <v>30</v>
      </c>
      <c r="L51" s="38" t="str">
        <f t="shared" si="19"/>
        <v>Dejar al valor nominal</v>
      </c>
      <c r="M51" s="38">
        <f t="shared" si="20"/>
        <v>0</v>
      </c>
      <c r="N51" s="272" t="str">
        <f t="shared" si="21"/>
        <v>OK</v>
      </c>
      <c r="P51" s="23"/>
      <c r="Q51" s="23"/>
      <c r="R51" s="23"/>
    </row>
    <row r="52" spans="1:18">
      <c r="A52" s="22">
        <v>23359500</v>
      </c>
      <c r="B52" s="23" t="s">
        <v>36</v>
      </c>
      <c r="C52" s="34" t="s">
        <v>1008</v>
      </c>
      <c r="D52" s="34"/>
      <c r="F52" s="36" t="s">
        <v>204</v>
      </c>
      <c r="G52" s="23">
        <v>2618000</v>
      </c>
      <c r="H52" s="23">
        <v>2618000</v>
      </c>
      <c r="I52" s="37">
        <v>44477</v>
      </c>
      <c r="J52" s="37">
        <f t="shared" si="17"/>
        <v>44507</v>
      </c>
      <c r="K52" s="38">
        <f t="shared" si="18"/>
        <v>30</v>
      </c>
      <c r="L52" s="38" t="str">
        <f t="shared" si="19"/>
        <v>Dejar al valor nominal</v>
      </c>
      <c r="M52" s="38">
        <f t="shared" si="20"/>
        <v>0</v>
      </c>
      <c r="N52" s="272" t="str">
        <f t="shared" si="21"/>
        <v>OK</v>
      </c>
      <c r="P52" s="23"/>
      <c r="Q52" s="23"/>
      <c r="R52" s="23"/>
    </row>
    <row r="53" spans="1:18">
      <c r="A53" s="22">
        <v>23359500</v>
      </c>
      <c r="B53" s="23" t="s">
        <v>36</v>
      </c>
      <c r="C53" s="34" t="s">
        <v>1008</v>
      </c>
      <c r="D53" s="34"/>
      <c r="F53" s="36" t="s">
        <v>204</v>
      </c>
      <c r="G53" s="23">
        <v>514675</v>
      </c>
      <c r="H53" s="23">
        <v>514675</v>
      </c>
      <c r="I53" s="37">
        <v>44491</v>
      </c>
      <c r="J53" s="37">
        <f t="shared" si="17"/>
        <v>44521</v>
      </c>
      <c r="K53" s="38">
        <f t="shared" si="18"/>
        <v>30</v>
      </c>
      <c r="L53" s="38" t="str">
        <f t="shared" si="19"/>
        <v>Dejar al valor nominal</v>
      </c>
      <c r="M53" s="38">
        <f t="shared" si="20"/>
        <v>0</v>
      </c>
      <c r="N53" s="272" t="str">
        <f t="shared" si="21"/>
        <v>OK</v>
      </c>
      <c r="P53" s="23"/>
      <c r="Q53" s="23"/>
      <c r="R53" s="23"/>
    </row>
    <row r="54" spans="1:18">
      <c r="A54" s="22">
        <v>23359500</v>
      </c>
      <c r="B54" s="23" t="s">
        <v>36</v>
      </c>
      <c r="C54" s="34" t="s">
        <v>1008</v>
      </c>
      <c r="D54" s="34"/>
      <c r="F54" s="36" t="s">
        <v>204</v>
      </c>
      <c r="G54" s="23">
        <v>273700</v>
      </c>
      <c r="H54" s="23">
        <v>273700</v>
      </c>
      <c r="I54" s="37">
        <v>44491</v>
      </c>
      <c r="J54" s="37">
        <f t="shared" si="17"/>
        <v>44521</v>
      </c>
      <c r="K54" s="38">
        <f t="shared" si="18"/>
        <v>30</v>
      </c>
      <c r="L54" s="38" t="str">
        <f t="shared" si="19"/>
        <v>Dejar al valor nominal</v>
      </c>
      <c r="M54" s="38">
        <f t="shared" si="20"/>
        <v>0</v>
      </c>
      <c r="N54" s="272" t="str">
        <f t="shared" si="21"/>
        <v>OK</v>
      </c>
      <c r="P54" s="23"/>
      <c r="Q54" s="23"/>
      <c r="R54" s="23"/>
    </row>
    <row r="55" spans="1:18">
      <c r="A55" s="22">
        <v>23359500</v>
      </c>
      <c r="B55" s="23" t="s">
        <v>36</v>
      </c>
      <c r="C55" s="34" t="s">
        <v>1008</v>
      </c>
      <c r="D55" s="34"/>
      <c r="F55" s="36" t="s">
        <v>204</v>
      </c>
      <c r="G55" s="23">
        <v>3812568.44</v>
      </c>
      <c r="H55" s="23">
        <v>3812568.44</v>
      </c>
      <c r="I55" s="37">
        <v>44504</v>
      </c>
      <c r="J55" s="37">
        <f t="shared" si="17"/>
        <v>44534</v>
      </c>
      <c r="K55" s="38">
        <f t="shared" si="18"/>
        <v>30</v>
      </c>
      <c r="L55" s="38" t="str">
        <f t="shared" si="19"/>
        <v>Dejar al valor nominal</v>
      </c>
      <c r="M55" s="38">
        <f t="shared" si="20"/>
        <v>0</v>
      </c>
      <c r="N55" s="272" t="str">
        <f t="shared" si="21"/>
        <v>OK</v>
      </c>
      <c r="P55" s="23"/>
      <c r="Q55" s="23"/>
      <c r="R55" s="23"/>
    </row>
    <row r="56" spans="1:18">
      <c r="A56" s="22">
        <v>23359500</v>
      </c>
      <c r="B56" s="23" t="s">
        <v>36</v>
      </c>
      <c r="C56" s="34" t="s">
        <v>1008</v>
      </c>
      <c r="D56" s="34"/>
      <c r="F56" s="36" t="s">
        <v>204</v>
      </c>
      <c r="G56" s="23">
        <v>3589854.16</v>
      </c>
      <c r="H56" s="23">
        <v>3589854.16</v>
      </c>
      <c r="I56" s="37">
        <v>44504</v>
      </c>
      <c r="J56" s="37">
        <f t="shared" si="17"/>
        <v>44534</v>
      </c>
      <c r="K56" s="38">
        <f t="shared" si="18"/>
        <v>30</v>
      </c>
      <c r="L56" s="38" t="str">
        <f t="shared" si="19"/>
        <v>Dejar al valor nominal</v>
      </c>
      <c r="M56" s="38">
        <f t="shared" si="20"/>
        <v>0</v>
      </c>
      <c r="N56" s="272" t="str">
        <f t="shared" si="21"/>
        <v>OK</v>
      </c>
      <c r="P56" s="23"/>
      <c r="Q56" s="23"/>
      <c r="R56" s="23"/>
    </row>
    <row r="57" spans="1:18">
      <c r="A57" s="22">
        <v>23359500</v>
      </c>
      <c r="B57" s="23" t="s">
        <v>36</v>
      </c>
      <c r="C57" s="34" t="s">
        <v>1008</v>
      </c>
      <c r="D57" s="34"/>
      <c r="F57" s="36" t="s">
        <v>204</v>
      </c>
      <c r="G57" s="23">
        <v>1748249.4</v>
      </c>
      <c r="H57" s="23">
        <v>1748249.4</v>
      </c>
      <c r="I57" s="37">
        <v>44512</v>
      </c>
      <c r="J57" s="37">
        <f t="shared" si="17"/>
        <v>44542</v>
      </c>
      <c r="K57" s="38">
        <f t="shared" si="18"/>
        <v>30</v>
      </c>
      <c r="L57" s="38" t="str">
        <f t="shared" si="19"/>
        <v>Dejar al valor nominal</v>
      </c>
      <c r="M57" s="38">
        <f t="shared" si="20"/>
        <v>0</v>
      </c>
      <c r="N57" s="272" t="str">
        <f t="shared" si="21"/>
        <v>OK</v>
      </c>
      <c r="P57" s="23"/>
      <c r="Q57" s="23"/>
      <c r="R57" s="23"/>
    </row>
    <row r="58" spans="1:18">
      <c r="A58" s="22">
        <v>23359500</v>
      </c>
      <c r="B58" s="23" t="s">
        <v>36</v>
      </c>
      <c r="C58" s="34" t="s">
        <v>1008</v>
      </c>
      <c r="D58" s="34"/>
      <c r="F58" s="36" t="s">
        <v>204</v>
      </c>
      <c r="G58" s="23">
        <v>2232104.83</v>
      </c>
      <c r="H58" s="23">
        <v>2232104.83</v>
      </c>
      <c r="I58" s="37">
        <v>44512</v>
      </c>
      <c r="J58" s="37">
        <f t="shared" si="17"/>
        <v>44542</v>
      </c>
      <c r="K58" s="38">
        <f t="shared" si="18"/>
        <v>30</v>
      </c>
      <c r="L58" s="38" t="str">
        <f t="shared" si="19"/>
        <v>Dejar al valor nominal</v>
      </c>
      <c r="M58" s="38">
        <f t="shared" si="20"/>
        <v>0</v>
      </c>
      <c r="N58" s="272" t="str">
        <f t="shared" si="21"/>
        <v>OK</v>
      </c>
      <c r="P58" s="23"/>
      <c r="Q58" s="23"/>
      <c r="R58" s="23"/>
    </row>
    <row r="59" spans="1:18">
      <c r="A59" s="22">
        <v>23359500</v>
      </c>
      <c r="B59" s="23" t="s">
        <v>36</v>
      </c>
      <c r="C59" s="34" t="s">
        <v>1008</v>
      </c>
      <c r="D59" s="34"/>
      <c r="F59" s="36" t="s">
        <v>204</v>
      </c>
      <c r="G59" s="23">
        <v>1396061.15</v>
      </c>
      <c r="H59" s="23">
        <v>1396061.15</v>
      </c>
      <c r="I59" s="37">
        <v>44512</v>
      </c>
      <c r="J59" s="37">
        <f t="shared" si="17"/>
        <v>44542</v>
      </c>
      <c r="K59" s="38">
        <f t="shared" si="18"/>
        <v>30</v>
      </c>
      <c r="L59" s="38" t="str">
        <f t="shared" si="19"/>
        <v>Dejar al valor nominal</v>
      </c>
      <c r="M59" s="38">
        <f t="shared" si="20"/>
        <v>0</v>
      </c>
      <c r="N59" s="272" t="str">
        <f t="shared" si="21"/>
        <v>OK</v>
      </c>
      <c r="P59" s="23"/>
      <c r="Q59" s="23"/>
      <c r="R59" s="23"/>
    </row>
    <row r="60" spans="1:18">
      <c r="A60" s="22">
        <v>23359500</v>
      </c>
      <c r="B60" s="23" t="s">
        <v>36</v>
      </c>
      <c r="C60" s="34" t="s">
        <v>1008</v>
      </c>
      <c r="D60" s="34"/>
      <c r="F60" s="36" t="s">
        <v>204</v>
      </c>
      <c r="G60" s="23">
        <v>586670</v>
      </c>
      <c r="H60" s="23">
        <v>586670</v>
      </c>
      <c r="I60" s="37">
        <v>44537</v>
      </c>
      <c r="J60" s="37">
        <f t="shared" si="17"/>
        <v>44567</v>
      </c>
      <c r="K60" s="38">
        <f t="shared" si="18"/>
        <v>30</v>
      </c>
      <c r="L60" s="38" t="str">
        <f t="shared" si="19"/>
        <v>Dejar al valor nominal</v>
      </c>
      <c r="M60" s="38">
        <f t="shared" si="20"/>
        <v>0</v>
      </c>
      <c r="N60" s="272" t="str">
        <f t="shared" si="21"/>
        <v>OK</v>
      </c>
      <c r="P60" s="23"/>
      <c r="Q60" s="23"/>
      <c r="R60" s="23"/>
    </row>
    <row r="61" spans="1:18">
      <c r="A61" s="22">
        <v>23359500</v>
      </c>
      <c r="B61" s="23" t="s">
        <v>36</v>
      </c>
      <c r="C61" s="34" t="s">
        <v>1008</v>
      </c>
      <c r="D61" s="34"/>
      <c r="F61" s="36" t="s">
        <v>204</v>
      </c>
      <c r="G61" s="23">
        <v>749105</v>
      </c>
      <c r="H61" s="23">
        <v>749105</v>
      </c>
      <c r="I61" s="37">
        <v>44537</v>
      </c>
      <c r="J61" s="37">
        <f t="shared" si="17"/>
        <v>44567</v>
      </c>
      <c r="K61" s="38">
        <f t="shared" si="18"/>
        <v>30</v>
      </c>
      <c r="L61" s="38" t="str">
        <f t="shared" si="19"/>
        <v>Dejar al valor nominal</v>
      </c>
      <c r="M61" s="38">
        <f t="shared" si="20"/>
        <v>0</v>
      </c>
      <c r="N61" s="272" t="str">
        <f t="shared" si="21"/>
        <v>OK</v>
      </c>
      <c r="P61" s="23"/>
      <c r="Q61" s="23"/>
      <c r="R61" s="23"/>
    </row>
    <row r="62" spans="1:18">
      <c r="A62" s="22">
        <v>23359500</v>
      </c>
      <c r="B62" s="23" t="s">
        <v>36</v>
      </c>
      <c r="C62" s="34" t="s">
        <v>1008</v>
      </c>
      <c r="D62" s="34"/>
      <c r="F62" s="36" t="s">
        <v>204</v>
      </c>
      <c r="G62" s="23">
        <v>501340</v>
      </c>
      <c r="H62" s="23">
        <v>501340</v>
      </c>
      <c r="I62" s="37">
        <v>44537</v>
      </c>
      <c r="J62" s="37">
        <f t="shared" si="17"/>
        <v>44567</v>
      </c>
      <c r="K62" s="38">
        <f t="shared" si="18"/>
        <v>30</v>
      </c>
      <c r="L62" s="38" t="str">
        <f t="shared" si="19"/>
        <v>Dejar al valor nominal</v>
      </c>
      <c r="M62" s="38">
        <f t="shared" si="20"/>
        <v>0</v>
      </c>
      <c r="N62" s="272" t="str">
        <f t="shared" si="21"/>
        <v>OK</v>
      </c>
      <c r="P62" s="23"/>
      <c r="Q62" s="23"/>
      <c r="R62" s="23"/>
    </row>
    <row r="63" spans="1:18">
      <c r="A63" s="22">
        <v>23359500</v>
      </c>
      <c r="B63" s="23" t="s">
        <v>36</v>
      </c>
      <c r="C63" s="34" t="s">
        <v>1008</v>
      </c>
      <c r="D63" s="34"/>
      <c r="F63" s="36" t="s">
        <v>204</v>
      </c>
      <c r="G63" s="23">
        <v>1011500</v>
      </c>
      <c r="H63" s="23">
        <v>1011500</v>
      </c>
      <c r="I63" s="37">
        <v>44537</v>
      </c>
      <c r="J63" s="37">
        <f t="shared" si="17"/>
        <v>44567</v>
      </c>
      <c r="K63" s="38">
        <f t="shared" si="18"/>
        <v>30</v>
      </c>
      <c r="L63" s="38" t="str">
        <f t="shared" si="19"/>
        <v>Dejar al valor nominal</v>
      </c>
      <c r="M63" s="38">
        <f t="shared" si="20"/>
        <v>0</v>
      </c>
      <c r="N63" s="272" t="str">
        <f t="shared" si="21"/>
        <v>OK</v>
      </c>
      <c r="P63" s="23"/>
      <c r="Q63" s="23"/>
      <c r="R63" s="23"/>
    </row>
    <row r="64" spans="1:18">
      <c r="A64" s="22">
        <v>23359500</v>
      </c>
      <c r="B64" s="23" t="s">
        <v>36</v>
      </c>
      <c r="C64" s="34" t="s">
        <v>1008</v>
      </c>
      <c r="D64" s="34"/>
      <c r="F64" s="36" t="s">
        <v>204</v>
      </c>
      <c r="G64" s="23">
        <v>3438892.92</v>
      </c>
      <c r="H64" s="23">
        <v>3438892.92</v>
      </c>
      <c r="I64" s="37">
        <v>44544</v>
      </c>
      <c r="J64" s="37">
        <f t="shared" si="17"/>
        <v>44574</v>
      </c>
      <c r="K64" s="38">
        <f t="shared" si="18"/>
        <v>30</v>
      </c>
      <c r="L64" s="38" t="str">
        <f t="shared" si="19"/>
        <v>Dejar al valor nominal</v>
      </c>
      <c r="M64" s="38">
        <f t="shared" si="20"/>
        <v>0</v>
      </c>
      <c r="N64" s="272" t="str">
        <f t="shared" si="21"/>
        <v>OK</v>
      </c>
      <c r="P64" s="23"/>
      <c r="Q64" s="23"/>
      <c r="R64" s="23"/>
    </row>
    <row r="65" spans="1:18">
      <c r="A65" s="22">
        <v>23359500</v>
      </c>
      <c r="B65" s="23" t="s">
        <v>36</v>
      </c>
      <c r="C65" s="34" t="s">
        <v>1008</v>
      </c>
      <c r="D65" s="34"/>
      <c r="F65" s="36" t="s">
        <v>204</v>
      </c>
      <c r="G65" s="23">
        <v>5040000</v>
      </c>
      <c r="H65" s="23">
        <v>5040000</v>
      </c>
      <c r="I65" s="37">
        <v>44534</v>
      </c>
      <c r="J65" s="37">
        <f t="shared" si="17"/>
        <v>44564</v>
      </c>
      <c r="K65" s="38">
        <f t="shared" si="18"/>
        <v>30</v>
      </c>
      <c r="L65" s="38" t="str">
        <f t="shared" si="19"/>
        <v>Dejar al valor nominal</v>
      </c>
      <c r="M65" s="38">
        <f t="shared" si="20"/>
        <v>0</v>
      </c>
      <c r="N65" s="272" t="str">
        <f t="shared" si="21"/>
        <v>OK</v>
      </c>
      <c r="P65" s="23"/>
      <c r="Q65" s="23"/>
      <c r="R65" s="23"/>
    </row>
    <row r="66" spans="1:18">
      <c r="A66" s="22">
        <v>23359500</v>
      </c>
      <c r="B66" s="23" t="s">
        <v>36</v>
      </c>
      <c r="C66" s="34" t="s">
        <v>1008</v>
      </c>
      <c r="D66" s="34"/>
      <c r="F66" s="36" t="s">
        <v>204</v>
      </c>
      <c r="G66" s="23">
        <v>5817758</v>
      </c>
      <c r="H66" s="23">
        <v>5817758</v>
      </c>
      <c r="I66" s="37">
        <v>44537</v>
      </c>
      <c r="J66" s="37">
        <f t="shared" si="17"/>
        <v>44567</v>
      </c>
      <c r="K66" s="38">
        <f t="shared" si="18"/>
        <v>30</v>
      </c>
      <c r="L66" s="38" t="str">
        <f t="shared" si="19"/>
        <v>Dejar al valor nominal</v>
      </c>
      <c r="M66" s="38">
        <f t="shared" si="20"/>
        <v>0</v>
      </c>
      <c r="N66" s="272" t="str">
        <f t="shared" si="21"/>
        <v>OK</v>
      </c>
      <c r="P66" s="23"/>
      <c r="Q66" s="23"/>
      <c r="R66" s="23"/>
    </row>
    <row r="67" spans="1:18">
      <c r="A67" s="22">
        <v>23359500</v>
      </c>
      <c r="B67" s="23" t="s">
        <v>36</v>
      </c>
      <c r="C67" s="34" t="s">
        <v>1008</v>
      </c>
      <c r="D67" s="34"/>
      <c r="F67" s="36" t="s">
        <v>204</v>
      </c>
      <c r="G67" s="23">
        <v>5019230</v>
      </c>
      <c r="H67" s="23">
        <v>5019230</v>
      </c>
      <c r="I67" s="37">
        <v>44537</v>
      </c>
      <c r="J67" s="37">
        <f t="shared" si="17"/>
        <v>44567</v>
      </c>
      <c r="K67" s="38">
        <f t="shared" si="18"/>
        <v>30</v>
      </c>
      <c r="L67" s="38" t="str">
        <f t="shared" si="19"/>
        <v>Dejar al valor nominal</v>
      </c>
      <c r="M67" s="38">
        <f t="shared" si="20"/>
        <v>0</v>
      </c>
      <c r="N67" s="272" t="str">
        <f t="shared" si="21"/>
        <v>OK</v>
      </c>
      <c r="P67" s="23"/>
      <c r="Q67" s="23"/>
      <c r="R67" s="23"/>
    </row>
    <row r="68" spans="1:18">
      <c r="A68" s="22">
        <v>23359500</v>
      </c>
      <c r="B68" s="23" t="s">
        <v>36</v>
      </c>
      <c r="C68" s="34" t="s">
        <v>1008</v>
      </c>
      <c r="D68" s="34"/>
      <c r="F68" s="36" t="s">
        <v>204</v>
      </c>
      <c r="G68" s="23">
        <v>5817758</v>
      </c>
      <c r="H68" s="23">
        <v>5817758</v>
      </c>
      <c r="I68" s="37">
        <v>44540</v>
      </c>
      <c r="J68" s="37">
        <f t="shared" si="17"/>
        <v>44570</v>
      </c>
      <c r="K68" s="38">
        <f t="shared" si="18"/>
        <v>30</v>
      </c>
      <c r="L68" s="38" t="str">
        <f t="shared" si="19"/>
        <v>Dejar al valor nominal</v>
      </c>
      <c r="M68" s="38">
        <f t="shared" si="20"/>
        <v>0</v>
      </c>
      <c r="N68" s="272" t="str">
        <f t="shared" si="21"/>
        <v>OK</v>
      </c>
      <c r="P68" s="23"/>
      <c r="Q68" s="23"/>
      <c r="R68" s="23"/>
    </row>
    <row r="69" spans="1:18">
      <c r="A69" s="22">
        <v>23359500</v>
      </c>
      <c r="B69" s="23" t="s">
        <v>36</v>
      </c>
      <c r="C69" s="34" t="s">
        <v>1008</v>
      </c>
      <c r="D69" s="34"/>
      <c r="F69" s="36" t="s">
        <v>204</v>
      </c>
      <c r="G69" s="23">
        <v>949838</v>
      </c>
      <c r="H69" s="23">
        <v>949838</v>
      </c>
      <c r="I69" s="37">
        <v>44540</v>
      </c>
      <c r="J69" s="37">
        <f t="shared" si="17"/>
        <v>44570</v>
      </c>
      <c r="K69" s="38">
        <f t="shared" si="18"/>
        <v>30</v>
      </c>
      <c r="L69" s="38" t="str">
        <f t="shared" si="19"/>
        <v>Dejar al valor nominal</v>
      </c>
      <c r="M69" s="38">
        <f t="shared" si="20"/>
        <v>0</v>
      </c>
      <c r="N69" s="272" t="str">
        <f t="shared" si="21"/>
        <v>OK</v>
      </c>
      <c r="P69" s="23"/>
      <c r="Q69" s="23"/>
      <c r="R69" s="23"/>
    </row>
    <row r="70" spans="1:18">
      <c r="A70" s="22">
        <v>23359500</v>
      </c>
      <c r="B70" s="23" t="s">
        <v>36</v>
      </c>
      <c r="C70" s="34" t="s">
        <v>1008</v>
      </c>
      <c r="D70" s="34"/>
      <c r="F70" s="36" t="s">
        <v>204</v>
      </c>
      <c r="G70" s="23">
        <v>94486</v>
      </c>
      <c r="H70" s="23">
        <v>94486</v>
      </c>
      <c r="I70" s="37">
        <v>44540</v>
      </c>
      <c r="J70" s="37">
        <f t="shared" si="17"/>
        <v>44570</v>
      </c>
      <c r="K70" s="38">
        <f t="shared" si="18"/>
        <v>30</v>
      </c>
      <c r="L70" s="38" t="str">
        <f t="shared" si="19"/>
        <v>Dejar al valor nominal</v>
      </c>
      <c r="M70" s="38">
        <f t="shared" si="20"/>
        <v>0</v>
      </c>
      <c r="N70" s="272" t="str">
        <f t="shared" si="21"/>
        <v>OK</v>
      </c>
      <c r="P70" s="23"/>
      <c r="Q70" s="23"/>
      <c r="R70" s="23"/>
    </row>
    <row r="71" spans="1:18">
      <c r="A71" s="22">
        <v>23359500</v>
      </c>
      <c r="B71" s="23" t="s">
        <v>36</v>
      </c>
      <c r="C71" s="34" t="s">
        <v>1008</v>
      </c>
      <c r="D71" s="34"/>
      <c r="F71" s="36" t="s">
        <v>204</v>
      </c>
      <c r="G71" s="23">
        <v>5817758</v>
      </c>
      <c r="H71" s="23">
        <v>5817758</v>
      </c>
      <c r="I71" s="37">
        <v>44542</v>
      </c>
      <c r="J71" s="37">
        <f t="shared" si="17"/>
        <v>44572</v>
      </c>
      <c r="K71" s="38">
        <f t="shared" si="18"/>
        <v>30</v>
      </c>
      <c r="L71" s="38" t="str">
        <f t="shared" si="19"/>
        <v>Dejar al valor nominal</v>
      </c>
      <c r="M71" s="38">
        <f t="shared" si="20"/>
        <v>0</v>
      </c>
      <c r="N71" s="272" t="str">
        <f t="shared" si="21"/>
        <v>OK</v>
      </c>
      <c r="P71" s="23"/>
      <c r="Q71" s="23"/>
      <c r="R71" s="23"/>
    </row>
    <row r="72" spans="1:18">
      <c r="A72" s="22">
        <v>23359500</v>
      </c>
      <c r="B72" s="23" t="s">
        <v>36</v>
      </c>
      <c r="C72" s="34" t="s">
        <v>1008</v>
      </c>
      <c r="D72" s="34"/>
      <c r="F72" s="36" t="s">
        <v>204</v>
      </c>
      <c r="G72" s="23">
        <v>5606287</v>
      </c>
      <c r="H72" s="23">
        <v>5606287</v>
      </c>
      <c r="I72" s="37">
        <v>44545</v>
      </c>
      <c r="J72" s="37">
        <f t="shared" si="17"/>
        <v>44575</v>
      </c>
      <c r="K72" s="38">
        <f t="shared" si="18"/>
        <v>30</v>
      </c>
      <c r="L72" s="38" t="str">
        <f t="shared" si="19"/>
        <v>Dejar al valor nominal</v>
      </c>
      <c r="M72" s="38">
        <f t="shared" si="20"/>
        <v>0</v>
      </c>
      <c r="N72" s="272" t="str">
        <f t="shared" si="21"/>
        <v>OK</v>
      </c>
      <c r="P72" s="23"/>
      <c r="Q72" s="23"/>
      <c r="R72" s="23"/>
    </row>
    <row r="73" spans="1:18">
      <c r="A73" s="22">
        <v>23359500</v>
      </c>
      <c r="B73" s="23" t="s">
        <v>36</v>
      </c>
      <c r="C73" s="34" t="s">
        <v>1008</v>
      </c>
      <c r="D73" s="34"/>
      <c r="F73" s="36" t="s">
        <v>204</v>
      </c>
      <c r="G73" s="23">
        <v>5817758</v>
      </c>
      <c r="H73" s="23">
        <v>5817758</v>
      </c>
      <c r="I73" s="37">
        <v>44545</v>
      </c>
      <c r="J73" s="37">
        <f t="shared" si="17"/>
        <v>44575</v>
      </c>
      <c r="K73" s="38">
        <f t="shared" si="18"/>
        <v>30</v>
      </c>
      <c r="L73" s="38" t="str">
        <f t="shared" si="19"/>
        <v>Dejar al valor nominal</v>
      </c>
      <c r="M73" s="38">
        <f t="shared" si="20"/>
        <v>0</v>
      </c>
      <c r="N73" s="272" t="str">
        <f t="shared" si="21"/>
        <v>OK</v>
      </c>
      <c r="P73" s="23"/>
      <c r="Q73" s="23"/>
      <c r="R73" s="23"/>
    </row>
    <row r="74" spans="1:18">
      <c r="A74" s="22">
        <v>23359500</v>
      </c>
      <c r="B74" s="23" t="s">
        <v>36</v>
      </c>
      <c r="C74" s="34" t="s">
        <v>1008</v>
      </c>
      <c r="D74" s="34"/>
      <c r="F74" s="36" t="s">
        <v>204</v>
      </c>
      <c r="G74" s="23">
        <v>5817758</v>
      </c>
      <c r="H74" s="23">
        <v>5817758</v>
      </c>
      <c r="I74" s="37">
        <v>44548</v>
      </c>
      <c r="J74" s="37">
        <f t="shared" si="17"/>
        <v>44578</v>
      </c>
      <c r="K74" s="38">
        <f t="shared" si="18"/>
        <v>30</v>
      </c>
      <c r="L74" s="38" t="str">
        <f t="shared" si="19"/>
        <v>Dejar al valor nominal</v>
      </c>
      <c r="M74" s="38">
        <f t="shared" si="20"/>
        <v>0</v>
      </c>
      <c r="N74" s="272" t="str">
        <f t="shared" si="21"/>
        <v>OK</v>
      </c>
      <c r="P74" s="23"/>
      <c r="Q74" s="23"/>
      <c r="R74" s="23"/>
    </row>
    <row r="75" spans="1:18">
      <c r="A75" s="22">
        <v>23359500</v>
      </c>
      <c r="B75" s="23" t="s">
        <v>36</v>
      </c>
      <c r="C75" s="34" t="s">
        <v>1008</v>
      </c>
      <c r="D75" s="34"/>
      <c r="F75" s="36" t="s">
        <v>204</v>
      </c>
      <c r="G75" s="23">
        <v>12828975</v>
      </c>
      <c r="H75" s="23">
        <v>12828975</v>
      </c>
      <c r="I75" s="37">
        <v>44548</v>
      </c>
      <c r="J75" s="37">
        <f t="shared" si="17"/>
        <v>44578</v>
      </c>
      <c r="K75" s="38">
        <f t="shared" si="18"/>
        <v>30</v>
      </c>
      <c r="L75" s="38" t="str">
        <f t="shared" si="19"/>
        <v>Dejar al valor nominal</v>
      </c>
      <c r="M75" s="38">
        <f t="shared" si="20"/>
        <v>0</v>
      </c>
      <c r="N75" s="272" t="str">
        <f t="shared" si="21"/>
        <v>OK</v>
      </c>
      <c r="P75" s="23"/>
      <c r="Q75" s="23"/>
      <c r="R75" s="23"/>
    </row>
    <row r="76" spans="1:18">
      <c r="A76" s="22">
        <v>23359500</v>
      </c>
      <c r="B76" s="23" t="s">
        <v>36</v>
      </c>
      <c r="C76" s="34" t="s">
        <v>1008</v>
      </c>
      <c r="D76" s="34"/>
      <c r="F76" s="36" t="s">
        <v>204</v>
      </c>
      <c r="G76" s="23">
        <v>5606286</v>
      </c>
      <c r="H76" s="23">
        <v>5606286</v>
      </c>
      <c r="I76" s="37">
        <v>44549</v>
      </c>
      <c r="J76" s="37">
        <f t="shared" si="17"/>
        <v>44579</v>
      </c>
      <c r="K76" s="38">
        <f t="shared" si="18"/>
        <v>30</v>
      </c>
      <c r="L76" s="38" t="str">
        <f t="shared" si="19"/>
        <v>Dejar al valor nominal</v>
      </c>
      <c r="M76" s="38">
        <f t="shared" si="20"/>
        <v>0</v>
      </c>
      <c r="N76" s="272" t="str">
        <f t="shared" si="21"/>
        <v>OK</v>
      </c>
      <c r="P76" s="23"/>
      <c r="Q76" s="23"/>
      <c r="R76" s="23"/>
    </row>
    <row r="77" spans="1:18">
      <c r="A77" s="22">
        <v>23359500</v>
      </c>
      <c r="B77" s="23" t="s">
        <v>36</v>
      </c>
      <c r="C77" s="34" t="s">
        <v>1008</v>
      </c>
      <c r="D77" s="34"/>
      <c r="F77" s="36" t="s">
        <v>204</v>
      </c>
      <c r="G77" s="23">
        <v>2968244</v>
      </c>
      <c r="H77" s="23">
        <v>2968244</v>
      </c>
      <c r="I77" s="37">
        <v>44549</v>
      </c>
      <c r="J77" s="37">
        <f t="shared" si="17"/>
        <v>44579</v>
      </c>
      <c r="K77" s="38">
        <f t="shared" si="18"/>
        <v>30</v>
      </c>
      <c r="L77" s="38" t="str">
        <f t="shared" si="19"/>
        <v>Dejar al valor nominal</v>
      </c>
      <c r="M77" s="38">
        <f t="shared" si="20"/>
        <v>0</v>
      </c>
      <c r="N77" s="272" t="str">
        <f t="shared" si="21"/>
        <v>OK</v>
      </c>
      <c r="P77" s="23"/>
      <c r="Q77" s="23"/>
      <c r="R77" s="23"/>
    </row>
    <row r="78" spans="1:18">
      <c r="A78" s="22">
        <v>23359500</v>
      </c>
      <c r="B78" s="23" t="s">
        <v>36</v>
      </c>
      <c r="C78" s="34" t="s">
        <v>1008</v>
      </c>
      <c r="D78" s="34"/>
      <c r="F78" s="36" t="s">
        <v>204</v>
      </c>
      <c r="G78" s="23">
        <v>5817758</v>
      </c>
      <c r="H78" s="23">
        <v>5817758</v>
      </c>
      <c r="I78" s="37">
        <v>44551</v>
      </c>
      <c r="J78" s="37">
        <f t="shared" si="17"/>
        <v>44581</v>
      </c>
      <c r="K78" s="38">
        <f t="shared" si="18"/>
        <v>30</v>
      </c>
      <c r="L78" s="38" t="str">
        <f t="shared" si="19"/>
        <v>Dejar al valor nominal</v>
      </c>
      <c r="M78" s="38">
        <f t="shared" si="20"/>
        <v>0</v>
      </c>
      <c r="N78" s="272" t="str">
        <f t="shared" si="21"/>
        <v>OK</v>
      </c>
      <c r="P78" s="23"/>
      <c r="Q78" s="23"/>
      <c r="R78" s="23"/>
    </row>
    <row r="79" spans="1:18">
      <c r="A79" s="22">
        <v>23359500</v>
      </c>
      <c r="B79" s="23" t="s">
        <v>36</v>
      </c>
      <c r="C79" s="34" t="s">
        <v>1008</v>
      </c>
      <c r="D79" s="34"/>
      <c r="F79" s="36" t="s">
        <v>204</v>
      </c>
      <c r="G79" s="23">
        <v>12487031</v>
      </c>
      <c r="H79" s="23">
        <v>12487031</v>
      </c>
      <c r="I79" s="37">
        <v>44551</v>
      </c>
      <c r="J79" s="37">
        <f t="shared" si="17"/>
        <v>44581</v>
      </c>
      <c r="K79" s="38">
        <f t="shared" si="18"/>
        <v>30</v>
      </c>
      <c r="L79" s="38" t="str">
        <f t="shared" si="19"/>
        <v>Dejar al valor nominal</v>
      </c>
      <c r="M79" s="38">
        <f t="shared" si="20"/>
        <v>0</v>
      </c>
      <c r="N79" s="272" t="str">
        <f t="shared" si="21"/>
        <v>OK</v>
      </c>
      <c r="P79" s="23"/>
      <c r="Q79" s="23"/>
      <c r="R79" s="23"/>
    </row>
    <row r="80" spans="1:18">
      <c r="A80" s="22">
        <v>23359500</v>
      </c>
      <c r="B80" s="23" t="s">
        <v>36</v>
      </c>
      <c r="C80" s="34" t="s">
        <v>1008</v>
      </c>
      <c r="D80" s="34"/>
      <c r="F80" s="36" t="s">
        <v>204</v>
      </c>
      <c r="G80" s="23">
        <v>1756440</v>
      </c>
      <c r="H80" s="23">
        <v>1756440</v>
      </c>
      <c r="I80" s="37">
        <v>44552</v>
      </c>
      <c r="J80" s="37">
        <f t="shared" si="17"/>
        <v>44582</v>
      </c>
      <c r="K80" s="38">
        <f t="shared" si="18"/>
        <v>30</v>
      </c>
      <c r="L80" s="38" t="str">
        <f t="shared" si="19"/>
        <v>Dejar al valor nominal</v>
      </c>
      <c r="M80" s="38">
        <f t="shared" si="20"/>
        <v>0</v>
      </c>
      <c r="N80" s="272" t="str">
        <f t="shared" si="21"/>
        <v>OK</v>
      </c>
      <c r="P80" s="23"/>
      <c r="Q80" s="23"/>
      <c r="R80" s="23"/>
    </row>
    <row r="81" spans="1:18">
      <c r="A81" s="22">
        <v>23359500</v>
      </c>
      <c r="B81" s="23" t="s">
        <v>36</v>
      </c>
      <c r="C81" s="34" t="s">
        <v>1008</v>
      </c>
      <c r="D81" s="34"/>
      <c r="F81" s="36" t="s">
        <v>204</v>
      </c>
      <c r="G81" s="23">
        <v>93750</v>
      </c>
      <c r="H81" s="23">
        <v>93750</v>
      </c>
      <c r="I81" s="37">
        <v>44553</v>
      </c>
      <c r="J81" s="37">
        <f t="shared" si="17"/>
        <v>44583</v>
      </c>
      <c r="K81" s="38">
        <f t="shared" si="18"/>
        <v>30</v>
      </c>
      <c r="L81" s="38" t="str">
        <f t="shared" si="19"/>
        <v>Dejar al valor nominal</v>
      </c>
      <c r="M81" s="38">
        <f t="shared" si="20"/>
        <v>0</v>
      </c>
      <c r="N81" s="272" t="str">
        <f t="shared" si="21"/>
        <v>OK</v>
      </c>
      <c r="P81" s="23"/>
      <c r="Q81" s="23"/>
      <c r="R81" s="23"/>
    </row>
    <row r="82" spans="1:18">
      <c r="A82" s="22">
        <v>23359500</v>
      </c>
      <c r="B82" s="23" t="s">
        <v>36</v>
      </c>
      <c r="C82" s="34" t="s">
        <v>1008</v>
      </c>
      <c r="D82" s="34"/>
      <c r="F82" s="36" t="s">
        <v>204</v>
      </c>
      <c r="G82" s="23">
        <v>6411407</v>
      </c>
      <c r="H82" s="23">
        <v>6411407</v>
      </c>
      <c r="I82" s="37">
        <v>44554</v>
      </c>
      <c r="J82" s="37">
        <f t="shared" si="17"/>
        <v>44584</v>
      </c>
      <c r="K82" s="38">
        <f t="shared" si="18"/>
        <v>30</v>
      </c>
      <c r="L82" s="38" t="str">
        <f t="shared" si="19"/>
        <v>Dejar al valor nominal</v>
      </c>
      <c r="M82" s="38">
        <f t="shared" si="20"/>
        <v>0</v>
      </c>
      <c r="N82" s="272" t="str">
        <f t="shared" si="21"/>
        <v>OK</v>
      </c>
      <c r="P82" s="23"/>
      <c r="Q82" s="23"/>
      <c r="R82" s="23"/>
    </row>
    <row r="83" spans="1:18">
      <c r="A83" s="22">
        <v>23359500</v>
      </c>
      <c r="B83" s="23" t="s">
        <v>36</v>
      </c>
      <c r="C83" s="34" t="s">
        <v>1008</v>
      </c>
      <c r="D83" s="34"/>
      <c r="F83" s="36" t="s">
        <v>204</v>
      </c>
      <c r="G83" s="23">
        <v>6411407</v>
      </c>
      <c r="H83" s="23">
        <v>6411407</v>
      </c>
      <c r="I83" s="37">
        <v>44559</v>
      </c>
      <c r="J83" s="37">
        <f t="shared" si="17"/>
        <v>44589</v>
      </c>
      <c r="K83" s="38">
        <f t="shared" si="18"/>
        <v>30</v>
      </c>
      <c r="L83" s="38" t="str">
        <f t="shared" si="19"/>
        <v>Dejar al valor nominal</v>
      </c>
      <c r="M83" s="38">
        <f t="shared" si="20"/>
        <v>0</v>
      </c>
      <c r="N83" s="272" t="str">
        <f t="shared" si="21"/>
        <v>OK</v>
      </c>
      <c r="P83" s="23"/>
      <c r="Q83" s="23"/>
      <c r="R83" s="23"/>
    </row>
    <row r="84" spans="1:18">
      <c r="A84" s="22">
        <v>23359500</v>
      </c>
      <c r="B84" s="23" t="s">
        <v>36</v>
      </c>
      <c r="C84" s="34" t="s">
        <v>1008</v>
      </c>
      <c r="D84" s="34"/>
      <c r="F84" s="36" t="s">
        <v>204</v>
      </c>
      <c r="G84" s="23">
        <v>85000</v>
      </c>
      <c r="H84" s="23">
        <v>85000</v>
      </c>
      <c r="I84" s="37">
        <v>44543</v>
      </c>
      <c r="J84" s="37">
        <f t="shared" si="17"/>
        <v>44573</v>
      </c>
      <c r="K84" s="38">
        <f t="shared" si="18"/>
        <v>30</v>
      </c>
      <c r="L84" s="38" t="str">
        <f t="shared" si="19"/>
        <v>Dejar al valor nominal</v>
      </c>
      <c r="M84" s="38">
        <f t="shared" si="20"/>
        <v>0</v>
      </c>
      <c r="N84" s="272" t="str">
        <f t="shared" si="21"/>
        <v>OK</v>
      </c>
      <c r="P84" s="23"/>
      <c r="Q84" s="23"/>
      <c r="R84" s="23"/>
    </row>
    <row r="85" spans="1:18">
      <c r="A85" s="22">
        <v>23359500</v>
      </c>
      <c r="B85" s="23" t="s">
        <v>36</v>
      </c>
      <c r="C85" s="34" t="s">
        <v>1008</v>
      </c>
      <c r="D85" s="34"/>
      <c r="F85" s="36" t="s">
        <v>204</v>
      </c>
      <c r="G85" s="23">
        <v>40000</v>
      </c>
      <c r="H85" s="23">
        <v>40000</v>
      </c>
      <c r="I85" s="37">
        <v>44552</v>
      </c>
      <c r="J85" s="37">
        <f t="shared" si="17"/>
        <v>44582</v>
      </c>
      <c r="K85" s="38">
        <f t="shared" si="18"/>
        <v>30</v>
      </c>
      <c r="L85" s="38" t="str">
        <f t="shared" si="19"/>
        <v>Dejar al valor nominal</v>
      </c>
      <c r="M85" s="38">
        <f t="shared" si="20"/>
        <v>0</v>
      </c>
      <c r="N85" s="272" t="str">
        <f t="shared" si="21"/>
        <v>OK</v>
      </c>
      <c r="P85" s="23"/>
      <c r="Q85" s="23"/>
      <c r="R85" s="23"/>
    </row>
    <row r="86" spans="1:18">
      <c r="A86" s="22">
        <v>23359500</v>
      </c>
      <c r="B86" s="23" t="s">
        <v>36</v>
      </c>
      <c r="C86" s="34" t="s">
        <v>1008</v>
      </c>
      <c r="D86" s="34"/>
      <c r="F86" s="36" t="s">
        <v>204</v>
      </c>
      <c r="G86" s="23">
        <v>1161580</v>
      </c>
      <c r="H86" s="23">
        <v>1161580</v>
      </c>
      <c r="I86" s="37">
        <v>44503</v>
      </c>
      <c r="J86" s="37">
        <f t="shared" si="17"/>
        <v>44533</v>
      </c>
      <c r="K86" s="38">
        <f t="shared" si="18"/>
        <v>30</v>
      </c>
      <c r="L86" s="38" t="str">
        <f t="shared" si="19"/>
        <v>Dejar al valor nominal</v>
      </c>
      <c r="M86" s="38">
        <f t="shared" si="20"/>
        <v>0</v>
      </c>
      <c r="N86" s="272" t="str">
        <f t="shared" si="21"/>
        <v>OK</v>
      </c>
      <c r="P86" s="23"/>
      <c r="Q86" s="23"/>
      <c r="R86" s="23"/>
    </row>
    <row r="87" spans="1:18">
      <c r="A87" s="22">
        <v>23359500</v>
      </c>
      <c r="B87" s="23" t="s">
        <v>36</v>
      </c>
      <c r="C87" s="34" t="s">
        <v>1008</v>
      </c>
      <c r="D87" s="34"/>
      <c r="F87" s="36" t="s">
        <v>204</v>
      </c>
      <c r="G87" s="23">
        <v>1470000</v>
      </c>
      <c r="H87" s="23">
        <v>1470000</v>
      </c>
      <c r="I87" s="37">
        <v>44524</v>
      </c>
      <c r="J87" s="37">
        <f t="shared" si="17"/>
        <v>44554</v>
      </c>
      <c r="K87" s="38">
        <f t="shared" si="18"/>
        <v>30</v>
      </c>
      <c r="L87" s="38" t="str">
        <f t="shared" si="19"/>
        <v>Dejar al valor nominal</v>
      </c>
      <c r="M87" s="38">
        <f t="shared" si="20"/>
        <v>0</v>
      </c>
      <c r="N87" s="272" t="str">
        <f t="shared" si="21"/>
        <v>OK</v>
      </c>
      <c r="P87" s="23"/>
      <c r="Q87" s="23"/>
      <c r="R87" s="23"/>
    </row>
    <row r="88" spans="1:18">
      <c r="A88" s="22">
        <v>23359500</v>
      </c>
      <c r="B88" s="23" t="s">
        <v>36</v>
      </c>
      <c r="C88" s="34" t="s">
        <v>1008</v>
      </c>
      <c r="D88" s="34"/>
      <c r="F88" s="36" t="s">
        <v>204</v>
      </c>
      <c r="G88" s="23">
        <v>382475</v>
      </c>
      <c r="H88" s="23">
        <v>382475</v>
      </c>
      <c r="I88" s="37">
        <v>44527</v>
      </c>
      <c r="J88" s="37">
        <f t="shared" si="17"/>
        <v>44557</v>
      </c>
      <c r="K88" s="38">
        <f t="shared" si="18"/>
        <v>30</v>
      </c>
      <c r="L88" s="38" t="str">
        <f t="shared" si="19"/>
        <v>Dejar al valor nominal</v>
      </c>
      <c r="M88" s="38">
        <f t="shared" si="20"/>
        <v>0</v>
      </c>
      <c r="N88" s="272" t="str">
        <f t="shared" si="21"/>
        <v>OK</v>
      </c>
      <c r="P88" s="23"/>
      <c r="Q88" s="23"/>
      <c r="R88" s="23"/>
    </row>
    <row r="89" spans="1:18">
      <c r="A89" s="22">
        <v>23359500</v>
      </c>
      <c r="B89" s="23" t="s">
        <v>36</v>
      </c>
      <c r="C89" s="34" t="s">
        <v>1008</v>
      </c>
      <c r="D89" s="34"/>
      <c r="F89" s="36" t="s">
        <v>204</v>
      </c>
      <c r="G89" s="23">
        <v>90000</v>
      </c>
      <c r="H89" s="23">
        <v>90000</v>
      </c>
      <c r="I89" s="37">
        <v>44532</v>
      </c>
      <c r="J89" s="37">
        <f t="shared" si="17"/>
        <v>44562</v>
      </c>
      <c r="K89" s="38">
        <f t="shared" si="18"/>
        <v>30</v>
      </c>
      <c r="L89" s="38" t="str">
        <f t="shared" si="19"/>
        <v>Dejar al valor nominal</v>
      </c>
      <c r="M89" s="38">
        <f t="shared" si="20"/>
        <v>0</v>
      </c>
      <c r="N89" s="272" t="str">
        <f t="shared" si="21"/>
        <v>OK</v>
      </c>
      <c r="P89" s="23"/>
      <c r="Q89" s="23"/>
      <c r="R89" s="23"/>
    </row>
    <row r="90" spans="1:18">
      <c r="A90" s="22">
        <v>23359500</v>
      </c>
      <c r="B90" s="23" t="s">
        <v>36</v>
      </c>
      <c r="C90" s="34" t="s">
        <v>1008</v>
      </c>
      <c r="D90" s="34"/>
      <c r="F90" s="36" t="s">
        <v>204</v>
      </c>
      <c r="G90" s="23">
        <v>1255000</v>
      </c>
      <c r="H90" s="23">
        <v>1255000</v>
      </c>
      <c r="I90" s="37">
        <v>44533</v>
      </c>
      <c r="J90" s="37">
        <f t="shared" si="17"/>
        <v>44563</v>
      </c>
      <c r="K90" s="38">
        <f t="shared" si="18"/>
        <v>30</v>
      </c>
      <c r="L90" s="38" t="str">
        <f t="shared" si="19"/>
        <v>Dejar al valor nominal</v>
      </c>
      <c r="M90" s="38">
        <f t="shared" si="20"/>
        <v>0</v>
      </c>
      <c r="N90" s="272" t="str">
        <f t="shared" si="21"/>
        <v>OK</v>
      </c>
      <c r="P90" s="23"/>
      <c r="Q90" s="23"/>
      <c r="R90" s="23"/>
    </row>
    <row r="91" spans="1:18">
      <c r="A91" s="22">
        <v>23359500</v>
      </c>
      <c r="B91" s="23" t="s">
        <v>36</v>
      </c>
      <c r="C91" s="34" t="s">
        <v>1008</v>
      </c>
      <c r="D91" s="34"/>
      <c r="F91" s="36" t="s">
        <v>204</v>
      </c>
      <c r="G91" s="23">
        <v>1750500</v>
      </c>
      <c r="H91" s="23">
        <v>1750500</v>
      </c>
      <c r="I91" s="37">
        <v>44539</v>
      </c>
      <c r="J91" s="37">
        <f t="shared" si="17"/>
        <v>44569</v>
      </c>
      <c r="K91" s="38">
        <f t="shared" si="18"/>
        <v>30</v>
      </c>
      <c r="L91" s="38" t="str">
        <f t="shared" si="19"/>
        <v>Dejar al valor nominal</v>
      </c>
      <c r="M91" s="38">
        <f t="shared" si="20"/>
        <v>0</v>
      </c>
      <c r="N91" s="272" t="str">
        <f t="shared" si="21"/>
        <v>OK</v>
      </c>
      <c r="P91" s="23"/>
      <c r="Q91" s="23"/>
      <c r="R91" s="23"/>
    </row>
    <row r="92" spans="1:18">
      <c r="A92" s="22">
        <v>23359500</v>
      </c>
      <c r="B92" s="23" t="s">
        <v>36</v>
      </c>
      <c r="C92" s="34" t="s">
        <v>1008</v>
      </c>
      <c r="D92" s="34"/>
      <c r="F92" s="36" t="s">
        <v>204</v>
      </c>
      <c r="G92" s="23">
        <v>720420</v>
      </c>
      <c r="H92" s="23">
        <v>720420</v>
      </c>
      <c r="I92" s="37">
        <v>44544</v>
      </c>
      <c r="J92" s="37">
        <f t="shared" si="17"/>
        <v>44574</v>
      </c>
      <c r="K92" s="38">
        <f t="shared" si="18"/>
        <v>30</v>
      </c>
      <c r="L92" s="38" t="str">
        <f t="shared" si="19"/>
        <v>Dejar al valor nominal</v>
      </c>
      <c r="M92" s="38">
        <f t="shared" si="20"/>
        <v>0</v>
      </c>
      <c r="N92" s="272" t="str">
        <f t="shared" si="21"/>
        <v>OK</v>
      </c>
      <c r="P92" s="23"/>
      <c r="Q92" s="23"/>
      <c r="R92" s="23"/>
    </row>
    <row r="93" spans="1:18">
      <c r="A93" s="22">
        <v>23359500</v>
      </c>
      <c r="B93" s="23" t="s">
        <v>36</v>
      </c>
      <c r="C93" s="34" t="s">
        <v>1008</v>
      </c>
      <c r="D93" s="34"/>
      <c r="F93" s="36" t="s">
        <v>204</v>
      </c>
      <c r="G93" s="23">
        <v>97500</v>
      </c>
      <c r="H93" s="23">
        <v>97500</v>
      </c>
      <c r="I93" s="37">
        <v>44546</v>
      </c>
      <c r="J93" s="37">
        <f t="shared" si="17"/>
        <v>44576</v>
      </c>
      <c r="K93" s="38">
        <f t="shared" si="18"/>
        <v>30</v>
      </c>
      <c r="L93" s="38" t="str">
        <f t="shared" si="19"/>
        <v>Dejar al valor nominal</v>
      </c>
      <c r="M93" s="38">
        <f t="shared" si="20"/>
        <v>0</v>
      </c>
      <c r="N93" s="272" t="str">
        <f t="shared" si="21"/>
        <v>OK</v>
      </c>
      <c r="P93" s="23"/>
      <c r="Q93" s="23"/>
      <c r="R93" s="23"/>
    </row>
    <row r="94" spans="1:18">
      <c r="A94" s="22">
        <v>23359500</v>
      </c>
      <c r="B94" s="23" t="s">
        <v>36</v>
      </c>
      <c r="C94" s="34" t="s">
        <v>1008</v>
      </c>
      <c r="D94" s="34"/>
      <c r="F94" s="36" t="s">
        <v>204</v>
      </c>
      <c r="G94" s="23">
        <v>2450000</v>
      </c>
      <c r="H94" s="23">
        <v>2450000</v>
      </c>
      <c r="I94" s="37">
        <v>44548</v>
      </c>
      <c r="J94" s="37">
        <f t="shared" si="17"/>
        <v>44578</v>
      </c>
      <c r="K94" s="38">
        <f t="shared" si="18"/>
        <v>30</v>
      </c>
      <c r="L94" s="38" t="str">
        <f t="shared" si="19"/>
        <v>Dejar al valor nominal</v>
      </c>
      <c r="M94" s="38">
        <f t="shared" si="20"/>
        <v>0</v>
      </c>
      <c r="N94" s="272" t="str">
        <f t="shared" si="21"/>
        <v>OK</v>
      </c>
      <c r="P94" s="23"/>
      <c r="Q94" s="23"/>
      <c r="R94" s="23"/>
    </row>
    <row r="95" spans="1:18">
      <c r="A95" s="22">
        <v>23359500</v>
      </c>
      <c r="B95" s="23" t="s">
        <v>36</v>
      </c>
      <c r="C95" s="34" t="s">
        <v>1008</v>
      </c>
      <c r="D95" s="34"/>
      <c r="F95" s="36" t="s">
        <v>204</v>
      </c>
      <c r="G95" s="23">
        <v>850374</v>
      </c>
      <c r="H95" s="23">
        <v>850374</v>
      </c>
      <c r="I95" s="37">
        <v>44470</v>
      </c>
      <c r="J95" s="37">
        <f t="shared" si="17"/>
        <v>44500</v>
      </c>
      <c r="K95" s="38">
        <f t="shared" si="18"/>
        <v>30</v>
      </c>
      <c r="L95" s="38" t="str">
        <f t="shared" si="19"/>
        <v>Dejar al valor nominal</v>
      </c>
      <c r="M95" s="38">
        <f t="shared" si="20"/>
        <v>0</v>
      </c>
      <c r="N95" s="272" t="str">
        <f t="shared" si="21"/>
        <v>OK</v>
      </c>
      <c r="P95" s="23"/>
      <c r="Q95" s="23"/>
      <c r="R95" s="23"/>
    </row>
    <row r="96" spans="1:18">
      <c r="A96" s="22">
        <v>23359500</v>
      </c>
      <c r="B96" s="23" t="s">
        <v>36</v>
      </c>
      <c r="C96" s="34" t="s">
        <v>1008</v>
      </c>
      <c r="D96" s="34"/>
      <c r="F96" s="36" t="s">
        <v>204</v>
      </c>
      <c r="G96" s="23">
        <v>462672</v>
      </c>
      <c r="H96" s="23">
        <v>462672</v>
      </c>
      <c r="I96" s="37">
        <v>44478</v>
      </c>
      <c r="J96" s="37">
        <f t="shared" si="17"/>
        <v>44508</v>
      </c>
      <c r="K96" s="38">
        <f t="shared" si="18"/>
        <v>30</v>
      </c>
      <c r="L96" s="38" t="str">
        <f t="shared" si="19"/>
        <v>Dejar al valor nominal</v>
      </c>
      <c r="M96" s="38">
        <f t="shared" si="20"/>
        <v>0</v>
      </c>
      <c r="N96" s="272" t="str">
        <f t="shared" si="21"/>
        <v>OK</v>
      </c>
      <c r="P96" s="23"/>
      <c r="Q96" s="23"/>
      <c r="R96" s="23"/>
    </row>
    <row r="97" spans="1:18">
      <c r="A97" s="22">
        <v>23359500</v>
      </c>
      <c r="B97" s="23" t="s">
        <v>36</v>
      </c>
      <c r="C97" s="34" t="s">
        <v>1008</v>
      </c>
      <c r="D97" s="34"/>
      <c r="F97" s="36" t="s">
        <v>204</v>
      </c>
      <c r="G97" s="23">
        <v>2299535.54</v>
      </c>
      <c r="H97" s="23">
        <v>2299535.54</v>
      </c>
      <c r="I97" s="37">
        <v>44503</v>
      </c>
      <c r="J97" s="37">
        <f t="shared" si="17"/>
        <v>44533</v>
      </c>
      <c r="K97" s="38">
        <f t="shared" si="18"/>
        <v>30</v>
      </c>
      <c r="L97" s="38" t="str">
        <f t="shared" si="19"/>
        <v>Dejar al valor nominal</v>
      </c>
      <c r="M97" s="38">
        <f t="shared" si="20"/>
        <v>0</v>
      </c>
      <c r="N97" s="272" t="str">
        <f t="shared" si="21"/>
        <v>OK</v>
      </c>
      <c r="P97" s="23"/>
      <c r="Q97" s="23"/>
      <c r="R97" s="23"/>
    </row>
    <row r="98" spans="1:18">
      <c r="A98" s="22">
        <v>23359500</v>
      </c>
      <c r="B98" s="23" t="s">
        <v>36</v>
      </c>
      <c r="C98" s="34" t="s">
        <v>1008</v>
      </c>
      <c r="D98" s="34"/>
      <c r="F98" s="36" t="s">
        <v>204</v>
      </c>
      <c r="G98" s="23">
        <v>2299535.54</v>
      </c>
      <c r="H98" s="23">
        <v>2299535.54</v>
      </c>
      <c r="I98" s="37">
        <v>44531</v>
      </c>
      <c r="J98" s="37">
        <f t="shared" ref="J98:J161" si="22">I98+30</f>
        <v>44561</v>
      </c>
      <c r="K98" s="38">
        <f t="shared" ref="K98:K161" si="23">IF(J98-I98&lt;0,"Error",J98-I98)</f>
        <v>30</v>
      </c>
      <c r="L98" s="38" t="str">
        <f t="shared" ref="L98:L161" si="24">IF(K98&gt;365,"Medir al costo amortizado","Dejar al valor nominal")</f>
        <v>Dejar al valor nominal</v>
      </c>
      <c r="M98" s="38">
        <f t="shared" ref="M98:M161" si="25">H98-G98</f>
        <v>0</v>
      </c>
      <c r="N98" s="272" t="str">
        <f t="shared" ref="N98:N161" si="26">IF($N$18-J98&gt;K98,"Revisar","OK")</f>
        <v>OK</v>
      </c>
      <c r="P98" s="23"/>
      <c r="Q98" s="23"/>
      <c r="R98" s="23"/>
    </row>
    <row r="99" spans="1:18">
      <c r="A99" s="22">
        <v>23359500</v>
      </c>
      <c r="B99" s="23" t="s">
        <v>36</v>
      </c>
      <c r="C99" s="34" t="s">
        <v>1008</v>
      </c>
      <c r="D99" s="34"/>
      <c r="F99" s="36" t="s">
        <v>204</v>
      </c>
      <c r="G99" s="23">
        <v>6152130</v>
      </c>
      <c r="H99" s="23">
        <v>6152130</v>
      </c>
      <c r="I99" s="37">
        <v>44561</v>
      </c>
      <c r="J99" s="37">
        <f t="shared" si="22"/>
        <v>44591</v>
      </c>
      <c r="K99" s="38">
        <f t="shared" si="23"/>
        <v>30</v>
      </c>
      <c r="L99" s="38" t="str">
        <f t="shared" si="24"/>
        <v>Dejar al valor nominal</v>
      </c>
      <c r="M99" s="38">
        <f t="shared" si="25"/>
        <v>0</v>
      </c>
      <c r="N99" s="272" t="str">
        <f t="shared" si="26"/>
        <v>OK</v>
      </c>
      <c r="P99" s="23"/>
      <c r="Q99" s="23"/>
      <c r="R99" s="23"/>
    </row>
    <row r="100" spans="1:18">
      <c r="A100" s="22">
        <v>23359500</v>
      </c>
      <c r="B100" s="23" t="s">
        <v>36</v>
      </c>
      <c r="C100" s="34" t="s">
        <v>1008</v>
      </c>
      <c r="D100" s="34"/>
      <c r="F100" s="36" t="s">
        <v>204</v>
      </c>
      <c r="G100" s="23">
        <v>49620</v>
      </c>
      <c r="H100" s="23">
        <v>49620</v>
      </c>
      <c r="I100" s="37">
        <v>44561</v>
      </c>
      <c r="J100" s="37">
        <f t="shared" si="22"/>
        <v>44591</v>
      </c>
      <c r="K100" s="38">
        <f t="shared" si="23"/>
        <v>30</v>
      </c>
      <c r="L100" s="38" t="str">
        <f t="shared" si="24"/>
        <v>Dejar al valor nominal</v>
      </c>
      <c r="M100" s="38">
        <f t="shared" si="25"/>
        <v>0</v>
      </c>
      <c r="N100" s="272" t="str">
        <f t="shared" si="26"/>
        <v>OK</v>
      </c>
      <c r="P100" s="23"/>
      <c r="Q100" s="23"/>
      <c r="R100" s="23"/>
    </row>
    <row r="101" spans="1:18">
      <c r="A101" s="22">
        <v>23359500</v>
      </c>
      <c r="B101" s="23" t="s">
        <v>36</v>
      </c>
      <c r="C101" s="34" t="s">
        <v>1008</v>
      </c>
      <c r="D101" s="34"/>
      <c r="F101" s="36" t="s">
        <v>204</v>
      </c>
      <c r="G101" s="23">
        <v>2682750</v>
      </c>
      <c r="H101" s="23">
        <v>2682750</v>
      </c>
      <c r="I101" s="37">
        <v>44261</v>
      </c>
      <c r="J101" s="37">
        <f t="shared" si="22"/>
        <v>44291</v>
      </c>
      <c r="K101" s="38">
        <f t="shared" si="23"/>
        <v>30</v>
      </c>
      <c r="L101" s="38" t="str">
        <f t="shared" si="24"/>
        <v>Dejar al valor nominal</v>
      </c>
      <c r="M101" s="38">
        <f t="shared" si="25"/>
        <v>0</v>
      </c>
      <c r="N101" s="272" t="str">
        <f t="shared" si="26"/>
        <v>OK</v>
      </c>
      <c r="P101" s="23"/>
      <c r="Q101" s="23"/>
      <c r="R101" s="23"/>
    </row>
    <row r="102" spans="1:18">
      <c r="A102" s="22">
        <v>23359500</v>
      </c>
      <c r="B102" s="23" t="s">
        <v>36</v>
      </c>
      <c r="C102" s="34" t="s">
        <v>1008</v>
      </c>
      <c r="D102" s="34"/>
      <c r="F102" s="36" t="s">
        <v>204</v>
      </c>
      <c r="G102" s="23">
        <v>536550</v>
      </c>
      <c r="H102" s="23">
        <v>536550</v>
      </c>
      <c r="I102" s="37">
        <v>44491</v>
      </c>
      <c r="J102" s="37">
        <f t="shared" si="22"/>
        <v>44521</v>
      </c>
      <c r="K102" s="38">
        <f t="shared" si="23"/>
        <v>30</v>
      </c>
      <c r="L102" s="38" t="str">
        <f t="shared" si="24"/>
        <v>Dejar al valor nominal</v>
      </c>
      <c r="M102" s="38">
        <f t="shared" si="25"/>
        <v>0</v>
      </c>
      <c r="N102" s="272" t="str">
        <f t="shared" si="26"/>
        <v>OK</v>
      </c>
      <c r="P102" s="23"/>
      <c r="Q102" s="23"/>
      <c r="R102" s="23"/>
    </row>
    <row r="103" spans="1:18">
      <c r="A103" s="22">
        <v>23359500</v>
      </c>
      <c r="B103" s="23" t="s">
        <v>36</v>
      </c>
      <c r="C103" s="34" t="s">
        <v>1008</v>
      </c>
      <c r="D103" s="34"/>
      <c r="F103" s="36" t="s">
        <v>204</v>
      </c>
      <c r="G103" s="23">
        <v>540839</v>
      </c>
      <c r="H103" s="23">
        <v>540839</v>
      </c>
      <c r="I103" s="37">
        <v>44554</v>
      </c>
      <c r="J103" s="37">
        <f t="shared" si="22"/>
        <v>44584</v>
      </c>
      <c r="K103" s="38">
        <f t="shared" si="23"/>
        <v>30</v>
      </c>
      <c r="L103" s="38" t="str">
        <f t="shared" si="24"/>
        <v>Dejar al valor nominal</v>
      </c>
      <c r="M103" s="38">
        <f t="shared" si="25"/>
        <v>0</v>
      </c>
      <c r="N103" s="272" t="str">
        <f t="shared" si="26"/>
        <v>OK</v>
      </c>
      <c r="P103" s="23"/>
      <c r="Q103" s="23"/>
      <c r="R103" s="23"/>
    </row>
    <row r="104" spans="1:18">
      <c r="A104" s="22">
        <v>23359500</v>
      </c>
      <c r="B104" s="23" t="s">
        <v>36</v>
      </c>
      <c r="C104" s="34" t="s">
        <v>1008</v>
      </c>
      <c r="D104" s="34"/>
      <c r="F104" s="36" t="s">
        <v>204</v>
      </c>
      <c r="G104" s="23">
        <v>88490</v>
      </c>
      <c r="H104" s="23">
        <v>88490</v>
      </c>
      <c r="I104" s="37">
        <v>44557</v>
      </c>
      <c r="J104" s="37">
        <f t="shared" si="22"/>
        <v>44587</v>
      </c>
      <c r="K104" s="38">
        <f t="shared" si="23"/>
        <v>30</v>
      </c>
      <c r="L104" s="38" t="str">
        <f t="shared" si="24"/>
        <v>Dejar al valor nominal</v>
      </c>
      <c r="M104" s="38">
        <f t="shared" si="25"/>
        <v>0</v>
      </c>
      <c r="N104" s="272" t="str">
        <f t="shared" si="26"/>
        <v>OK</v>
      </c>
      <c r="P104" s="23"/>
      <c r="Q104" s="23"/>
      <c r="R104" s="23"/>
    </row>
    <row r="105" spans="1:18">
      <c r="A105" s="22">
        <v>23359500</v>
      </c>
      <c r="B105" s="23" t="s">
        <v>36</v>
      </c>
      <c r="C105" s="34" t="s">
        <v>1008</v>
      </c>
      <c r="D105" s="34"/>
      <c r="F105" s="36" t="s">
        <v>204</v>
      </c>
      <c r="G105" s="23">
        <v>62400</v>
      </c>
      <c r="H105" s="23">
        <v>62400</v>
      </c>
      <c r="I105" s="37">
        <v>44561</v>
      </c>
      <c r="J105" s="37">
        <f t="shared" si="22"/>
        <v>44591</v>
      </c>
      <c r="K105" s="38">
        <f t="shared" si="23"/>
        <v>30</v>
      </c>
      <c r="L105" s="38" t="str">
        <f t="shared" si="24"/>
        <v>Dejar al valor nominal</v>
      </c>
      <c r="M105" s="38">
        <f t="shared" si="25"/>
        <v>0</v>
      </c>
      <c r="N105" s="272" t="str">
        <f t="shared" si="26"/>
        <v>OK</v>
      </c>
      <c r="P105" s="23"/>
      <c r="Q105" s="23"/>
      <c r="R105" s="23"/>
    </row>
    <row r="106" spans="1:18">
      <c r="A106" s="22">
        <v>23359500</v>
      </c>
      <c r="B106" s="23" t="s">
        <v>36</v>
      </c>
      <c r="C106" s="34" t="s">
        <v>1008</v>
      </c>
      <c r="D106" s="34"/>
      <c r="F106" s="36" t="s">
        <v>204</v>
      </c>
      <c r="G106" s="23">
        <v>37500</v>
      </c>
      <c r="H106" s="23">
        <v>37500</v>
      </c>
      <c r="I106" s="37">
        <v>44561</v>
      </c>
      <c r="J106" s="37">
        <f t="shared" si="22"/>
        <v>44591</v>
      </c>
      <c r="K106" s="38">
        <f t="shared" si="23"/>
        <v>30</v>
      </c>
      <c r="L106" s="38" t="str">
        <f t="shared" si="24"/>
        <v>Dejar al valor nominal</v>
      </c>
      <c r="M106" s="38">
        <f t="shared" si="25"/>
        <v>0</v>
      </c>
      <c r="N106" s="272" t="str">
        <f t="shared" si="26"/>
        <v>OK</v>
      </c>
      <c r="P106" s="23"/>
      <c r="Q106" s="23"/>
      <c r="R106" s="23"/>
    </row>
    <row r="107" spans="1:18">
      <c r="A107" s="22">
        <v>23359500</v>
      </c>
      <c r="B107" s="23" t="s">
        <v>36</v>
      </c>
      <c r="C107" s="34" t="s">
        <v>1008</v>
      </c>
      <c r="D107" s="34"/>
      <c r="F107" s="36" t="s">
        <v>204</v>
      </c>
      <c r="G107" s="23">
        <v>3934.05</v>
      </c>
      <c r="H107" s="23">
        <v>3934.05</v>
      </c>
      <c r="I107" s="37">
        <v>44546</v>
      </c>
      <c r="J107" s="37">
        <f t="shared" si="22"/>
        <v>44576</v>
      </c>
      <c r="K107" s="38">
        <f t="shared" si="23"/>
        <v>30</v>
      </c>
      <c r="L107" s="38" t="str">
        <f t="shared" si="24"/>
        <v>Dejar al valor nominal</v>
      </c>
      <c r="M107" s="38">
        <f t="shared" si="25"/>
        <v>0</v>
      </c>
      <c r="N107" s="272" t="str">
        <f t="shared" si="26"/>
        <v>OK</v>
      </c>
      <c r="P107" s="23"/>
      <c r="Q107" s="23"/>
      <c r="R107" s="23"/>
    </row>
    <row r="108" spans="1:18">
      <c r="A108" s="22">
        <v>23359500</v>
      </c>
      <c r="B108" s="23" t="s">
        <v>36</v>
      </c>
      <c r="C108" s="34" t="s">
        <v>1008</v>
      </c>
      <c r="D108" s="34"/>
      <c r="F108" s="36" t="s">
        <v>204</v>
      </c>
      <c r="G108" s="23">
        <v>9817494.5999999996</v>
      </c>
      <c r="H108" s="23">
        <v>9817494.5999999996</v>
      </c>
      <c r="I108" s="37">
        <v>44552</v>
      </c>
      <c r="J108" s="37">
        <f t="shared" si="22"/>
        <v>44582</v>
      </c>
      <c r="K108" s="38">
        <f t="shared" si="23"/>
        <v>30</v>
      </c>
      <c r="L108" s="38" t="str">
        <f t="shared" si="24"/>
        <v>Dejar al valor nominal</v>
      </c>
      <c r="M108" s="38">
        <f t="shared" si="25"/>
        <v>0</v>
      </c>
      <c r="N108" s="272" t="str">
        <f t="shared" si="26"/>
        <v>OK</v>
      </c>
      <c r="P108" s="23"/>
      <c r="Q108" s="23"/>
      <c r="R108" s="23"/>
    </row>
    <row r="109" spans="1:18">
      <c r="A109" s="22">
        <v>23359500</v>
      </c>
      <c r="B109" s="23" t="s">
        <v>36</v>
      </c>
      <c r="C109" s="34" t="s">
        <v>1008</v>
      </c>
      <c r="D109" s="34"/>
      <c r="F109" s="36" t="s">
        <v>204</v>
      </c>
      <c r="G109" s="23">
        <v>7792728</v>
      </c>
      <c r="H109" s="23">
        <v>7792728</v>
      </c>
      <c r="I109" s="37">
        <v>44509</v>
      </c>
      <c r="J109" s="37">
        <f t="shared" si="22"/>
        <v>44539</v>
      </c>
      <c r="K109" s="38">
        <f t="shared" si="23"/>
        <v>30</v>
      </c>
      <c r="L109" s="38" t="str">
        <f t="shared" si="24"/>
        <v>Dejar al valor nominal</v>
      </c>
      <c r="M109" s="38">
        <f t="shared" si="25"/>
        <v>0</v>
      </c>
      <c r="N109" s="272" t="str">
        <f t="shared" si="26"/>
        <v>OK</v>
      </c>
      <c r="P109" s="23"/>
      <c r="Q109" s="23"/>
      <c r="R109" s="23"/>
    </row>
    <row r="110" spans="1:18">
      <c r="A110" s="22">
        <v>23359500</v>
      </c>
      <c r="B110" s="23" t="s">
        <v>36</v>
      </c>
      <c r="C110" s="34" t="s">
        <v>1008</v>
      </c>
      <c r="D110" s="34"/>
      <c r="F110" s="36" t="s">
        <v>204</v>
      </c>
      <c r="G110" s="23">
        <v>7792728</v>
      </c>
      <c r="H110" s="23">
        <v>7792728</v>
      </c>
      <c r="I110" s="37">
        <v>44541</v>
      </c>
      <c r="J110" s="37">
        <f t="shared" si="22"/>
        <v>44571</v>
      </c>
      <c r="K110" s="38">
        <f t="shared" si="23"/>
        <v>30</v>
      </c>
      <c r="L110" s="38" t="str">
        <f t="shared" si="24"/>
        <v>Dejar al valor nominal</v>
      </c>
      <c r="M110" s="38">
        <f t="shared" si="25"/>
        <v>0</v>
      </c>
      <c r="N110" s="272" t="str">
        <f t="shared" si="26"/>
        <v>OK</v>
      </c>
      <c r="P110" s="23"/>
      <c r="Q110" s="23"/>
      <c r="R110" s="23"/>
    </row>
    <row r="111" spans="1:18">
      <c r="A111" s="22">
        <v>23359500</v>
      </c>
      <c r="B111" s="23" t="s">
        <v>36</v>
      </c>
      <c r="C111" s="34" t="s">
        <v>1008</v>
      </c>
      <c r="D111" s="34"/>
      <c r="F111" s="36" t="s">
        <v>204</v>
      </c>
      <c r="G111" s="23">
        <v>114000</v>
      </c>
      <c r="H111" s="23">
        <v>114000</v>
      </c>
      <c r="I111" s="37">
        <v>44545</v>
      </c>
      <c r="J111" s="37">
        <f t="shared" si="22"/>
        <v>44575</v>
      </c>
      <c r="K111" s="38">
        <f t="shared" si="23"/>
        <v>30</v>
      </c>
      <c r="L111" s="38" t="str">
        <f t="shared" si="24"/>
        <v>Dejar al valor nominal</v>
      </c>
      <c r="M111" s="38">
        <f t="shared" si="25"/>
        <v>0</v>
      </c>
      <c r="N111" s="272" t="str">
        <f t="shared" si="26"/>
        <v>OK</v>
      </c>
      <c r="P111" s="23"/>
      <c r="Q111" s="23"/>
      <c r="R111" s="23"/>
    </row>
    <row r="112" spans="1:18">
      <c r="A112" s="22">
        <v>23359500</v>
      </c>
      <c r="B112" s="23" t="s">
        <v>36</v>
      </c>
      <c r="C112" s="34" t="s">
        <v>1008</v>
      </c>
      <c r="D112" s="34"/>
      <c r="F112" s="36" t="s">
        <v>204</v>
      </c>
      <c r="G112" s="23">
        <v>354900</v>
      </c>
      <c r="H112" s="23">
        <v>354900</v>
      </c>
      <c r="I112" s="37">
        <v>44535</v>
      </c>
      <c r="J112" s="37">
        <f t="shared" si="22"/>
        <v>44565</v>
      </c>
      <c r="K112" s="38">
        <f t="shared" si="23"/>
        <v>30</v>
      </c>
      <c r="L112" s="38" t="str">
        <f t="shared" si="24"/>
        <v>Dejar al valor nominal</v>
      </c>
      <c r="M112" s="38">
        <f t="shared" si="25"/>
        <v>0</v>
      </c>
      <c r="N112" s="272" t="str">
        <f t="shared" si="26"/>
        <v>OK</v>
      </c>
      <c r="P112" s="23"/>
      <c r="Q112" s="23"/>
      <c r="R112" s="23"/>
    </row>
    <row r="113" spans="1:18">
      <c r="A113" s="22">
        <v>23359500</v>
      </c>
      <c r="B113" s="23" t="s">
        <v>36</v>
      </c>
      <c r="C113" s="34" t="s">
        <v>1008</v>
      </c>
      <c r="D113" s="34"/>
      <c r="F113" s="36" t="s">
        <v>204</v>
      </c>
      <c r="G113" s="23">
        <v>50000</v>
      </c>
      <c r="H113" s="23">
        <v>50000</v>
      </c>
      <c r="I113" s="37">
        <v>44535</v>
      </c>
      <c r="J113" s="37">
        <f t="shared" si="22"/>
        <v>44565</v>
      </c>
      <c r="K113" s="38">
        <f t="shared" si="23"/>
        <v>30</v>
      </c>
      <c r="L113" s="38" t="str">
        <f t="shared" si="24"/>
        <v>Dejar al valor nominal</v>
      </c>
      <c r="M113" s="38">
        <f t="shared" si="25"/>
        <v>0</v>
      </c>
      <c r="N113" s="272" t="str">
        <f t="shared" si="26"/>
        <v>OK</v>
      </c>
      <c r="P113" s="23"/>
      <c r="Q113" s="23"/>
      <c r="R113" s="23"/>
    </row>
    <row r="114" spans="1:18">
      <c r="A114" s="22">
        <v>23359500</v>
      </c>
      <c r="B114" s="23" t="s">
        <v>36</v>
      </c>
      <c r="C114" s="34" t="s">
        <v>1008</v>
      </c>
      <c r="D114" s="34"/>
      <c r="F114" s="36" t="s">
        <v>204</v>
      </c>
      <c r="G114" s="23">
        <v>1911250</v>
      </c>
      <c r="H114" s="23">
        <v>1911250</v>
      </c>
      <c r="I114" s="37">
        <v>44532</v>
      </c>
      <c r="J114" s="37">
        <f t="shared" si="22"/>
        <v>44562</v>
      </c>
      <c r="K114" s="38">
        <f t="shared" si="23"/>
        <v>30</v>
      </c>
      <c r="L114" s="38" t="str">
        <f t="shared" si="24"/>
        <v>Dejar al valor nominal</v>
      </c>
      <c r="M114" s="38">
        <f t="shared" si="25"/>
        <v>0</v>
      </c>
      <c r="N114" s="272" t="str">
        <f t="shared" si="26"/>
        <v>OK</v>
      </c>
      <c r="P114" s="23"/>
      <c r="Q114" s="23"/>
      <c r="R114" s="23"/>
    </row>
    <row r="115" spans="1:18">
      <c r="A115" s="22">
        <v>23359500</v>
      </c>
      <c r="B115" s="23" t="s">
        <v>36</v>
      </c>
      <c r="C115" s="34" t="s">
        <v>1008</v>
      </c>
      <c r="D115" s="34"/>
      <c r="F115" s="36" t="s">
        <v>204</v>
      </c>
      <c r="G115" s="23">
        <v>1735250</v>
      </c>
      <c r="H115" s="23">
        <v>1735250</v>
      </c>
      <c r="I115" s="37">
        <v>44532</v>
      </c>
      <c r="J115" s="37">
        <f t="shared" si="22"/>
        <v>44562</v>
      </c>
      <c r="K115" s="38">
        <f t="shared" si="23"/>
        <v>30</v>
      </c>
      <c r="L115" s="38" t="str">
        <f t="shared" si="24"/>
        <v>Dejar al valor nominal</v>
      </c>
      <c r="M115" s="38">
        <f t="shared" si="25"/>
        <v>0</v>
      </c>
      <c r="N115" s="272" t="str">
        <f t="shared" si="26"/>
        <v>OK</v>
      </c>
      <c r="P115" s="23"/>
      <c r="Q115" s="23"/>
      <c r="R115" s="23"/>
    </row>
    <row r="116" spans="1:18">
      <c r="A116" s="22">
        <v>23359500</v>
      </c>
      <c r="B116" s="23" t="s">
        <v>36</v>
      </c>
      <c r="C116" s="34" t="s">
        <v>1008</v>
      </c>
      <c r="D116" s="34"/>
      <c r="F116" s="36" t="s">
        <v>204</v>
      </c>
      <c r="G116" s="23">
        <v>8848850</v>
      </c>
      <c r="H116" s="23">
        <v>8848850</v>
      </c>
      <c r="I116" s="37">
        <v>44534</v>
      </c>
      <c r="J116" s="37">
        <f t="shared" si="22"/>
        <v>44564</v>
      </c>
      <c r="K116" s="38">
        <f t="shared" si="23"/>
        <v>30</v>
      </c>
      <c r="L116" s="38" t="str">
        <f t="shared" si="24"/>
        <v>Dejar al valor nominal</v>
      </c>
      <c r="M116" s="38">
        <f t="shared" si="25"/>
        <v>0</v>
      </c>
      <c r="N116" s="272" t="str">
        <f t="shared" si="26"/>
        <v>OK</v>
      </c>
      <c r="P116" s="23"/>
      <c r="Q116" s="23"/>
      <c r="R116" s="23"/>
    </row>
    <row r="117" spans="1:18">
      <c r="A117" s="22">
        <v>23359500</v>
      </c>
      <c r="B117" s="23" t="s">
        <v>36</v>
      </c>
      <c r="C117" s="34" t="s">
        <v>1008</v>
      </c>
      <c r="D117" s="34"/>
      <c r="F117" s="36" t="s">
        <v>204</v>
      </c>
      <c r="G117" s="23">
        <v>500500</v>
      </c>
      <c r="H117" s="23">
        <v>500500</v>
      </c>
      <c r="I117" s="37">
        <v>44534</v>
      </c>
      <c r="J117" s="37">
        <f t="shared" si="22"/>
        <v>44564</v>
      </c>
      <c r="K117" s="38">
        <f t="shared" si="23"/>
        <v>30</v>
      </c>
      <c r="L117" s="38" t="str">
        <f t="shared" si="24"/>
        <v>Dejar al valor nominal</v>
      </c>
      <c r="M117" s="38">
        <f t="shared" si="25"/>
        <v>0</v>
      </c>
      <c r="N117" s="272" t="str">
        <f t="shared" si="26"/>
        <v>OK</v>
      </c>
      <c r="P117" s="23"/>
      <c r="Q117" s="23"/>
      <c r="R117" s="23"/>
    </row>
    <row r="118" spans="1:18">
      <c r="A118" s="22">
        <v>23359500</v>
      </c>
      <c r="B118" s="23" t="s">
        <v>36</v>
      </c>
      <c r="C118" s="34" t="s">
        <v>1008</v>
      </c>
      <c r="D118" s="34"/>
      <c r="F118" s="36" t="s">
        <v>204</v>
      </c>
      <c r="G118" s="23">
        <v>11158850</v>
      </c>
      <c r="H118" s="23">
        <v>11158850</v>
      </c>
      <c r="I118" s="37">
        <v>44534</v>
      </c>
      <c r="J118" s="37">
        <f t="shared" si="22"/>
        <v>44564</v>
      </c>
      <c r="K118" s="38">
        <f t="shared" si="23"/>
        <v>30</v>
      </c>
      <c r="L118" s="38" t="str">
        <f t="shared" si="24"/>
        <v>Dejar al valor nominal</v>
      </c>
      <c r="M118" s="38">
        <f t="shared" si="25"/>
        <v>0</v>
      </c>
      <c r="N118" s="272" t="str">
        <f t="shared" si="26"/>
        <v>OK</v>
      </c>
      <c r="P118" s="23"/>
      <c r="Q118" s="23"/>
      <c r="R118" s="23"/>
    </row>
    <row r="119" spans="1:18">
      <c r="A119" s="22">
        <v>23359500</v>
      </c>
      <c r="B119" s="23" t="s">
        <v>36</v>
      </c>
      <c r="C119" s="34" t="s">
        <v>1008</v>
      </c>
      <c r="D119" s="34"/>
      <c r="F119" s="36" t="s">
        <v>204</v>
      </c>
      <c r="G119" s="23">
        <v>822250</v>
      </c>
      <c r="H119" s="23">
        <v>822250</v>
      </c>
      <c r="I119" s="37">
        <v>44534</v>
      </c>
      <c r="J119" s="37">
        <f t="shared" si="22"/>
        <v>44564</v>
      </c>
      <c r="K119" s="38">
        <f t="shared" si="23"/>
        <v>30</v>
      </c>
      <c r="L119" s="38" t="str">
        <f t="shared" si="24"/>
        <v>Dejar al valor nominal</v>
      </c>
      <c r="M119" s="38">
        <f t="shared" si="25"/>
        <v>0</v>
      </c>
      <c r="N119" s="272" t="str">
        <f t="shared" si="26"/>
        <v>OK</v>
      </c>
      <c r="P119" s="23"/>
      <c r="Q119" s="23"/>
      <c r="R119" s="23"/>
    </row>
    <row r="120" spans="1:18">
      <c r="A120" s="22">
        <v>23359500</v>
      </c>
      <c r="B120" s="23" t="s">
        <v>36</v>
      </c>
      <c r="C120" s="34" t="s">
        <v>1008</v>
      </c>
      <c r="D120" s="34"/>
      <c r="F120" s="36" t="s">
        <v>204</v>
      </c>
      <c r="G120" s="23">
        <v>9767350</v>
      </c>
      <c r="H120" s="23">
        <v>9767350</v>
      </c>
      <c r="I120" s="37">
        <v>44534</v>
      </c>
      <c r="J120" s="37">
        <f t="shared" si="22"/>
        <v>44564</v>
      </c>
      <c r="K120" s="38">
        <f t="shared" si="23"/>
        <v>30</v>
      </c>
      <c r="L120" s="38" t="str">
        <f t="shared" si="24"/>
        <v>Dejar al valor nominal</v>
      </c>
      <c r="M120" s="38">
        <f t="shared" si="25"/>
        <v>0</v>
      </c>
      <c r="N120" s="272" t="str">
        <f t="shared" si="26"/>
        <v>OK</v>
      </c>
      <c r="P120" s="23"/>
      <c r="Q120" s="23"/>
      <c r="R120" s="23"/>
    </row>
    <row r="121" spans="1:18">
      <c r="A121" s="22">
        <v>23359500</v>
      </c>
      <c r="B121" s="23" t="s">
        <v>36</v>
      </c>
      <c r="C121" s="34" t="s">
        <v>1008</v>
      </c>
      <c r="D121" s="34"/>
      <c r="F121" s="36" t="s">
        <v>204</v>
      </c>
      <c r="G121" s="23">
        <v>448250</v>
      </c>
      <c r="H121" s="23">
        <v>448250</v>
      </c>
      <c r="I121" s="37">
        <v>44534</v>
      </c>
      <c r="J121" s="37">
        <f t="shared" si="22"/>
        <v>44564</v>
      </c>
      <c r="K121" s="38">
        <f t="shared" si="23"/>
        <v>30</v>
      </c>
      <c r="L121" s="38" t="str">
        <f t="shared" si="24"/>
        <v>Dejar al valor nominal</v>
      </c>
      <c r="M121" s="38">
        <f t="shared" si="25"/>
        <v>0</v>
      </c>
      <c r="N121" s="272" t="str">
        <f t="shared" si="26"/>
        <v>OK</v>
      </c>
      <c r="P121" s="23"/>
      <c r="Q121" s="23"/>
      <c r="R121" s="23"/>
    </row>
    <row r="122" spans="1:18">
      <c r="A122" s="22">
        <v>23359500</v>
      </c>
      <c r="B122" s="23" t="s">
        <v>36</v>
      </c>
      <c r="C122" s="34" t="s">
        <v>1008</v>
      </c>
      <c r="D122" s="34"/>
      <c r="F122" s="36" t="s">
        <v>204</v>
      </c>
      <c r="G122" s="23">
        <v>9910350</v>
      </c>
      <c r="H122" s="23">
        <v>9910350</v>
      </c>
      <c r="I122" s="37">
        <v>44534</v>
      </c>
      <c r="J122" s="37">
        <f t="shared" si="22"/>
        <v>44564</v>
      </c>
      <c r="K122" s="38">
        <f t="shared" si="23"/>
        <v>30</v>
      </c>
      <c r="L122" s="38" t="str">
        <f t="shared" si="24"/>
        <v>Dejar al valor nominal</v>
      </c>
      <c r="M122" s="38">
        <f t="shared" si="25"/>
        <v>0</v>
      </c>
      <c r="N122" s="272" t="str">
        <f t="shared" si="26"/>
        <v>OK</v>
      </c>
      <c r="P122" s="23"/>
      <c r="Q122" s="23"/>
      <c r="R122" s="23"/>
    </row>
    <row r="123" spans="1:18">
      <c r="A123" s="22">
        <v>23359500</v>
      </c>
      <c r="B123" s="23" t="s">
        <v>36</v>
      </c>
      <c r="C123" s="34" t="s">
        <v>1008</v>
      </c>
      <c r="D123" s="34"/>
      <c r="F123" s="36" t="s">
        <v>204</v>
      </c>
      <c r="G123" s="23">
        <v>415250</v>
      </c>
      <c r="H123" s="23">
        <v>415250</v>
      </c>
      <c r="I123" s="37">
        <v>44534</v>
      </c>
      <c r="J123" s="37">
        <f t="shared" si="22"/>
        <v>44564</v>
      </c>
      <c r="K123" s="38">
        <f t="shared" si="23"/>
        <v>30</v>
      </c>
      <c r="L123" s="38" t="str">
        <f t="shared" si="24"/>
        <v>Dejar al valor nominal</v>
      </c>
      <c r="M123" s="38">
        <f t="shared" si="25"/>
        <v>0</v>
      </c>
      <c r="N123" s="272" t="str">
        <f t="shared" si="26"/>
        <v>OK</v>
      </c>
      <c r="P123" s="23"/>
      <c r="Q123" s="23"/>
      <c r="R123" s="23"/>
    </row>
    <row r="124" spans="1:18">
      <c r="A124" s="22">
        <v>23359500</v>
      </c>
      <c r="B124" s="23" t="s">
        <v>36</v>
      </c>
      <c r="C124" s="34" t="s">
        <v>1008</v>
      </c>
      <c r="D124" s="34"/>
      <c r="F124" s="36" t="s">
        <v>204</v>
      </c>
      <c r="G124" s="23">
        <v>25797117</v>
      </c>
      <c r="H124" s="23">
        <v>25797117</v>
      </c>
      <c r="I124" s="37">
        <v>44535</v>
      </c>
      <c r="J124" s="37">
        <f t="shared" si="22"/>
        <v>44565</v>
      </c>
      <c r="K124" s="38">
        <f t="shared" si="23"/>
        <v>30</v>
      </c>
      <c r="L124" s="38" t="str">
        <f t="shared" si="24"/>
        <v>Dejar al valor nominal</v>
      </c>
      <c r="M124" s="38">
        <f t="shared" si="25"/>
        <v>0</v>
      </c>
      <c r="N124" s="272" t="str">
        <f t="shared" si="26"/>
        <v>OK</v>
      </c>
      <c r="P124" s="23"/>
      <c r="Q124" s="23"/>
      <c r="R124" s="23"/>
    </row>
    <row r="125" spans="1:18">
      <c r="A125" s="22">
        <v>23359500</v>
      </c>
      <c r="B125" s="23" t="s">
        <v>36</v>
      </c>
      <c r="C125" s="34" t="s">
        <v>1008</v>
      </c>
      <c r="D125" s="34"/>
      <c r="F125" s="36" t="s">
        <v>204</v>
      </c>
      <c r="G125" s="23">
        <v>616000</v>
      </c>
      <c r="H125" s="23">
        <v>616000</v>
      </c>
      <c r="I125" s="37">
        <v>44537</v>
      </c>
      <c r="J125" s="37">
        <f t="shared" si="22"/>
        <v>44567</v>
      </c>
      <c r="K125" s="38">
        <f t="shared" si="23"/>
        <v>30</v>
      </c>
      <c r="L125" s="38" t="str">
        <f t="shared" si="24"/>
        <v>Dejar al valor nominal</v>
      </c>
      <c r="M125" s="38">
        <f t="shared" si="25"/>
        <v>0</v>
      </c>
      <c r="N125" s="272" t="str">
        <f t="shared" si="26"/>
        <v>OK</v>
      </c>
      <c r="P125" s="23"/>
      <c r="Q125" s="23"/>
      <c r="R125" s="23"/>
    </row>
    <row r="126" spans="1:18">
      <c r="A126" s="22">
        <v>23359500</v>
      </c>
      <c r="B126" s="23" t="s">
        <v>36</v>
      </c>
      <c r="C126" s="34" t="s">
        <v>1008</v>
      </c>
      <c r="D126" s="34"/>
      <c r="F126" s="36" t="s">
        <v>204</v>
      </c>
      <c r="G126" s="23">
        <v>10684100</v>
      </c>
      <c r="H126" s="23">
        <v>10684100</v>
      </c>
      <c r="I126" s="37">
        <v>44537</v>
      </c>
      <c r="J126" s="37">
        <f t="shared" si="22"/>
        <v>44567</v>
      </c>
      <c r="K126" s="38">
        <f t="shared" si="23"/>
        <v>30</v>
      </c>
      <c r="L126" s="38" t="str">
        <f t="shared" si="24"/>
        <v>Dejar al valor nominal</v>
      </c>
      <c r="M126" s="38">
        <f t="shared" si="25"/>
        <v>0</v>
      </c>
      <c r="N126" s="272" t="str">
        <f t="shared" si="26"/>
        <v>OK</v>
      </c>
      <c r="P126" s="23"/>
      <c r="Q126" s="23"/>
      <c r="R126" s="23"/>
    </row>
    <row r="127" spans="1:18">
      <c r="A127" s="22">
        <v>23359500</v>
      </c>
      <c r="B127" s="23" t="s">
        <v>36</v>
      </c>
      <c r="C127" s="34" t="s">
        <v>1008</v>
      </c>
      <c r="D127" s="34"/>
      <c r="F127" s="36" t="s">
        <v>204</v>
      </c>
      <c r="G127" s="23">
        <v>819500</v>
      </c>
      <c r="H127" s="23">
        <v>819500</v>
      </c>
      <c r="I127" s="37">
        <v>44537</v>
      </c>
      <c r="J127" s="37">
        <f t="shared" si="22"/>
        <v>44567</v>
      </c>
      <c r="K127" s="38">
        <f t="shared" si="23"/>
        <v>30</v>
      </c>
      <c r="L127" s="38" t="str">
        <f t="shared" si="24"/>
        <v>Dejar al valor nominal</v>
      </c>
      <c r="M127" s="38">
        <f t="shared" si="25"/>
        <v>0</v>
      </c>
      <c r="N127" s="272" t="str">
        <f t="shared" si="26"/>
        <v>OK</v>
      </c>
      <c r="P127" s="23"/>
      <c r="Q127" s="23"/>
      <c r="R127" s="23"/>
    </row>
    <row r="128" spans="1:18">
      <c r="A128" s="22">
        <v>23359500</v>
      </c>
      <c r="B128" s="23" t="s">
        <v>36</v>
      </c>
      <c r="C128" s="34" t="s">
        <v>1008</v>
      </c>
      <c r="D128" s="34"/>
      <c r="F128" s="36" t="s">
        <v>204</v>
      </c>
      <c r="G128" s="23">
        <v>10001550</v>
      </c>
      <c r="H128" s="23">
        <v>10001550</v>
      </c>
      <c r="I128" s="37">
        <v>44537</v>
      </c>
      <c r="J128" s="37">
        <f t="shared" si="22"/>
        <v>44567</v>
      </c>
      <c r="K128" s="38">
        <f t="shared" si="23"/>
        <v>30</v>
      </c>
      <c r="L128" s="38" t="str">
        <f t="shared" si="24"/>
        <v>Dejar al valor nominal</v>
      </c>
      <c r="M128" s="38">
        <f t="shared" si="25"/>
        <v>0</v>
      </c>
      <c r="N128" s="272" t="str">
        <f t="shared" si="26"/>
        <v>OK</v>
      </c>
      <c r="P128" s="23"/>
      <c r="Q128" s="23"/>
      <c r="R128" s="23"/>
    </row>
    <row r="129" spans="1:18">
      <c r="A129" s="22">
        <v>23359500</v>
      </c>
      <c r="B129" s="23" t="s">
        <v>36</v>
      </c>
      <c r="C129" s="34" t="s">
        <v>1008</v>
      </c>
      <c r="D129" s="34"/>
      <c r="F129" s="36" t="s">
        <v>204</v>
      </c>
      <c r="G129" s="23">
        <v>12802020</v>
      </c>
      <c r="H129" s="23">
        <v>12802020</v>
      </c>
      <c r="I129" s="37">
        <v>44539</v>
      </c>
      <c r="J129" s="37">
        <f t="shared" si="22"/>
        <v>44569</v>
      </c>
      <c r="K129" s="38">
        <f t="shared" si="23"/>
        <v>30</v>
      </c>
      <c r="L129" s="38" t="str">
        <f t="shared" si="24"/>
        <v>Dejar al valor nominal</v>
      </c>
      <c r="M129" s="38">
        <f t="shared" si="25"/>
        <v>0</v>
      </c>
      <c r="N129" s="272" t="str">
        <f t="shared" si="26"/>
        <v>OK</v>
      </c>
      <c r="P129" s="23"/>
      <c r="Q129" s="23"/>
      <c r="R129" s="23"/>
    </row>
    <row r="130" spans="1:18">
      <c r="A130" s="22">
        <v>23359500</v>
      </c>
      <c r="B130" s="23" t="s">
        <v>36</v>
      </c>
      <c r="C130" s="34" t="s">
        <v>1008</v>
      </c>
      <c r="D130" s="34"/>
      <c r="F130" s="36" t="s">
        <v>204</v>
      </c>
      <c r="G130" s="23">
        <v>1080750</v>
      </c>
      <c r="H130" s="23">
        <v>1080750</v>
      </c>
      <c r="I130" s="37">
        <v>44542</v>
      </c>
      <c r="J130" s="37">
        <f t="shared" si="22"/>
        <v>44572</v>
      </c>
      <c r="K130" s="38">
        <f t="shared" si="23"/>
        <v>30</v>
      </c>
      <c r="L130" s="38" t="str">
        <f t="shared" si="24"/>
        <v>Dejar al valor nominal</v>
      </c>
      <c r="M130" s="38">
        <f t="shared" si="25"/>
        <v>0</v>
      </c>
      <c r="N130" s="272" t="str">
        <f t="shared" si="26"/>
        <v>OK</v>
      </c>
      <c r="P130" s="23"/>
      <c r="Q130" s="23"/>
      <c r="R130" s="23"/>
    </row>
    <row r="131" spans="1:18">
      <c r="A131" s="22">
        <v>23359500</v>
      </c>
      <c r="B131" s="23" t="s">
        <v>36</v>
      </c>
      <c r="C131" s="34" t="s">
        <v>1008</v>
      </c>
      <c r="D131" s="34"/>
      <c r="F131" s="36" t="s">
        <v>204</v>
      </c>
      <c r="G131" s="23">
        <v>13102400</v>
      </c>
      <c r="H131" s="23">
        <v>13102400</v>
      </c>
      <c r="I131" s="37">
        <v>44542</v>
      </c>
      <c r="J131" s="37">
        <f t="shared" si="22"/>
        <v>44572</v>
      </c>
      <c r="K131" s="38">
        <f t="shared" si="23"/>
        <v>30</v>
      </c>
      <c r="L131" s="38" t="str">
        <f t="shared" si="24"/>
        <v>Dejar al valor nominal</v>
      </c>
      <c r="M131" s="38">
        <f t="shared" si="25"/>
        <v>0</v>
      </c>
      <c r="N131" s="272" t="str">
        <f t="shared" si="26"/>
        <v>OK</v>
      </c>
      <c r="P131" s="23"/>
      <c r="Q131" s="23"/>
      <c r="R131" s="23"/>
    </row>
    <row r="132" spans="1:18">
      <c r="A132" s="22">
        <v>23359500</v>
      </c>
      <c r="B132" s="23" t="s">
        <v>36</v>
      </c>
      <c r="C132" s="34" t="s">
        <v>1008</v>
      </c>
      <c r="D132" s="34"/>
      <c r="F132" s="36" t="s">
        <v>204</v>
      </c>
      <c r="G132" s="23">
        <v>11183350</v>
      </c>
      <c r="H132" s="23">
        <v>11183350</v>
      </c>
      <c r="I132" s="37">
        <v>44542</v>
      </c>
      <c r="J132" s="37">
        <f t="shared" si="22"/>
        <v>44572</v>
      </c>
      <c r="K132" s="38">
        <f t="shared" si="23"/>
        <v>30</v>
      </c>
      <c r="L132" s="38" t="str">
        <f t="shared" si="24"/>
        <v>Dejar al valor nominal</v>
      </c>
      <c r="M132" s="38">
        <f t="shared" si="25"/>
        <v>0</v>
      </c>
      <c r="N132" s="272" t="str">
        <f t="shared" si="26"/>
        <v>OK</v>
      </c>
      <c r="P132" s="23"/>
      <c r="Q132" s="23"/>
      <c r="R132" s="23"/>
    </row>
    <row r="133" spans="1:18">
      <c r="A133" s="22">
        <v>23359500</v>
      </c>
      <c r="B133" s="23" t="s">
        <v>36</v>
      </c>
      <c r="C133" s="34" t="s">
        <v>1008</v>
      </c>
      <c r="D133" s="34"/>
      <c r="F133" s="36" t="s">
        <v>204</v>
      </c>
      <c r="G133" s="23">
        <v>742500</v>
      </c>
      <c r="H133" s="23">
        <v>742500</v>
      </c>
      <c r="I133" s="37">
        <v>44542</v>
      </c>
      <c r="J133" s="37">
        <f t="shared" si="22"/>
        <v>44572</v>
      </c>
      <c r="K133" s="38">
        <f t="shared" si="23"/>
        <v>30</v>
      </c>
      <c r="L133" s="38" t="str">
        <f t="shared" si="24"/>
        <v>Dejar al valor nominal</v>
      </c>
      <c r="M133" s="38">
        <f t="shared" si="25"/>
        <v>0</v>
      </c>
      <c r="N133" s="272" t="str">
        <f t="shared" si="26"/>
        <v>OK</v>
      </c>
      <c r="P133" s="23"/>
      <c r="Q133" s="23"/>
      <c r="R133" s="23"/>
    </row>
    <row r="134" spans="1:18">
      <c r="A134" s="22">
        <v>23359500</v>
      </c>
      <c r="B134" s="23" t="s">
        <v>36</v>
      </c>
      <c r="C134" s="34" t="s">
        <v>1008</v>
      </c>
      <c r="D134" s="34"/>
      <c r="F134" s="36" t="s">
        <v>204</v>
      </c>
      <c r="G134" s="23">
        <v>4025436</v>
      </c>
      <c r="H134" s="23">
        <v>4025436</v>
      </c>
      <c r="I134" s="37">
        <v>44544</v>
      </c>
      <c r="J134" s="37">
        <f t="shared" si="22"/>
        <v>44574</v>
      </c>
      <c r="K134" s="38">
        <f t="shared" si="23"/>
        <v>30</v>
      </c>
      <c r="L134" s="38" t="str">
        <f t="shared" si="24"/>
        <v>Dejar al valor nominal</v>
      </c>
      <c r="M134" s="38">
        <f t="shared" si="25"/>
        <v>0</v>
      </c>
      <c r="N134" s="272" t="str">
        <f t="shared" si="26"/>
        <v>OK</v>
      </c>
      <c r="P134" s="23"/>
      <c r="Q134" s="23"/>
      <c r="R134" s="23"/>
    </row>
    <row r="135" spans="1:18">
      <c r="A135" s="22">
        <v>23359500</v>
      </c>
      <c r="B135" s="23" t="s">
        <v>36</v>
      </c>
      <c r="C135" s="34" t="s">
        <v>1008</v>
      </c>
      <c r="D135" s="34"/>
      <c r="F135" s="36" t="s">
        <v>204</v>
      </c>
      <c r="G135" s="23">
        <v>5123283</v>
      </c>
      <c r="H135" s="23">
        <v>5123283</v>
      </c>
      <c r="I135" s="37">
        <v>44545</v>
      </c>
      <c r="J135" s="37">
        <f t="shared" si="22"/>
        <v>44575</v>
      </c>
      <c r="K135" s="38">
        <f t="shared" si="23"/>
        <v>30</v>
      </c>
      <c r="L135" s="38" t="str">
        <f t="shared" si="24"/>
        <v>Dejar al valor nominal</v>
      </c>
      <c r="M135" s="38">
        <f t="shared" si="25"/>
        <v>0</v>
      </c>
      <c r="N135" s="272" t="str">
        <f t="shared" si="26"/>
        <v>OK</v>
      </c>
      <c r="P135" s="23"/>
      <c r="Q135" s="23"/>
      <c r="R135" s="23"/>
    </row>
    <row r="136" spans="1:18">
      <c r="A136" s="22">
        <v>23359500</v>
      </c>
      <c r="B136" s="23" t="s">
        <v>36</v>
      </c>
      <c r="C136" s="34" t="s">
        <v>1008</v>
      </c>
      <c r="D136" s="34"/>
      <c r="F136" s="36" t="s">
        <v>204</v>
      </c>
      <c r="G136" s="23">
        <v>5654999</v>
      </c>
      <c r="H136" s="23">
        <v>5654999</v>
      </c>
      <c r="I136" s="37">
        <v>44547</v>
      </c>
      <c r="J136" s="37">
        <f t="shared" si="22"/>
        <v>44577</v>
      </c>
      <c r="K136" s="38">
        <f t="shared" si="23"/>
        <v>30</v>
      </c>
      <c r="L136" s="38" t="str">
        <f t="shared" si="24"/>
        <v>Dejar al valor nominal</v>
      </c>
      <c r="M136" s="38">
        <f t="shared" si="25"/>
        <v>0</v>
      </c>
      <c r="N136" s="272" t="str">
        <f t="shared" si="26"/>
        <v>OK</v>
      </c>
      <c r="P136" s="23"/>
      <c r="Q136" s="23"/>
      <c r="R136" s="23"/>
    </row>
    <row r="137" spans="1:18">
      <c r="A137" s="22">
        <v>23359500</v>
      </c>
      <c r="B137" s="23" t="s">
        <v>36</v>
      </c>
      <c r="C137" s="34" t="s">
        <v>1008</v>
      </c>
      <c r="D137" s="34"/>
      <c r="F137" s="36" t="s">
        <v>204</v>
      </c>
      <c r="G137" s="23">
        <v>3819007</v>
      </c>
      <c r="H137" s="23">
        <v>3819007</v>
      </c>
      <c r="I137" s="37">
        <v>44547</v>
      </c>
      <c r="J137" s="37">
        <f t="shared" si="22"/>
        <v>44577</v>
      </c>
      <c r="K137" s="38">
        <f t="shared" si="23"/>
        <v>30</v>
      </c>
      <c r="L137" s="38" t="str">
        <f t="shared" si="24"/>
        <v>Dejar al valor nominal</v>
      </c>
      <c r="M137" s="38">
        <f t="shared" si="25"/>
        <v>0</v>
      </c>
      <c r="N137" s="272" t="str">
        <f t="shared" si="26"/>
        <v>OK</v>
      </c>
      <c r="P137" s="23"/>
      <c r="Q137" s="23"/>
      <c r="R137" s="23"/>
    </row>
    <row r="138" spans="1:18">
      <c r="A138" s="22">
        <v>23359500</v>
      </c>
      <c r="B138" s="23" t="s">
        <v>36</v>
      </c>
      <c r="C138" s="34" t="s">
        <v>1008</v>
      </c>
      <c r="D138" s="34"/>
      <c r="F138" s="36" t="s">
        <v>204</v>
      </c>
      <c r="G138" s="23">
        <v>4548180</v>
      </c>
      <c r="H138" s="23">
        <v>4548180</v>
      </c>
      <c r="I138" s="37">
        <v>44547</v>
      </c>
      <c r="J138" s="37">
        <f t="shared" si="22"/>
        <v>44577</v>
      </c>
      <c r="K138" s="38">
        <f t="shared" si="23"/>
        <v>30</v>
      </c>
      <c r="L138" s="38" t="str">
        <f t="shared" si="24"/>
        <v>Dejar al valor nominal</v>
      </c>
      <c r="M138" s="38">
        <f t="shared" si="25"/>
        <v>0</v>
      </c>
      <c r="N138" s="272" t="str">
        <f t="shared" si="26"/>
        <v>OK</v>
      </c>
      <c r="P138" s="23"/>
      <c r="Q138" s="23"/>
      <c r="R138" s="23"/>
    </row>
    <row r="139" spans="1:18">
      <c r="A139" s="22">
        <v>23359500</v>
      </c>
      <c r="B139" s="23" t="s">
        <v>36</v>
      </c>
      <c r="C139" s="34" t="s">
        <v>1008</v>
      </c>
      <c r="D139" s="34"/>
      <c r="F139" s="36" t="s">
        <v>204</v>
      </c>
      <c r="G139" s="23">
        <v>7976700</v>
      </c>
      <c r="H139" s="23">
        <v>7976700</v>
      </c>
      <c r="I139" s="37">
        <v>44551</v>
      </c>
      <c r="J139" s="37">
        <f t="shared" si="22"/>
        <v>44581</v>
      </c>
      <c r="K139" s="38">
        <f t="shared" si="23"/>
        <v>30</v>
      </c>
      <c r="L139" s="38" t="str">
        <f t="shared" si="24"/>
        <v>Dejar al valor nominal</v>
      </c>
      <c r="M139" s="38">
        <f t="shared" si="25"/>
        <v>0</v>
      </c>
      <c r="N139" s="272" t="str">
        <f t="shared" si="26"/>
        <v>OK</v>
      </c>
      <c r="P139" s="23"/>
      <c r="Q139" s="23"/>
      <c r="R139" s="23"/>
    </row>
    <row r="140" spans="1:18">
      <c r="A140" s="22">
        <v>23359500</v>
      </c>
      <c r="B140" s="23" t="s">
        <v>36</v>
      </c>
      <c r="C140" s="34" t="s">
        <v>1008</v>
      </c>
      <c r="D140" s="34"/>
      <c r="F140" s="36" t="s">
        <v>204</v>
      </c>
      <c r="G140" s="23">
        <v>635250</v>
      </c>
      <c r="H140" s="23">
        <v>635250</v>
      </c>
      <c r="I140" s="37">
        <v>44551</v>
      </c>
      <c r="J140" s="37">
        <f t="shared" si="22"/>
        <v>44581</v>
      </c>
      <c r="K140" s="38">
        <f t="shared" si="23"/>
        <v>30</v>
      </c>
      <c r="L140" s="38" t="str">
        <f t="shared" si="24"/>
        <v>Dejar al valor nominal</v>
      </c>
      <c r="M140" s="38">
        <f t="shared" si="25"/>
        <v>0</v>
      </c>
      <c r="N140" s="272" t="str">
        <f t="shared" si="26"/>
        <v>OK</v>
      </c>
      <c r="P140" s="23"/>
      <c r="Q140" s="23"/>
      <c r="R140" s="23"/>
    </row>
    <row r="141" spans="1:18">
      <c r="A141" s="22">
        <v>23359500</v>
      </c>
      <c r="B141" s="23" t="s">
        <v>36</v>
      </c>
      <c r="C141" s="34" t="s">
        <v>1008</v>
      </c>
      <c r="D141" s="34"/>
      <c r="F141" s="36" t="s">
        <v>204</v>
      </c>
      <c r="G141" s="23">
        <v>772750</v>
      </c>
      <c r="H141" s="23">
        <v>772750</v>
      </c>
      <c r="I141" s="37">
        <v>44551</v>
      </c>
      <c r="J141" s="37">
        <f t="shared" si="22"/>
        <v>44581</v>
      </c>
      <c r="K141" s="38">
        <f t="shared" si="23"/>
        <v>30</v>
      </c>
      <c r="L141" s="38" t="str">
        <f t="shared" si="24"/>
        <v>Dejar al valor nominal</v>
      </c>
      <c r="M141" s="38">
        <f t="shared" si="25"/>
        <v>0</v>
      </c>
      <c r="N141" s="272" t="str">
        <f t="shared" si="26"/>
        <v>OK</v>
      </c>
      <c r="P141" s="23"/>
      <c r="Q141" s="23"/>
      <c r="R141" s="23"/>
    </row>
    <row r="142" spans="1:18">
      <c r="A142" s="22">
        <v>23359500</v>
      </c>
      <c r="B142" s="23" t="s">
        <v>36</v>
      </c>
      <c r="C142" s="34" t="s">
        <v>1008</v>
      </c>
      <c r="D142" s="34"/>
      <c r="F142" s="36" t="s">
        <v>204</v>
      </c>
      <c r="G142" s="23">
        <v>8248950</v>
      </c>
      <c r="H142" s="23">
        <v>8248950</v>
      </c>
      <c r="I142" s="37">
        <v>44551</v>
      </c>
      <c r="J142" s="37">
        <f t="shared" si="22"/>
        <v>44581</v>
      </c>
      <c r="K142" s="38">
        <f t="shared" si="23"/>
        <v>30</v>
      </c>
      <c r="L142" s="38" t="str">
        <f t="shared" si="24"/>
        <v>Dejar al valor nominal</v>
      </c>
      <c r="M142" s="38">
        <f t="shared" si="25"/>
        <v>0</v>
      </c>
      <c r="N142" s="272" t="str">
        <f t="shared" si="26"/>
        <v>OK</v>
      </c>
      <c r="P142" s="23"/>
      <c r="Q142" s="23"/>
      <c r="R142" s="23"/>
    </row>
    <row r="143" spans="1:18">
      <c r="A143" s="22">
        <v>23359500</v>
      </c>
      <c r="B143" s="23" t="s">
        <v>36</v>
      </c>
      <c r="C143" s="34" t="s">
        <v>1008</v>
      </c>
      <c r="D143" s="34"/>
      <c r="F143" s="36" t="s">
        <v>204</v>
      </c>
      <c r="G143" s="23">
        <v>3457500</v>
      </c>
      <c r="H143" s="23">
        <v>3457500</v>
      </c>
      <c r="I143" s="37">
        <v>44552</v>
      </c>
      <c r="J143" s="37">
        <f t="shared" si="22"/>
        <v>44582</v>
      </c>
      <c r="K143" s="38">
        <f t="shared" si="23"/>
        <v>30</v>
      </c>
      <c r="L143" s="38" t="str">
        <f t="shared" si="24"/>
        <v>Dejar al valor nominal</v>
      </c>
      <c r="M143" s="38">
        <f t="shared" si="25"/>
        <v>0</v>
      </c>
      <c r="N143" s="272" t="str">
        <f t="shared" si="26"/>
        <v>OK</v>
      </c>
      <c r="P143" s="23"/>
      <c r="Q143" s="23"/>
      <c r="R143" s="23"/>
    </row>
    <row r="144" spans="1:18">
      <c r="A144" s="22">
        <v>23359500</v>
      </c>
      <c r="B144" s="23" t="s">
        <v>36</v>
      </c>
      <c r="C144" s="34" t="s">
        <v>1008</v>
      </c>
      <c r="D144" s="34"/>
      <c r="F144" s="36" t="s">
        <v>204</v>
      </c>
      <c r="G144" s="23">
        <v>9930050</v>
      </c>
      <c r="H144" s="23">
        <v>9930050</v>
      </c>
      <c r="I144" s="37">
        <v>44552</v>
      </c>
      <c r="J144" s="37">
        <f t="shared" si="22"/>
        <v>44582</v>
      </c>
      <c r="K144" s="38">
        <f t="shared" si="23"/>
        <v>30</v>
      </c>
      <c r="L144" s="38" t="str">
        <f t="shared" si="24"/>
        <v>Dejar al valor nominal</v>
      </c>
      <c r="M144" s="38">
        <f t="shared" si="25"/>
        <v>0</v>
      </c>
      <c r="N144" s="272" t="str">
        <f t="shared" si="26"/>
        <v>OK</v>
      </c>
      <c r="P144" s="23"/>
      <c r="Q144" s="23"/>
      <c r="R144" s="23"/>
    </row>
    <row r="145" spans="1:18">
      <c r="A145" s="22">
        <v>23359500</v>
      </c>
      <c r="B145" s="23" t="s">
        <v>36</v>
      </c>
      <c r="C145" s="34" t="s">
        <v>1008</v>
      </c>
      <c r="D145" s="34"/>
      <c r="F145" s="36" t="s">
        <v>204</v>
      </c>
      <c r="G145" s="23">
        <v>794750</v>
      </c>
      <c r="H145" s="23">
        <v>794750</v>
      </c>
      <c r="I145" s="37">
        <v>44552</v>
      </c>
      <c r="J145" s="37">
        <f t="shared" si="22"/>
        <v>44582</v>
      </c>
      <c r="K145" s="38">
        <f t="shared" si="23"/>
        <v>30</v>
      </c>
      <c r="L145" s="38" t="str">
        <f t="shared" si="24"/>
        <v>Dejar al valor nominal</v>
      </c>
      <c r="M145" s="38">
        <f t="shared" si="25"/>
        <v>0</v>
      </c>
      <c r="N145" s="272" t="str">
        <f t="shared" si="26"/>
        <v>OK</v>
      </c>
      <c r="P145" s="23"/>
      <c r="Q145" s="23"/>
      <c r="R145" s="23"/>
    </row>
    <row r="146" spans="1:18">
      <c r="A146" s="22">
        <v>23359500</v>
      </c>
      <c r="B146" s="23" t="s">
        <v>36</v>
      </c>
      <c r="C146" s="34" t="s">
        <v>1008</v>
      </c>
      <c r="D146" s="34"/>
      <c r="F146" s="36" t="s">
        <v>204</v>
      </c>
      <c r="G146" s="23">
        <v>5946251.5</v>
      </c>
      <c r="H146" s="23">
        <v>5946251.5</v>
      </c>
      <c r="I146" s="37">
        <v>44552</v>
      </c>
      <c r="J146" s="37">
        <f t="shared" si="22"/>
        <v>44582</v>
      </c>
      <c r="K146" s="38">
        <f t="shared" si="23"/>
        <v>30</v>
      </c>
      <c r="L146" s="38" t="str">
        <f t="shared" si="24"/>
        <v>Dejar al valor nominal</v>
      </c>
      <c r="M146" s="38">
        <f t="shared" si="25"/>
        <v>0</v>
      </c>
      <c r="N146" s="272" t="str">
        <f t="shared" si="26"/>
        <v>OK</v>
      </c>
      <c r="P146" s="23"/>
      <c r="Q146" s="23"/>
      <c r="R146" s="23"/>
    </row>
    <row r="147" spans="1:18">
      <c r="A147" s="22">
        <v>23359500</v>
      </c>
      <c r="B147" s="23" t="s">
        <v>36</v>
      </c>
      <c r="C147" s="34" t="s">
        <v>1008</v>
      </c>
      <c r="D147" s="34"/>
      <c r="F147" s="36" t="s">
        <v>204</v>
      </c>
      <c r="G147" s="23">
        <v>9297172.5</v>
      </c>
      <c r="H147" s="23">
        <v>9297172.5</v>
      </c>
      <c r="I147" s="37">
        <v>44552</v>
      </c>
      <c r="J147" s="37">
        <f t="shared" si="22"/>
        <v>44582</v>
      </c>
      <c r="K147" s="38">
        <f t="shared" si="23"/>
        <v>30</v>
      </c>
      <c r="L147" s="38" t="str">
        <f t="shared" si="24"/>
        <v>Dejar al valor nominal</v>
      </c>
      <c r="M147" s="38">
        <f t="shared" si="25"/>
        <v>0</v>
      </c>
      <c r="N147" s="272" t="str">
        <f t="shared" si="26"/>
        <v>OK</v>
      </c>
      <c r="P147" s="23"/>
      <c r="Q147" s="23"/>
      <c r="R147" s="23"/>
    </row>
    <row r="148" spans="1:18">
      <c r="A148" s="22">
        <v>23359500</v>
      </c>
      <c r="B148" s="23" t="s">
        <v>36</v>
      </c>
      <c r="C148" s="34" t="s">
        <v>1008</v>
      </c>
      <c r="D148" s="34"/>
      <c r="F148" s="36" t="s">
        <v>204</v>
      </c>
      <c r="G148" s="23">
        <v>10012550</v>
      </c>
      <c r="H148" s="23">
        <v>10012550</v>
      </c>
      <c r="I148" s="37">
        <v>44552</v>
      </c>
      <c r="J148" s="37">
        <f t="shared" si="22"/>
        <v>44582</v>
      </c>
      <c r="K148" s="38">
        <f t="shared" si="23"/>
        <v>30</v>
      </c>
      <c r="L148" s="38" t="str">
        <f t="shared" si="24"/>
        <v>Dejar al valor nominal</v>
      </c>
      <c r="M148" s="38">
        <f t="shared" si="25"/>
        <v>0</v>
      </c>
      <c r="N148" s="272" t="str">
        <f t="shared" si="26"/>
        <v>OK</v>
      </c>
      <c r="P148" s="23"/>
      <c r="Q148" s="23"/>
      <c r="R148" s="23"/>
    </row>
    <row r="149" spans="1:18">
      <c r="A149" s="22">
        <v>23359500</v>
      </c>
      <c r="B149" s="23" t="s">
        <v>36</v>
      </c>
      <c r="C149" s="34" t="s">
        <v>1008</v>
      </c>
      <c r="D149" s="34"/>
      <c r="F149" s="36" t="s">
        <v>204</v>
      </c>
      <c r="G149" s="23">
        <v>825000</v>
      </c>
      <c r="H149" s="23">
        <v>825000</v>
      </c>
      <c r="I149" s="37">
        <v>44552</v>
      </c>
      <c r="J149" s="37">
        <f t="shared" si="22"/>
        <v>44582</v>
      </c>
      <c r="K149" s="38">
        <f t="shared" si="23"/>
        <v>30</v>
      </c>
      <c r="L149" s="38" t="str">
        <f t="shared" si="24"/>
        <v>Dejar al valor nominal</v>
      </c>
      <c r="M149" s="38">
        <f t="shared" si="25"/>
        <v>0</v>
      </c>
      <c r="N149" s="272" t="str">
        <f t="shared" si="26"/>
        <v>OK</v>
      </c>
      <c r="P149" s="23"/>
      <c r="Q149" s="23"/>
      <c r="R149" s="23"/>
    </row>
    <row r="150" spans="1:18">
      <c r="A150" s="22">
        <v>23359500</v>
      </c>
      <c r="B150" s="23" t="s">
        <v>36</v>
      </c>
      <c r="C150" s="34" t="s">
        <v>1008</v>
      </c>
      <c r="D150" s="34"/>
      <c r="F150" s="36" t="s">
        <v>204</v>
      </c>
      <c r="G150" s="23">
        <v>3457500</v>
      </c>
      <c r="H150" s="23">
        <v>3457500</v>
      </c>
      <c r="I150" s="37">
        <v>44552</v>
      </c>
      <c r="J150" s="37">
        <f t="shared" si="22"/>
        <v>44582</v>
      </c>
      <c r="K150" s="38">
        <f t="shared" si="23"/>
        <v>30</v>
      </c>
      <c r="L150" s="38" t="str">
        <f t="shared" si="24"/>
        <v>Dejar al valor nominal</v>
      </c>
      <c r="M150" s="38">
        <f t="shared" si="25"/>
        <v>0</v>
      </c>
      <c r="N150" s="272" t="str">
        <f t="shared" si="26"/>
        <v>OK</v>
      </c>
      <c r="P150" s="23"/>
      <c r="Q150" s="23"/>
      <c r="R150" s="23"/>
    </row>
    <row r="151" spans="1:18">
      <c r="A151" s="22">
        <v>23359500</v>
      </c>
      <c r="B151" s="23" t="s">
        <v>36</v>
      </c>
      <c r="C151" s="34" t="s">
        <v>1008</v>
      </c>
      <c r="D151" s="34"/>
      <c r="F151" s="36" t="s">
        <v>204</v>
      </c>
      <c r="G151" s="23">
        <v>176596</v>
      </c>
      <c r="H151" s="23">
        <v>176596</v>
      </c>
      <c r="I151" s="37">
        <v>44552</v>
      </c>
      <c r="J151" s="37">
        <f t="shared" si="22"/>
        <v>44582</v>
      </c>
      <c r="K151" s="38">
        <f t="shared" si="23"/>
        <v>30</v>
      </c>
      <c r="L151" s="38" t="str">
        <f t="shared" si="24"/>
        <v>Dejar al valor nominal</v>
      </c>
      <c r="M151" s="38">
        <f t="shared" si="25"/>
        <v>0</v>
      </c>
      <c r="N151" s="272" t="str">
        <f t="shared" si="26"/>
        <v>OK</v>
      </c>
      <c r="P151" s="23"/>
      <c r="Q151" s="23"/>
      <c r="R151" s="23"/>
    </row>
    <row r="152" spans="1:18">
      <c r="A152" s="22">
        <v>23359500</v>
      </c>
      <c r="B152" s="23" t="s">
        <v>36</v>
      </c>
      <c r="C152" s="34" t="s">
        <v>1008</v>
      </c>
      <c r="D152" s="34"/>
      <c r="F152" s="36" t="s">
        <v>204</v>
      </c>
      <c r="G152" s="23">
        <v>311351</v>
      </c>
      <c r="H152" s="23">
        <v>311351</v>
      </c>
      <c r="I152" s="37">
        <v>44558</v>
      </c>
      <c r="J152" s="37">
        <f t="shared" si="22"/>
        <v>44588</v>
      </c>
      <c r="K152" s="38">
        <f t="shared" si="23"/>
        <v>30</v>
      </c>
      <c r="L152" s="38" t="str">
        <f t="shared" si="24"/>
        <v>Dejar al valor nominal</v>
      </c>
      <c r="M152" s="38">
        <f t="shared" si="25"/>
        <v>0</v>
      </c>
      <c r="N152" s="272" t="str">
        <f t="shared" si="26"/>
        <v>OK</v>
      </c>
      <c r="P152" s="23"/>
      <c r="Q152" s="23"/>
      <c r="R152" s="23"/>
    </row>
    <row r="153" spans="1:18">
      <c r="A153" s="22">
        <v>23359500</v>
      </c>
      <c r="B153" s="23" t="s">
        <v>36</v>
      </c>
      <c r="C153" s="34" t="s">
        <v>1008</v>
      </c>
      <c r="D153" s="34"/>
      <c r="F153" s="36" t="s">
        <v>204</v>
      </c>
      <c r="G153" s="23">
        <v>4047570</v>
      </c>
      <c r="H153" s="23">
        <v>4047570</v>
      </c>
      <c r="I153" s="37">
        <v>44558</v>
      </c>
      <c r="J153" s="37">
        <f t="shared" si="22"/>
        <v>44588</v>
      </c>
      <c r="K153" s="38">
        <f t="shared" si="23"/>
        <v>30</v>
      </c>
      <c r="L153" s="38" t="str">
        <f t="shared" si="24"/>
        <v>Dejar al valor nominal</v>
      </c>
      <c r="M153" s="38">
        <f t="shared" si="25"/>
        <v>0</v>
      </c>
      <c r="N153" s="272" t="str">
        <f t="shared" si="26"/>
        <v>OK</v>
      </c>
      <c r="P153" s="23"/>
      <c r="Q153" s="23"/>
      <c r="R153" s="23"/>
    </row>
    <row r="154" spans="1:18">
      <c r="A154" s="22">
        <v>23359500</v>
      </c>
      <c r="B154" s="23" t="s">
        <v>36</v>
      </c>
      <c r="C154" s="34" t="s">
        <v>1008</v>
      </c>
      <c r="D154" s="34"/>
      <c r="F154" s="36" t="s">
        <v>204</v>
      </c>
      <c r="G154" s="23">
        <v>30542837.5</v>
      </c>
      <c r="H154" s="23">
        <v>30542837.5</v>
      </c>
      <c r="I154" s="37">
        <v>44559</v>
      </c>
      <c r="J154" s="37">
        <f t="shared" si="22"/>
        <v>44589</v>
      </c>
      <c r="K154" s="38">
        <f t="shared" si="23"/>
        <v>30</v>
      </c>
      <c r="L154" s="38" t="str">
        <f t="shared" si="24"/>
        <v>Dejar al valor nominal</v>
      </c>
      <c r="M154" s="38">
        <f t="shared" si="25"/>
        <v>0</v>
      </c>
      <c r="N154" s="272" t="str">
        <f t="shared" si="26"/>
        <v>OK</v>
      </c>
      <c r="P154" s="23"/>
      <c r="Q154" s="23"/>
      <c r="R154" s="23"/>
    </row>
    <row r="155" spans="1:18">
      <c r="A155" s="22">
        <v>23359500</v>
      </c>
      <c r="B155" s="23" t="s">
        <v>36</v>
      </c>
      <c r="C155" s="34" t="s">
        <v>1008</v>
      </c>
      <c r="D155" s="34"/>
      <c r="F155" s="36" t="s">
        <v>204</v>
      </c>
      <c r="G155" s="23">
        <v>4846572.5</v>
      </c>
      <c r="H155" s="23">
        <v>4846572.5</v>
      </c>
      <c r="I155" s="37">
        <v>44559</v>
      </c>
      <c r="J155" s="37">
        <f t="shared" si="22"/>
        <v>44589</v>
      </c>
      <c r="K155" s="38">
        <f t="shared" si="23"/>
        <v>30</v>
      </c>
      <c r="L155" s="38" t="str">
        <f t="shared" si="24"/>
        <v>Dejar al valor nominal</v>
      </c>
      <c r="M155" s="38">
        <f t="shared" si="25"/>
        <v>0</v>
      </c>
      <c r="N155" s="272" t="str">
        <f t="shared" si="26"/>
        <v>OK</v>
      </c>
      <c r="P155" s="23"/>
      <c r="Q155" s="23"/>
      <c r="R155" s="23"/>
    </row>
    <row r="156" spans="1:18">
      <c r="A156" s="22">
        <v>23359500</v>
      </c>
      <c r="B156" s="23" t="s">
        <v>36</v>
      </c>
      <c r="C156" s="34" t="s">
        <v>1008</v>
      </c>
      <c r="D156" s="34"/>
      <c r="F156" s="36" t="s">
        <v>204</v>
      </c>
      <c r="G156" s="23">
        <v>20000</v>
      </c>
      <c r="H156" s="23">
        <v>20000</v>
      </c>
      <c r="I156" s="37">
        <v>44559</v>
      </c>
      <c r="J156" s="37">
        <f t="shared" si="22"/>
        <v>44589</v>
      </c>
      <c r="K156" s="38">
        <f t="shared" si="23"/>
        <v>30</v>
      </c>
      <c r="L156" s="38" t="str">
        <f t="shared" si="24"/>
        <v>Dejar al valor nominal</v>
      </c>
      <c r="M156" s="38">
        <f t="shared" si="25"/>
        <v>0</v>
      </c>
      <c r="N156" s="272" t="str">
        <f t="shared" si="26"/>
        <v>OK</v>
      </c>
      <c r="P156" s="23"/>
      <c r="Q156" s="23"/>
      <c r="R156" s="23"/>
    </row>
    <row r="157" spans="1:18">
      <c r="A157" s="22">
        <v>23359500</v>
      </c>
      <c r="B157" s="23" t="s">
        <v>36</v>
      </c>
      <c r="C157" s="34" t="s">
        <v>1008</v>
      </c>
      <c r="D157" s="34"/>
      <c r="F157" s="36" t="s">
        <v>204</v>
      </c>
      <c r="G157" s="23">
        <v>2585793.5699999998</v>
      </c>
      <c r="H157" s="23">
        <v>2585793.5699999998</v>
      </c>
      <c r="I157" s="37">
        <v>44546</v>
      </c>
      <c r="J157" s="37">
        <f t="shared" si="22"/>
        <v>44576</v>
      </c>
      <c r="K157" s="38">
        <f t="shared" si="23"/>
        <v>30</v>
      </c>
      <c r="L157" s="38" t="str">
        <f t="shared" si="24"/>
        <v>Dejar al valor nominal</v>
      </c>
      <c r="M157" s="38">
        <f t="shared" si="25"/>
        <v>0</v>
      </c>
      <c r="N157" s="272" t="str">
        <f t="shared" si="26"/>
        <v>OK</v>
      </c>
      <c r="P157" s="23"/>
      <c r="Q157" s="23"/>
      <c r="R157" s="23"/>
    </row>
    <row r="158" spans="1:18">
      <c r="A158" s="22">
        <v>23359500</v>
      </c>
      <c r="B158" s="23" t="s">
        <v>36</v>
      </c>
      <c r="C158" s="34" t="s">
        <v>1008</v>
      </c>
      <c r="D158" s="34"/>
      <c r="F158" s="36" t="s">
        <v>204</v>
      </c>
      <c r="G158" s="23">
        <v>457436</v>
      </c>
      <c r="H158" s="23">
        <v>457436</v>
      </c>
      <c r="I158" s="37">
        <v>44546</v>
      </c>
      <c r="J158" s="37">
        <f t="shared" si="22"/>
        <v>44576</v>
      </c>
      <c r="K158" s="38">
        <f t="shared" si="23"/>
        <v>30</v>
      </c>
      <c r="L158" s="38" t="str">
        <f t="shared" si="24"/>
        <v>Dejar al valor nominal</v>
      </c>
      <c r="M158" s="38">
        <f t="shared" si="25"/>
        <v>0</v>
      </c>
      <c r="N158" s="272" t="str">
        <f t="shared" si="26"/>
        <v>OK</v>
      </c>
      <c r="P158" s="23"/>
      <c r="Q158" s="23"/>
      <c r="R158" s="23"/>
    </row>
    <row r="159" spans="1:18">
      <c r="A159" s="22">
        <v>23359500</v>
      </c>
      <c r="B159" s="23" t="s">
        <v>36</v>
      </c>
      <c r="C159" s="34" t="s">
        <v>1008</v>
      </c>
      <c r="D159" s="34"/>
      <c r="F159" s="36" t="s">
        <v>204</v>
      </c>
      <c r="G159" s="23">
        <v>2822816.95</v>
      </c>
      <c r="H159" s="23">
        <v>2822816.95</v>
      </c>
      <c r="I159" s="37">
        <v>44546</v>
      </c>
      <c r="J159" s="37">
        <f t="shared" si="22"/>
        <v>44576</v>
      </c>
      <c r="K159" s="38">
        <f t="shared" si="23"/>
        <v>30</v>
      </c>
      <c r="L159" s="38" t="str">
        <f t="shared" si="24"/>
        <v>Dejar al valor nominal</v>
      </c>
      <c r="M159" s="38">
        <f t="shared" si="25"/>
        <v>0</v>
      </c>
      <c r="N159" s="272" t="str">
        <f t="shared" si="26"/>
        <v>OK</v>
      </c>
      <c r="P159" s="23"/>
      <c r="Q159" s="23"/>
      <c r="R159" s="23"/>
    </row>
    <row r="160" spans="1:18">
      <c r="A160" s="22">
        <v>23359500</v>
      </c>
      <c r="B160" s="23" t="s">
        <v>36</v>
      </c>
      <c r="C160" s="34" t="s">
        <v>1008</v>
      </c>
      <c r="D160" s="34"/>
      <c r="F160" s="36" t="s">
        <v>204</v>
      </c>
      <c r="G160" s="23">
        <v>1259949.8</v>
      </c>
      <c r="H160" s="23">
        <v>1259949.8</v>
      </c>
      <c r="I160" s="37">
        <v>44534</v>
      </c>
      <c r="J160" s="37">
        <f t="shared" si="22"/>
        <v>44564</v>
      </c>
      <c r="K160" s="38">
        <f t="shared" si="23"/>
        <v>30</v>
      </c>
      <c r="L160" s="38" t="str">
        <f t="shared" si="24"/>
        <v>Dejar al valor nominal</v>
      </c>
      <c r="M160" s="38">
        <f t="shared" si="25"/>
        <v>0</v>
      </c>
      <c r="N160" s="272" t="str">
        <f t="shared" si="26"/>
        <v>OK</v>
      </c>
      <c r="P160" s="23"/>
      <c r="Q160" s="23"/>
      <c r="R160" s="23"/>
    </row>
    <row r="161" spans="1:18">
      <c r="A161" s="22">
        <v>23359500</v>
      </c>
      <c r="B161" s="23" t="s">
        <v>36</v>
      </c>
      <c r="C161" s="34" t="s">
        <v>1008</v>
      </c>
      <c r="D161" s="34"/>
      <c r="F161" s="36" t="s">
        <v>204</v>
      </c>
      <c r="G161" s="23">
        <v>2008278.29</v>
      </c>
      <c r="H161" s="23">
        <v>2008278.29</v>
      </c>
      <c r="I161" s="37">
        <v>44548</v>
      </c>
      <c r="J161" s="37">
        <f t="shared" si="22"/>
        <v>44578</v>
      </c>
      <c r="K161" s="38">
        <f t="shared" si="23"/>
        <v>30</v>
      </c>
      <c r="L161" s="38" t="str">
        <f t="shared" si="24"/>
        <v>Dejar al valor nominal</v>
      </c>
      <c r="M161" s="38">
        <f t="shared" si="25"/>
        <v>0</v>
      </c>
      <c r="N161" s="272" t="str">
        <f t="shared" si="26"/>
        <v>OK</v>
      </c>
      <c r="P161" s="23"/>
      <c r="Q161" s="23"/>
      <c r="R161" s="23"/>
    </row>
    <row r="162" spans="1:18">
      <c r="A162" s="22">
        <v>23359500</v>
      </c>
      <c r="B162" s="23" t="s">
        <v>36</v>
      </c>
      <c r="C162" s="34" t="s">
        <v>1008</v>
      </c>
      <c r="D162" s="34"/>
      <c r="F162" s="36" t="s">
        <v>204</v>
      </c>
      <c r="G162" s="23">
        <v>1813365.73</v>
      </c>
      <c r="H162" s="23">
        <v>1813365.73</v>
      </c>
      <c r="I162" s="37">
        <v>44548</v>
      </c>
      <c r="J162" s="37">
        <f t="shared" ref="J162:J225" si="27">I162+30</f>
        <v>44578</v>
      </c>
      <c r="K162" s="38">
        <f t="shared" ref="K162:K225" si="28">IF(J162-I162&lt;0,"Error",J162-I162)</f>
        <v>30</v>
      </c>
      <c r="L162" s="38" t="str">
        <f t="shared" ref="L162:L225" si="29">IF(K162&gt;365,"Medir al costo amortizado","Dejar al valor nominal")</f>
        <v>Dejar al valor nominal</v>
      </c>
      <c r="M162" s="38">
        <f t="shared" ref="M162:M225" si="30">H162-G162</f>
        <v>0</v>
      </c>
      <c r="N162" s="272" t="str">
        <f t="shared" ref="N162:N225" si="31">IF($N$18-J162&gt;K162,"Revisar","OK")</f>
        <v>OK</v>
      </c>
      <c r="P162" s="23"/>
      <c r="Q162" s="23"/>
      <c r="R162" s="23"/>
    </row>
    <row r="163" spans="1:18">
      <c r="A163" s="22">
        <v>23359500</v>
      </c>
      <c r="B163" s="23" t="s">
        <v>36</v>
      </c>
      <c r="C163" s="34" t="s">
        <v>1008</v>
      </c>
      <c r="D163" s="34"/>
      <c r="F163" s="36" t="s">
        <v>204</v>
      </c>
      <c r="G163" s="23">
        <v>11896980</v>
      </c>
      <c r="H163" s="23">
        <v>11896980</v>
      </c>
      <c r="I163" s="37">
        <v>44533</v>
      </c>
      <c r="J163" s="37">
        <f t="shared" si="27"/>
        <v>44563</v>
      </c>
      <c r="K163" s="38">
        <f t="shared" si="28"/>
        <v>30</v>
      </c>
      <c r="L163" s="38" t="str">
        <f t="shared" si="29"/>
        <v>Dejar al valor nominal</v>
      </c>
      <c r="M163" s="38">
        <f t="shared" si="30"/>
        <v>0</v>
      </c>
      <c r="N163" s="272" t="str">
        <f t="shared" si="31"/>
        <v>OK</v>
      </c>
      <c r="P163" s="23"/>
      <c r="Q163" s="23"/>
      <c r="R163" s="23"/>
    </row>
    <row r="164" spans="1:18">
      <c r="A164" s="22">
        <v>23359500</v>
      </c>
      <c r="B164" s="23" t="s">
        <v>36</v>
      </c>
      <c r="C164" s="34" t="s">
        <v>1008</v>
      </c>
      <c r="D164" s="34"/>
      <c r="F164" s="36" t="s">
        <v>204</v>
      </c>
      <c r="G164" s="23">
        <v>8750315</v>
      </c>
      <c r="H164" s="23">
        <v>8750315</v>
      </c>
      <c r="I164" s="37">
        <v>44533</v>
      </c>
      <c r="J164" s="37">
        <f t="shared" si="27"/>
        <v>44563</v>
      </c>
      <c r="K164" s="38">
        <f t="shared" si="28"/>
        <v>30</v>
      </c>
      <c r="L164" s="38" t="str">
        <f t="shared" si="29"/>
        <v>Dejar al valor nominal</v>
      </c>
      <c r="M164" s="38">
        <f t="shared" si="30"/>
        <v>0</v>
      </c>
      <c r="N164" s="272" t="str">
        <f t="shared" si="31"/>
        <v>OK</v>
      </c>
      <c r="P164" s="23"/>
      <c r="Q164" s="23"/>
      <c r="R164" s="23"/>
    </row>
    <row r="165" spans="1:18">
      <c r="A165" s="22">
        <v>23359500</v>
      </c>
      <c r="B165" s="23" t="s">
        <v>36</v>
      </c>
      <c r="C165" s="34" t="s">
        <v>1008</v>
      </c>
      <c r="D165" s="34"/>
      <c r="F165" s="36" t="s">
        <v>204</v>
      </c>
      <c r="G165" s="23">
        <v>73760</v>
      </c>
      <c r="H165" s="23">
        <v>73760</v>
      </c>
      <c r="I165" s="37">
        <v>44561</v>
      </c>
      <c r="J165" s="37">
        <f t="shared" si="27"/>
        <v>44591</v>
      </c>
      <c r="K165" s="38">
        <f t="shared" si="28"/>
        <v>30</v>
      </c>
      <c r="L165" s="38" t="str">
        <f t="shared" si="29"/>
        <v>Dejar al valor nominal</v>
      </c>
      <c r="M165" s="38">
        <f t="shared" si="30"/>
        <v>0</v>
      </c>
      <c r="N165" s="272" t="str">
        <f t="shared" si="31"/>
        <v>OK</v>
      </c>
      <c r="P165" s="23"/>
      <c r="Q165" s="23"/>
      <c r="R165" s="23"/>
    </row>
    <row r="166" spans="1:18">
      <c r="A166" s="22">
        <v>23359500</v>
      </c>
      <c r="B166" s="23" t="s">
        <v>36</v>
      </c>
      <c r="C166" s="34" t="s">
        <v>1008</v>
      </c>
      <c r="D166" s="34"/>
      <c r="F166" s="36" t="s">
        <v>204</v>
      </c>
      <c r="G166" s="23">
        <v>323328</v>
      </c>
      <c r="H166" s="23">
        <v>323328</v>
      </c>
      <c r="I166" s="37">
        <v>44561</v>
      </c>
      <c r="J166" s="37">
        <f t="shared" si="27"/>
        <v>44591</v>
      </c>
      <c r="K166" s="38">
        <f t="shared" si="28"/>
        <v>30</v>
      </c>
      <c r="L166" s="38" t="str">
        <f t="shared" si="29"/>
        <v>Dejar al valor nominal</v>
      </c>
      <c r="M166" s="38">
        <f t="shared" si="30"/>
        <v>0</v>
      </c>
      <c r="N166" s="272" t="str">
        <f t="shared" si="31"/>
        <v>OK</v>
      </c>
      <c r="P166" s="23"/>
      <c r="Q166" s="23"/>
      <c r="R166" s="23"/>
    </row>
    <row r="167" spans="1:18">
      <c r="A167" s="22">
        <v>23359500</v>
      </c>
      <c r="B167" s="23" t="s">
        <v>36</v>
      </c>
      <c r="C167" s="34" t="s">
        <v>1008</v>
      </c>
      <c r="D167" s="34"/>
      <c r="F167" s="36" t="s">
        <v>204</v>
      </c>
      <c r="G167" s="23">
        <v>604380</v>
      </c>
      <c r="H167" s="23">
        <v>604380</v>
      </c>
      <c r="I167" s="37">
        <v>44520</v>
      </c>
      <c r="J167" s="37">
        <f t="shared" si="27"/>
        <v>44550</v>
      </c>
      <c r="K167" s="38">
        <f t="shared" si="28"/>
        <v>30</v>
      </c>
      <c r="L167" s="38" t="str">
        <f t="shared" si="29"/>
        <v>Dejar al valor nominal</v>
      </c>
      <c r="M167" s="38">
        <f t="shared" si="30"/>
        <v>0</v>
      </c>
      <c r="N167" s="272" t="str">
        <f t="shared" si="31"/>
        <v>OK</v>
      </c>
    </row>
    <row r="168" spans="1:18">
      <c r="A168" s="22">
        <v>23359500</v>
      </c>
      <c r="B168" s="23" t="s">
        <v>36</v>
      </c>
      <c r="C168" s="34" t="s">
        <v>1008</v>
      </c>
      <c r="D168" s="34"/>
      <c r="F168" s="36" t="s">
        <v>204</v>
      </c>
      <c r="G168" s="23">
        <v>196350</v>
      </c>
      <c r="H168" s="23">
        <v>196350</v>
      </c>
      <c r="I168" s="37">
        <v>44520</v>
      </c>
      <c r="J168" s="37">
        <f t="shared" si="27"/>
        <v>44550</v>
      </c>
      <c r="K168" s="38">
        <f t="shared" si="28"/>
        <v>30</v>
      </c>
      <c r="L168" s="38" t="str">
        <f t="shared" si="29"/>
        <v>Dejar al valor nominal</v>
      </c>
      <c r="M168" s="38">
        <f t="shared" si="30"/>
        <v>0</v>
      </c>
      <c r="N168" s="272" t="str">
        <f t="shared" si="31"/>
        <v>OK</v>
      </c>
    </row>
    <row r="169" spans="1:18">
      <c r="A169" s="22">
        <v>23359500</v>
      </c>
      <c r="B169" s="23" t="s">
        <v>36</v>
      </c>
      <c r="C169" s="34" t="s">
        <v>1008</v>
      </c>
      <c r="D169" s="34"/>
      <c r="F169" s="36" t="s">
        <v>204</v>
      </c>
      <c r="G169" s="23">
        <v>628439</v>
      </c>
      <c r="H169" s="23">
        <v>628439</v>
      </c>
      <c r="I169" s="37">
        <v>44510</v>
      </c>
      <c r="J169" s="37">
        <f t="shared" si="27"/>
        <v>44540</v>
      </c>
      <c r="K169" s="38">
        <f t="shared" si="28"/>
        <v>30</v>
      </c>
      <c r="L169" s="38" t="str">
        <f t="shared" si="29"/>
        <v>Dejar al valor nominal</v>
      </c>
      <c r="M169" s="38">
        <f t="shared" si="30"/>
        <v>0</v>
      </c>
      <c r="N169" s="272" t="str">
        <f t="shared" si="31"/>
        <v>OK</v>
      </c>
      <c r="P169" s="23"/>
      <c r="Q169" s="23"/>
      <c r="R169" s="23"/>
    </row>
    <row r="170" spans="1:18">
      <c r="A170" s="22">
        <v>23359500</v>
      </c>
      <c r="B170" s="23" t="s">
        <v>36</v>
      </c>
      <c r="C170" s="34" t="s">
        <v>1008</v>
      </c>
      <c r="D170" s="34"/>
      <c r="F170" s="36" t="s">
        <v>204</v>
      </c>
      <c r="G170" s="23">
        <v>628439</v>
      </c>
      <c r="H170" s="23">
        <v>628439</v>
      </c>
      <c r="I170" s="37">
        <v>44510</v>
      </c>
      <c r="J170" s="37">
        <f t="shared" si="27"/>
        <v>44540</v>
      </c>
      <c r="K170" s="38">
        <f t="shared" si="28"/>
        <v>30</v>
      </c>
      <c r="L170" s="38" t="str">
        <f t="shared" si="29"/>
        <v>Dejar al valor nominal</v>
      </c>
      <c r="M170" s="38">
        <f t="shared" si="30"/>
        <v>0</v>
      </c>
      <c r="N170" s="272" t="str">
        <f t="shared" si="31"/>
        <v>OK</v>
      </c>
      <c r="P170" s="23"/>
      <c r="Q170" s="23"/>
      <c r="R170" s="23"/>
    </row>
    <row r="171" spans="1:18">
      <c r="A171" s="22">
        <v>23359500</v>
      </c>
      <c r="B171" s="23" t="s">
        <v>36</v>
      </c>
      <c r="C171" s="34" t="s">
        <v>1008</v>
      </c>
      <c r="D171" s="34"/>
      <c r="F171" s="36" t="s">
        <v>204</v>
      </c>
      <c r="G171" s="23">
        <v>172550</v>
      </c>
      <c r="H171" s="23">
        <v>172550</v>
      </c>
      <c r="I171" s="37">
        <v>44517</v>
      </c>
      <c r="J171" s="37">
        <f t="shared" si="27"/>
        <v>44547</v>
      </c>
      <c r="K171" s="38">
        <f t="shared" si="28"/>
        <v>30</v>
      </c>
      <c r="L171" s="38" t="str">
        <f t="shared" si="29"/>
        <v>Dejar al valor nominal</v>
      </c>
      <c r="M171" s="38">
        <f t="shared" si="30"/>
        <v>0</v>
      </c>
      <c r="N171" s="272" t="str">
        <f t="shared" si="31"/>
        <v>OK</v>
      </c>
      <c r="P171" s="23"/>
      <c r="Q171" s="23"/>
      <c r="R171" s="23"/>
    </row>
    <row r="172" spans="1:18">
      <c r="A172" s="22">
        <v>23359500</v>
      </c>
      <c r="B172" s="23" t="s">
        <v>36</v>
      </c>
      <c r="C172" s="34" t="s">
        <v>1008</v>
      </c>
      <c r="D172" s="34"/>
      <c r="F172" s="36" t="s">
        <v>204</v>
      </c>
      <c r="G172" s="23">
        <v>172550</v>
      </c>
      <c r="H172" s="23">
        <v>172550</v>
      </c>
      <c r="I172" s="37">
        <v>44517</v>
      </c>
      <c r="J172" s="37">
        <f t="shared" si="27"/>
        <v>44547</v>
      </c>
      <c r="K172" s="38">
        <f t="shared" si="28"/>
        <v>30</v>
      </c>
      <c r="L172" s="38" t="str">
        <f t="shared" si="29"/>
        <v>Dejar al valor nominal</v>
      </c>
      <c r="M172" s="38">
        <f t="shared" si="30"/>
        <v>0</v>
      </c>
      <c r="N172" s="272" t="str">
        <f t="shared" si="31"/>
        <v>OK</v>
      </c>
      <c r="P172" s="23"/>
      <c r="Q172" s="23"/>
      <c r="R172" s="23"/>
    </row>
    <row r="173" spans="1:18">
      <c r="A173" s="22">
        <v>23359500</v>
      </c>
      <c r="B173" s="23" t="s">
        <v>36</v>
      </c>
      <c r="C173" s="34" t="s">
        <v>1008</v>
      </c>
      <c r="D173" s="34"/>
      <c r="F173" s="36" t="s">
        <v>204</v>
      </c>
      <c r="G173" s="23">
        <v>1526227.5</v>
      </c>
      <c r="H173" s="23">
        <v>1526227.5</v>
      </c>
      <c r="I173" s="37">
        <v>44517</v>
      </c>
      <c r="J173" s="37">
        <f t="shared" si="27"/>
        <v>44547</v>
      </c>
      <c r="K173" s="38">
        <f t="shared" si="28"/>
        <v>30</v>
      </c>
      <c r="L173" s="38" t="str">
        <f t="shared" si="29"/>
        <v>Dejar al valor nominal</v>
      </c>
      <c r="M173" s="38">
        <f t="shared" si="30"/>
        <v>0</v>
      </c>
      <c r="N173" s="272" t="str">
        <f t="shared" si="31"/>
        <v>OK</v>
      </c>
      <c r="P173" s="23"/>
      <c r="Q173" s="23"/>
      <c r="R173" s="23"/>
    </row>
    <row r="174" spans="1:18">
      <c r="A174" s="22">
        <v>23359500</v>
      </c>
      <c r="B174" s="23" t="s">
        <v>36</v>
      </c>
      <c r="C174" s="34" t="s">
        <v>1008</v>
      </c>
      <c r="D174" s="34"/>
      <c r="F174" s="36" t="s">
        <v>204</v>
      </c>
      <c r="G174" s="23">
        <v>10400</v>
      </c>
      <c r="H174" s="23">
        <v>10400</v>
      </c>
      <c r="I174" s="37">
        <v>44553</v>
      </c>
      <c r="J174" s="37">
        <f t="shared" si="27"/>
        <v>44583</v>
      </c>
      <c r="K174" s="38">
        <f t="shared" si="28"/>
        <v>30</v>
      </c>
      <c r="L174" s="38" t="str">
        <f t="shared" si="29"/>
        <v>Dejar al valor nominal</v>
      </c>
      <c r="M174" s="38">
        <f t="shared" si="30"/>
        <v>0</v>
      </c>
      <c r="N174" s="272" t="str">
        <f t="shared" si="31"/>
        <v>OK</v>
      </c>
      <c r="P174" s="23"/>
      <c r="Q174" s="23"/>
      <c r="R174" s="23"/>
    </row>
    <row r="175" spans="1:18">
      <c r="A175" s="22">
        <v>23359500</v>
      </c>
      <c r="B175" s="23" t="s">
        <v>36</v>
      </c>
      <c r="C175" s="34" t="s">
        <v>1008</v>
      </c>
      <c r="D175" s="34"/>
      <c r="F175" s="36" t="s">
        <v>204</v>
      </c>
      <c r="G175" s="23">
        <v>75600</v>
      </c>
      <c r="H175" s="23">
        <v>75600</v>
      </c>
      <c r="I175" s="37">
        <v>44561</v>
      </c>
      <c r="J175" s="37">
        <f t="shared" si="27"/>
        <v>44591</v>
      </c>
      <c r="K175" s="38">
        <f t="shared" si="28"/>
        <v>30</v>
      </c>
      <c r="L175" s="38" t="str">
        <f t="shared" si="29"/>
        <v>Dejar al valor nominal</v>
      </c>
      <c r="M175" s="38">
        <f t="shared" si="30"/>
        <v>0</v>
      </c>
      <c r="N175" s="272" t="str">
        <f t="shared" si="31"/>
        <v>OK</v>
      </c>
      <c r="P175" s="23"/>
      <c r="Q175" s="23"/>
      <c r="R175" s="23"/>
    </row>
    <row r="176" spans="1:18">
      <c r="A176" s="22">
        <v>23359500</v>
      </c>
      <c r="B176" s="23" t="s">
        <v>36</v>
      </c>
      <c r="C176" s="34" t="s">
        <v>1008</v>
      </c>
      <c r="D176" s="34"/>
      <c r="F176" s="36" t="s">
        <v>204</v>
      </c>
      <c r="G176" s="23">
        <v>252000</v>
      </c>
      <c r="H176" s="23">
        <v>252000</v>
      </c>
      <c r="I176" s="37">
        <v>44561</v>
      </c>
      <c r="J176" s="37">
        <f t="shared" si="27"/>
        <v>44591</v>
      </c>
      <c r="K176" s="38">
        <f t="shared" si="28"/>
        <v>30</v>
      </c>
      <c r="L176" s="38" t="str">
        <f t="shared" si="29"/>
        <v>Dejar al valor nominal</v>
      </c>
      <c r="M176" s="38">
        <f t="shared" si="30"/>
        <v>0</v>
      </c>
      <c r="N176" s="272" t="str">
        <f t="shared" si="31"/>
        <v>OK</v>
      </c>
      <c r="P176" s="23"/>
      <c r="Q176" s="23"/>
      <c r="R176" s="23"/>
    </row>
    <row r="177" spans="1:18">
      <c r="A177" s="22">
        <v>23359500</v>
      </c>
      <c r="B177" s="23" t="s">
        <v>36</v>
      </c>
      <c r="C177" s="34" t="s">
        <v>1008</v>
      </c>
      <c r="D177" s="34"/>
      <c r="F177" s="36" t="s">
        <v>204</v>
      </c>
      <c r="G177" s="23">
        <v>2430980.84</v>
      </c>
      <c r="H177" s="23">
        <v>2430980.84</v>
      </c>
      <c r="I177" s="37">
        <v>44523</v>
      </c>
      <c r="J177" s="37">
        <f t="shared" si="27"/>
        <v>44553</v>
      </c>
      <c r="K177" s="38">
        <f t="shared" si="28"/>
        <v>30</v>
      </c>
      <c r="L177" s="38" t="str">
        <f t="shared" si="29"/>
        <v>Dejar al valor nominal</v>
      </c>
      <c r="M177" s="38">
        <f t="shared" si="30"/>
        <v>0</v>
      </c>
      <c r="N177" s="272" t="str">
        <f t="shared" si="31"/>
        <v>OK</v>
      </c>
      <c r="P177" s="23"/>
      <c r="Q177" s="23"/>
      <c r="R177" s="23"/>
    </row>
    <row r="178" spans="1:18">
      <c r="A178" s="22">
        <v>23359500</v>
      </c>
      <c r="B178" s="23" t="s">
        <v>36</v>
      </c>
      <c r="C178" s="34" t="s">
        <v>1008</v>
      </c>
      <c r="D178" s="34"/>
      <c r="F178" s="36" t="s">
        <v>204</v>
      </c>
      <c r="G178" s="23">
        <v>2430980.84</v>
      </c>
      <c r="H178" s="23">
        <v>2430980.84</v>
      </c>
      <c r="I178" s="37">
        <v>44544</v>
      </c>
      <c r="J178" s="37">
        <f t="shared" si="27"/>
        <v>44574</v>
      </c>
      <c r="K178" s="38">
        <f t="shared" si="28"/>
        <v>30</v>
      </c>
      <c r="L178" s="38" t="str">
        <f t="shared" si="29"/>
        <v>Dejar al valor nominal</v>
      </c>
      <c r="M178" s="38">
        <f t="shared" si="30"/>
        <v>0</v>
      </c>
      <c r="N178" s="272" t="str">
        <f t="shared" si="31"/>
        <v>OK</v>
      </c>
      <c r="P178" s="23"/>
      <c r="Q178" s="23"/>
      <c r="R178" s="23"/>
    </row>
    <row r="179" spans="1:18">
      <c r="A179" s="22">
        <v>23359500</v>
      </c>
      <c r="B179" s="23" t="s">
        <v>36</v>
      </c>
      <c r="C179" s="34" t="s">
        <v>1008</v>
      </c>
      <c r="D179" s="34"/>
      <c r="F179" s="36" t="s">
        <v>204</v>
      </c>
      <c r="G179" s="23">
        <v>1183108.5</v>
      </c>
      <c r="H179" s="23">
        <v>1183108.5</v>
      </c>
      <c r="I179" s="37">
        <v>44525</v>
      </c>
      <c r="J179" s="37">
        <f t="shared" si="27"/>
        <v>44555</v>
      </c>
      <c r="K179" s="38">
        <f t="shared" si="28"/>
        <v>30</v>
      </c>
      <c r="L179" s="38" t="str">
        <f t="shared" si="29"/>
        <v>Dejar al valor nominal</v>
      </c>
      <c r="M179" s="38">
        <f t="shared" si="30"/>
        <v>0</v>
      </c>
      <c r="N179" s="272" t="str">
        <f t="shared" si="31"/>
        <v>OK</v>
      </c>
      <c r="P179" s="23"/>
      <c r="Q179" s="23"/>
      <c r="R179" s="23"/>
    </row>
    <row r="180" spans="1:18">
      <c r="A180" s="22">
        <v>23359500</v>
      </c>
      <c r="B180" s="23" t="s">
        <v>36</v>
      </c>
      <c r="C180" s="34" t="s">
        <v>1008</v>
      </c>
      <c r="D180" s="34"/>
      <c r="F180" s="36" t="s">
        <v>204</v>
      </c>
      <c r="G180" s="23">
        <v>470344</v>
      </c>
      <c r="H180" s="23">
        <v>470344</v>
      </c>
      <c r="I180" s="37">
        <v>44525</v>
      </c>
      <c r="J180" s="37">
        <f t="shared" si="27"/>
        <v>44555</v>
      </c>
      <c r="K180" s="38">
        <f t="shared" si="28"/>
        <v>30</v>
      </c>
      <c r="L180" s="38" t="str">
        <f t="shared" si="29"/>
        <v>Dejar al valor nominal</v>
      </c>
      <c r="M180" s="38">
        <f t="shared" si="30"/>
        <v>0</v>
      </c>
      <c r="N180" s="272" t="str">
        <f t="shared" si="31"/>
        <v>OK</v>
      </c>
      <c r="P180" s="23"/>
      <c r="Q180" s="23"/>
      <c r="R180" s="23"/>
    </row>
    <row r="181" spans="1:18">
      <c r="A181" s="22">
        <v>23359500</v>
      </c>
      <c r="B181" s="23" t="s">
        <v>36</v>
      </c>
      <c r="C181" s="34" t="s">
        <v>1008</v>
      </c>
      <c r="D181" s="34"/>
      <c r="F181" s="36" t="s">
        <v>204</v>
      </c>
      <c r="G181" s="23">
        <v>5315415</v>
      </c>
      <c r="H181" s="23">
        <v>5315415</v>
      </c>
      <c r="I181" s="37">
        <v>44525</v>
      </c>
      <c r="J181" s="37">
        <f t="shared" si="27"/>
        <v>44555</v>
      </c>
      <c r="K181" s="38">
        <f t="shared" si="28"/>
        <v>30</v>
      </c>
      <c r="L181" s="38" t="str">
        <f t="shared" si="29"/>
        <v>Dejar al valor nominal</v>
      </c>
      <c r="M181" s="38">
        <f t="shared" si="30"/>
        <v>0</v>
      </c>
      <c r="N181" s="272" t="str">
        <f t="shared" si="31"/>
        <v>OK</v>
      </c>
      <c r="P181" s="23"/>
      <c r="Q181" s="23"/>
      <c r="R181" s="23"/>
    </row>
    <row r="182" spans="1:18">
      <c r="A182" s="22">
        <v>23359500</v>
      </c>
      <c r="B182" s="23" t="s">
        <v>36</v>
      </c>
      <c r="C182" s="34" t="s">
        <v>1008</v>
      </c>
      <c r="D182" s="34"/>
      <c r="F182" s="36" t="s">
        <v>204</v>
      </c>
      <c r="G182" s="23">
        <v>2954610</v>
      </c>
      <c r="H182" s="23">
        <v>2954610</v>
      </c>
      <c r="I182" s="37">
        <v>44525</v>
      </c>
      <c r="J182" s="37">
        <f t="shared" si="27"/>
        <v>44555</v>
      </c>
      <c r="K182" s="38">
        <f t="shared" si="28"/>
        <v>30</v>
      </c>
      <c r="L182" s="38" t="str">
        <f t="shared" si="29"/>
        <v>Dejar al valor nominal</v>
      </c>
      <c r="M182" s="38">
        <f t="shared" si="30"/>
        <v>0</v>
      </c>
      <c r="N182" s="272" t="str">
        <f t="shared" si="31"/>
        <v>OK</v>
      </c>
      <c r="P182" s="23"/>
      <c r="Q182" s="23"/>
      <c r="R182" s="23"/>
    </row>
    <row r="183" spans="1:18">
      <c r="A183" s="22">
        <v>23359500</v>
      </c>
      <c r="B183" s="23" t="s">
        <v>36</v>
      </c>
      <c r="C183" s="34" t="s">
        <v>1008</v>
      </c>
      <c r="D183" s="34"/>
      <c r="F183" s="36" t="s">
        <v>204</v>
      </c>
      <c r="G183" s="23">
        <v>640809</v>
      </c>
      <c r="H183" s="23">
        <v>640809</v>
      </c>
      <c r="I183" s="37">
        <v>44525</v>
      </c>
      <c r="J183" s="37">
        <f t="shared" si="27"/>
        <v>44555</v>
      </c>
      <c r="K183" s="38">
        <f t="shared" si="28"/>
        <v>30</v>
      </c>
      <c r="L183" s="38" t="str">
        <f t="shared" si="29"/>
        <v>Dejar al valor nominal</v>
      </c>
      <c r="M183" s="38">
        <f t="shared" si="30"/>
        <v>0</v>
      </c>
      <c r="N183" s="272" t="str">
        <f t="shared" si="31"/>
        <v>OK</v>
      </c>
      <c r="P183" s="23"/>
      <c r="Q183" s="23"/>
      <c r="R183" s="23"/>
    </row>
    <row r="184" spans="1:18">
      <c r="A184" s="22">
        <v>23359500</v>
      </c>
      <c r="B184" s="23" t="s">
        <v>36</v>
      </c>
      <c r="C184" s="34" t="s">
        <v>1008</v>
      </c>
      <c r="D184" s="34"/>
      <c r="F184" s="36" t="s">
        <v>204</v>
      </c>
      <c r="G184" s="23">
        <v>712500</v>
      </c>
      <c r="H184" s="23">
        <v>712500</v>
      </c>
      <c r="I184" s="37">
        <v>44525</v>
      </c>
      <c r="J184" s="37">
        <f t="shared" si="27"/>
        <v>44555</v>
      </c>
      <c r="K184" s="38">
        <f t="shared" si="28"/>
        <v>30</v>
      </c>
      <c r="L184" s="38" t="str">
        <f t="shared" si="29"/>
        <v>Dejar al valor nominal</v>
      </c>
      <c r="M184" s="38">
        <f t="shared" si="30"/>
        <v>0</v>
      </c>
      <c r="N184" s="272" t="str">
        <f t="shared" si="31"/>
        <v>OK</v>
      </c>
      <c r="P184" s="23"/>
      <c r="Q184" s="23"/>
      <c r="R184" s="23"/>
    </row>
    <row r="185" spans="1:18">
      <c r="A185" s="22">
        <v>23359500</v>
      </c>
      <c r="B185" s="23" t="s">
        <v>36</v>
      </c>
      <c r="C185" s="34" t="s">
        <v>1008</v>
      </c>
      <c r="D185" s="34"/>
      <c r="F185" s="36" t="s">
        <v>204</v>
      </c>
      <c r="G185" s="23">
        <v>4903899</v>
      </c>
      <c r="H185" s="23">
        <v>4903899</v>
      </c>
      <c r="I185" s="37">
        <v>44525</v>
      </c>
      <c r="J185" s="37">
        <f t="shared" si="27"/>
        <v>44555</v>
      </c>
      <c r="K185" s="38">
        <f t="shared" si="28"/>
        <v>30</v>
      </c>
      <c r="L185" s="38" t="str">
        <f t="shared" si="29"/>
        <v>Dejar al valor nominal</v>
      </c>
      <c r="M185" s="38">
        <f t="shared" si="30"/>
        <v>0</v>
      </c>
      <c r="N185" s="272" t="str">
        <f t="shared" si="31"/>
        <v>OK</v>
      </c>
      <c r="P185" s="23"/>
      <c r="Q185" s="23"/>
      <c r="R185" s="23"/>
    </row>
    <row r="186" spans="1:18">
      <c r="A186" s="22">
        <v>23359500</v>
      </c>
      <c r="B186" s="23" t="s">
        <v>36</v>
      </c>
      <c r="C186" s="34" t="s">
        <v>1008</v>
      </c>
      <c r="D186" s="34"/>
      <c r="F186" s="36" t="s">
        <v>204</v>
      </c>
      <c r="G186" s="23">
        <v>1009151.09</v>
      </c>
      <c r="H186" s="23">
        <v>1009151.09</v>
      </c>
      <c r="I186" s="37">
        <v>44539</v>
      </c>
      <c r="J186" s="37">
        <f t="shared" si="27"/>
        <v>44569</v>
      </c>
      <c r="K186" s="38">
        <f t="shared" si="28"/>
        <v>30</v>
      </c>
      <c r="L186" s="38" t="str">
        <f t="shared" si="29"/>
        <v>Dejar al valor nominal</v>
      </c>
      <c r="M186" s="38">
        <f t="shared" si="30"/>
        <v>0</v>
      </c>
      <c r="N186" s="272" t="str">
        <f t="shared" si="31"/>
        <v>OK</v>
      </c>
      <c r="P186" s="23"/>
      <c r="Q186" s="23"/>
      <c r="R186" s="23"/>
    </row>
    <row r="187" spans="1:18">
      <c r="A187" s="22">
        <v>23359500</v>
      </c>
      <c r="B187" s="23" t="s">
        <v>36</v>
      </c>
      <c r="C187" s="34" t="s">
        <v>1008</v>
      </c>
      <c r="D187" s="34"/>
      <c r="F187" s="36" t="s">
        <v>204</v>
      </c>
      <c r="G187" s="23">
        <v>800604</v>
      </c>
      <c r="H187" s="23">
        <v>800604</v>
      </c>
      <c r="I187" s="37">
        <v>44547</v>
      </c>
      <c r="J187" s="37">
        <f t="shared" si="27"/>
        <v>44577</v>
      </c>
      <c r="K187" s="38">
        <f t="shared" si="28"/>
        <v>30</v>
      </c>
      <c r="L187" s="38" t="str">
        <f t="shared" si="29"/>
        <v>Dejar al valor nominal</v>
      </c>
      <c r="M187" s="38">
        <f t="shared" si="30"/>
        <v>0</v>
      </c>
      <c r="N187" s="272" t="str">
        <f t="shared" si="31"/>
        <v>OK</v>
      </c>
      <c r="P187" s="23"/>
      <c r="Q187" s="23"/>
      <c r="R187" s="23"/>
    </row>
    <row r="188" spans="1:18">
      <c r="A188" s="22">
        <v>23359500</v>
      </c>
      <c r="B188" s="23" t="s">
        <v>36</v>
      </c>
      <c r="C188" s="34" t="s">
        <v>1008</v>
      </c>
      <c r="D188" s="34"/>
      <c r="F188" s="36" t="s">
        <v>204</v>
      </c>
      <c r="G188" s="23">
        <v>749253.6</v>
      </c>
      <c r="H188" s="23">
        <v>749253.6</v>
      </c>
      <c r="I188" s="37">
        <v>44547</v>
      </c>
      <c r="J188" s="37">
        <f t="shared" si="27"/>
        <v>44577</v>
      </c>
      <c r="K188" s="38">
        <f t="shared" si="28"/>
        <v>30</v>
      </c>
      <c r="L188" s="38" t="str">
        <f t="shared" si="29"/>
        <v>Dejar al valor nominal</v>
      </c>
      <c r="M188" s="38">
        <f t="shared" si="30"/>
        <v>0</v>
      </c>
      <c r="N188" s="272" t="str">
        <f t="shared" si="31"/>
        <v>OK</v>
      </c>
      <c r="P188" s="23"/>
      <c r="Q188" s="23"/>
      <c r="R188" s="23"/>
    </row>
    <row r="189" spans="1:18">
      <c r="A189" s="22">
        <v>23359500</v>
      </c>
      <c r="B189" s="23" t="s">
        <v>36</v>
      </c>
      <c r="C189" s="34" t="s">
        <v>1008</v>
      </c>
      <c r="D189" s="34"/>
      <c r="F189" s="36" t="s">
        <v>204</v>
      </c>
      <c r="G189" s="23">
        <v>304000</v>
      </c>
      <c r="H189" s="23">
        <v>304000</v>
      </c>
      <c r="I189" s="37">
        <v>44547</v>
      </c>
      <c r="J189" s="37">
        <f t="shared" si="27"/>
        <v>44577</v>
      </c>
      <c r="K189" s="38">
        <f t="shared" si="28"/>
        <v>30</v>
      </c>
      <c r="L189" s="38" t="str">
        <f t="shared" si="29"/>
        <v>Dejar al valor nominal</v>
      </c>
      <c r="M189" s="38">
        <f t="shared" si="30"/>
        <v>0</v>
      </c>
      <c r="N189" s="272" t="str">
        <f t="shared" si="31"/>
        <v>OK</v>
      </c>
      <c r="P189" s="23"/>
      <c r="Q189" s="23"/>
      <c r="R189" s="23"/>
    </row>
    <row r="190" spans="1:18">
      <c r="A190" s="22">
        <v>23359500</v>
      </c>
      <c r="B190" s="23" t="s">
        <v>36</v>
      </c>
      <c r="C190" s="34" t="s">
        <v>1008</v>
      </c>
      <c r="D190" s="34"/>
      <c r="F190" s="36" t="s">
        <v>204</v>
      </c>
      <c r="G190" s="23">
        <v>1667925</v>
      </c>
      <c r="H190" s="23">
        <v>1667925</v>
      </c>
      <c r="I190" s="37">
        <v>44547</v>
      </c>
      <c r="J190" s="37">
        <f t="shared" si="27"/>
        <v>44577</v>
      </c>
      <c r="K190" s="38">
        <f t="shared" si="28"/>
        <v>30</v>
      </c>
      <c r="L190" s="38" t="str">
        <f t="shared" si="29"/>
        <v>Dejar al valor nominal</v>
      </c>
      <c r="M190" s="38">
        <f t="shared" si="30"/>
        <v>0</v>
      </c>
      <c r="N190" s="272" t="str">
        <f t="shared" si="31"/>
        <v>OK</v>
      </c>
      <c r="P190" s="23"/>
      <c r="Q190" s="23"/>
      <c r="R190" s="23"/>
    </row>
    <row r="191" spans="1:18">
      <c r="A191" s="22">
        <v>23359500</v>
      </c>
      <c r="B191" s="23" t="s">
        <v>36</v>
      </c>
      <c r="C191" s="34" t="s">
        <v>1008</v>
      </c>
      <c r="D191" s="34"/>
      <c r="F191" s="36" t="s">
        <v>204</v>
      </c>
      <c r="G191" s="23">
        <v>749253.6</v>
      </c>
      <c r="H191" s="23">
        <v>749253.6</v>
      </c>
      <c r="I191" s="37">
        <v>44547</v>
      </c>
      <c r="J191" s="37">
        <f t="shared" si="27"/>
        <v>44577</v>
      </c>
      <c r="K191" s="38">
        <f t="shared" si="28"/>
        <v>30</v>
      </c>
      <c r="L191" s="38" t="str">
        <f t="shared" si="29"/>
        <v>Dejar al valor nominal</v>
      </c>
      <c r="M191" s="38">
        <f t="shared" si="30"/>
        <v>0</v>
      </c>
      <c r="N191" s="272" t="str">
        <f t="shared" si="31"/>
        <v>OK</v>
      </c>
      <c r="P191" s="23"/>
      <c r="Q191" s="23"/>
      <c r="R191" s="23"/>
    </row>
    <row r="192" spans="1:18">
      <c r="A192" s="22">
        <v>23359500</v>
      </c>
      <c r="B192" s="23" t="s">
        <v>36</v>
      </c>
      <c r="C192" s="34" t="s">
        <v>1008</v>
      </c>
      <c r="D192" s="34"/>
      <c r="F192" s="36" t="s">
        <v>204</v>
      </c>
      <c r="G192" s="23">
        <v>476900</v>
      </c>
      <c r="H192" s="23">
        <v>476900</v>
      </c>
      <c r="I192" s="37">
        <v>44547</v>
      </c>
      <c r="J192" s="37">
        <f t="shared" si="27"/>
        <v>44577</v>
      </c>
      <c r="K192" s="38">
        <f t="shared" si="28"/>
        <v>30</v>
      </c>
      <c r="L192" s="38" t="str">
        <f t="shared" si="29"/>
        <v>Dejar al valor nominal</v>
      </c>
      <c r="M192" s="38">
        <f t="shared" si="30"/>
        <v>0</v>
      </c>
      <c r="N192" s="272" t="str">
        <f t="shared" si="31"/>
        <v>OK</v>
      </c>
      <c r="P192" s="23"/>
      <c r="Q192" s="23"/>
      <c r="R192" s="23"/>
    </row>
    <row r="193" spans="1:18">
      <c r="A193" s="22">
        <v>23359500</v>
      </c>
      <c r="B193" s="23" t="s">
        <v>36</v>
      </c>
      <c r="C193" s="34" t="s">
        <v>1008</v>
      </c>
      <c r="D193" s="34"/>
      <c r="F193" s="36" t="s">
        <v>204</v>
      </c>
      <c r="G193" s="23">
        <v>470344</v>
      </c>
      <c r="H193" s="23">
        <v>470344</v>
      </c>
      <c r="I193" s="37">
        <v>44547</v>
      </c>
      <c r="J193" s="37">
        <f t="shared" si="27"/>
        <v>44577</v>
      </c>
      <c r="K193" s="38">
        <f t="shared" si="28"/>
        <v>30</v>
      </c>
      <c r="L193" s="38" t="str">
        <f t="shared" si="29"/>
        <v>Dejar al valor nominal</v>
      </c>
      <c r="M193" s="38">
        <f t="shared" si="30"/>
        <v>0</v>
      </c>
      <c r="N193" s="272" t="str">
        <f t="shared" si="31"/>
        <v>OK</v>
      </c>
      <c r="P193" s="23"/>
      <c r="Q193" s="23"/>
      <c r="R193" s="23"/>
    </row>
    <row r="194" spans="1:18">
      <c r="A194" s="22">
        <v>23359500</v>
      </c>
      <c r="B194" s="23" t="s">
        <v>36</v>
      </c>
      <c r="C194" s="34" t="s">
        <v>1008</v>
      </c>
      <c r="D194" s="34"/>
      <c r="F194" s="36" t="s">
        <v>204</v>
      </c>
      <c r="G194" s="23">
        <v>1334334</v>
      </c>
      <c r="H194" s="23">
        <v>1334334</v>
      </c>
      <c r="I194" s="37">
        <v>44547</v>
      </c>
      <c r="J194" s="37">
        <f t="shared" si="27"/>
        <v>44577</v>
      </c>
      <c r="K194" s="38">
        <f t="shared" si="28"/>
        <v>30</v>
      </c>
      <c r="L194" s="38" t="str">
        <f t="shared" si="29"/>
        <v>Dejar al valor nominal</v>
      </c>
      <c r="M194" s="38">
        <f t="shared" si="30"/>
        <v>0</v>
      </c>
      <c r="N194" s="272" t="str">
        <f t="shared" si="31"/>
        <v>OK</v>
      </c>
      <c r="P194" s="23"/>
      <c r="Q194" s="23"/>
      <c r="R194" s="23"/>
    </row>
    <row r="195" spans="1:18">
      <c r="A195" s="22">
        <v>23359500</v>
      </c>
      <c r="B195" s="23" t="s">
        <v>36</v>
      </c>
      <c r="C195" s="34" t="s">
        <v>1008</v>
      </c>
      <c r="D195" s="34"/>
      <c r="F195" s="36" t="s">
        <v>204</v>
      </c>
      <c r="G195" s="23">
        <v>837981</v>
      </c>
      <c r="H195" s="23">
        <v>837981</v>
      </c>
      <c r="I195" s="37">
        <v>44547</v>
      </c>
      <c r="J195" s="37">
        <f t="shared" si="27"/>
        <v>44577</v>
      </c>
      <c r="K195" s="38">
        <f t="shared" si="28"/>
        <v>30</v>
      </c>
      <c r="L195" s="38" t="str">
        <f t="shared" si="29"/>
        <v>Dejar al valor nominal</v>
      </c>
      <c r="M195" s="38">
        <f t="shared" si="30"/>
        <v>0</v>
      </c>
      <c r="N195" s="272" t="str">
        <f t="shared" si="31"/>
        <v>OK</v>
      </c>
      <c r="P195" s="23"/>
      <c r="Q195" s="23"/>
      <c r="R195" s="23"/>
    </row>
    <row r="196" spans="1:18">
      <c r="A196" s="22">
        <v>23359500</v>
      </c>
      <c r="B196" s="23" t="s">
        <v>36</v>
      </c>
      <c r="C196" s="34" t="s">
        <v>1008</v>
      </c>
      <c r="D196" s="34"/>
      <c r="F196" s="36" t="s">
        <v>204</v>
      </c>
      <c r="G196" s="23">
        <v>427499</v>
      </c>
      <c r="H196" s="23">
        <v>427499</v>
      </c>
      <c r="I196" s="37">
        <v>44547</v>
      </c>
      <c r="J196" s="37">
        <f t="shared" si="27"/>
        <v>44577</v>
      </c>
      <c r="K196" s="38">
        <f t="shared" si="28"/>
        <v>30</v>
      </c>
      <c r="L196" s="38" t="str">
        <f t="shared" si="29"/>
        <v>Dejar al valor nominal</v>
      </c>
      <c r="M196" s="38">
        <f t="shared" si="30"/>
        <v>0</v>
      </c>
      <c r="N196" s="272" t="str">
        <f t="shared" si="31"/>
        <v>OK</v>
      </c>
      <c r="P196" s="23"/>
      <c r="Q196" s="23"/>
      <c r="R196" s="23"/>
    </row>
    <row r="197" spans="1:18">
      <c r="A197" s="22">
        <v>23359500</v>
      </c>
      <c r="B197" s="23" t="s">
        <v>36</v>
      </c>
      <c r="C197" s="34" t="s">
        <v>1008</v>
      </c>
      <c r="D197" s="34"/>
      <c r="F197" s="36" t="s">
        <v>204</v>
      </c>
      <c r="G197" s="23">
        <v>4961054</v>
      </c>
      <c r="H197" s="23">
        <v>4961054</v>
      </c>
      <c r="I197" s="37">
        <v>44548</v>
      </c>
      <c r="J197" s="37">
        <f t="shared" si="27"/>
        <v>44578</v>
      </c>
      <c r="K197" s="38">
        <f t="shared" si="28"/>
        <v>30</v>
      </c>
      <c r="L197" s="38" t="str">
        <f t="shared" si="29"/>
        <v>Dejar al valor nominal</v>
      </c>
      <c r="M197" s="38">
        <f t="shared" si="30"/>
        <v>0</v>
      </c>
      <c r="N197" s="272" t="str">
        <f t="shared" si="31"/>
        <v>OK</v>
      </c>
      <c r="P197" s="23"/>
      <c r="Q197" s="23"/>
      <c r="R197" s="23"/>
    </row>
    <row r="198" spans="1:18">
      <c r="A198" s="22">
        <v>23359500</v>
      </c>
      <c r="B198" s="23" t="s">
        <v>36</v>
      </c>
      <c r="C198" s="34" t="s">
        <v>1008</v>
      </c>
      <c r="D198" s="34"/>
      <c r="F198" s="36" t="s">
        <v>204</v>
      </c>
      <c r="G198" s="23">
        <v>5418294</v>
      </c>
      <c r="H198" s="23">
        <v>5418294</v>
      </c>
      <c r="I198" s="37">
        <v>44548</v>
      </c>
      <c r="J198" s="37">
        <f t="shared" si="27"/>
        <v>44578</v>
      </c>
      <c r="K198" s="38">
        <f t="shared" si="28"/>
        <v>30</v>
      </c>
      <c r="L198" s="38" t="str">
        <f t="shared" si="29"/>
        <v>Dejar al valor nominal</v>
      </c>
      <c r="M198" s="38">
        <f t="shared" si="30"/>
        <v>0</v>
      </c>
      <c r="N198" s="272" t="str">
        <f t="shared" si="31"/>
        <v>OK</v>
      </c>
      <c r="P198" s="23"/>
      <c r="Q198" s="23"/>
      <c r="R198" s="23"/>
    </row>
    <row r="199" spans="1:18">
      <c r="A199" s="22">
        <v>23359500</v>
      </c>
      <c r="B199" s="23" t="s">
        <v>36</v>
      </c>
      <c r="C199" s="34" t="s">
        <v>1008</v>
      </c>
      <c r="D199" s="34"/>
      <c r="F199" s="36" t="s">
        <v>204</v>
      </c>
      <c r="G199" s="23">
        <v>1104320</v>
      </c>
      <c r="H199" s="23">
        <v>1104320</v>
      </c>
      <c r="I199" s="37">
        <v>44531</v>
      </c>
      <c r="J199" s="37">
        <f t="shared" si="27"/>
        <v>44561</v>
      </c>
      <c r="K199" s="38">
        <f t="shared" si="28"/>
        <v>30</v>
      </c>
      <c r="L199" s="38" t="str">
        <f t="shared" si="29"/>
        <v>Dejar al valor nominal</v>
      </c>
      <c r="M199" s="38">
        <f t="shared" si="30"/>
        <v>0</v>
      </c>
      <c r="N199" s="272" t="str">
        <f t="shared" si="31"/>
        <v>OK</v>
      </c>
      <c r="P199" s="23"/>
      <c r="Q199" s="23"/>
      <c r="R199" s="23"/>
    </row>
    <row r="200" spans="1:18">
      <c r="A200" s="22">
        <v>23359500</v>
      </c>
      <c r="B200" s="23" t="s">
        <v>36</v>
      </c>
      <c r="C200" s="34" t="s">
        <v>1008</v>
      </c>
      <c r="D200" s="34"/>
      <c r="F200" s="36" t="s">
        <v>204</v>
      </c>
      <c r="G200" s="23">
        <v>14040</v>
      </c>
      <c r="H200" s="23">
        <v>14040</v>
      </c>
      <c r="I200" s="37">
        <v>44561</v>
      </c>
      <c r="J200" s="37">
        <f t="shared" si="27"/>
        <v>44591</v>
      </c>
      <c r="K200" s="38">
        <f t="shared" si="28"/>
        <v>30</v>
      </c>
      <c r="L200" s="38" t="str">
        <f t="shared" si="29"/>
        <v>Dejar al valor nominal</v>
      </c>
      <c r="M200" s="38">
        <f t="shared" si="30"/>
        <v>0</v>
      </c>
      <c r="N200" s="272" t="str">
        <f t="shared" si="31"/>
        <v>OK</v>
      </c>
      <c r="P200" s="23"/>
      <c r="Q200" s="23"/>
      <c r="R200" s="23"/>
    </row>
    <row r="201" spans="1:18">
      <c r="A201" s="22">
        <v>23359500</v>
      </c>
      <c r="B201" s="23" t="s">
        <v>36</v>
      </c>
      <c r="C201" s="34" t="s">
        <v>1008</v>
      </c>
      <c r="D201" s="34"/>
      <c r="F201" s="36" t="s">
        <v>204</v>
      </c>
      <c r="G201" s="23">
        <v>80000</v>
      </c>
      <c r="H201" s="23">
        <v>80000</v>
      </c>
      <c r="I201" s="37">
        <v>44539</v>
      </c>
      <c r="J201" s="37">
        <f t="shared" si="27"/>
        <v>44569</v>
      </c>
      <c r="K201" s="38">
        <f t="shared" si="28"/>
        <v>30</v>
      </c>
      <c r="L201" s="38" t="str">
        <f t="shared" si="29"/>
        <v>Dejar al valor nominal</v>
      </c>
      <c r="M201" s="38">
        <f t="shared" si="30"/>
        <v>0</v>
      </c>
      <c r="N201" s="272" t="str">
        <f t="shared" si="31"/>
        <v>OK</v>
      </c>
      <c r="P201" s="23"/>
      <c r="Q201" s="23"/>
      <c r="R201" s="23"/>
    </row>
    <row r="202" spans="1:18">
      <c r="A202" s="22">
        <v>23359500</v>
      </c>
      <c r="B202" s="23" t="s">
        <v>36</v>
      </c>
      <c r="C202" s="34" t="s">
        <v>1008</v>
      </c>
      <c r="D202" s="34"/>
      <c r="F202" s="36" t="s">
        <v>204</v>
      </c>
      <c r="G202" s="23">
        <v>5413235</v>
      </c>
      <c r="H202" s="23">
        <v>5413235</v>
      </c>
      <c r="I202" s="37">
        <v>44534</v>
      </c>
      <c r="J202" s="37">
        <f t="shared" si="27"/>
        <v>44564</v>
      </c>
      <c r="K202" s="38">
        <f t="shared" si="28"/>
        <v>30</v>
      </c>
      <c r="L202" s="38" t="str">
        <f t="shared" si="29"/>
        <v>Dejar al valor nominal</v>
      </c>
      <c r="M202" s="38">
        <f t="shared" si="30"/>
        <v>0</v>
      </c>
      <c r="N202" s="272" t="str">
        <f t="shared" si="31"/>
        <v>OK</v>
      </c>
      <c r="P202" s="23"/>
      <c r="Q202" s="23"/>
      <c r="R202" s="23"/>
    </row>
    <row r="203" spans="1:18">
      <c r="A203" s="22">
        <v>23359500</v>
      </c>
      <c r="B203" s="23" t="s">
        <v>36</v>
      </c>
      <c r="C203" s="34" t="s">
        <v>1008</v>
      </c>
      <c r="D203" s="34"/>
      <c r="F203" s="36" t="s">
        <v>204</v>
      </c>
      <c r="G203" s="23">
        <v>2468236</v>
      </c>
      <c r="H203" s="23">
        <v>2468236</v>
      </c>
      <c r="I203" s="37">
        <v>44534</v>
      </c>
      <c r="J203" s="37">
        <f t="shared" si="27"/>
        <v>44564</v>
      </c>
      <c r="K203" s="38">
        <f t="shared" si="28"/>
        <v>30</v>
      </c>
      <c r="L203" s="38" t="str">
        <f t="shared" si="29"/>
        <v>Dejar al valor nominal</v>
      </c>
      <c r="M203" s="38">
        <f t="shared" si="30"/>
        <v>0</v>
      </c>
      <c r="N203" s="272" t="str">
        <f t="shared" si="31"/>
        <v>OK</v>
      </c>
      <c r="P203" s="23"/>
      <c r="Q203" s="23"/>
      <c r="R203" s="23"/>
    </row>
    <row r="204" spans="1:18">
      <c r="A204" s="22">
        <v>23359500</v>
      </c>
      <c r="B204" s="23" t="s">
        <v>36</v>
      </c>
      <c r="C204" s="34" t="s">
        <v>1008</v>
      </c>
      <c r="D204" s="34"/>
      <c r="F204" s="36" t="s">
        <v>204</v>
      </c>
      <c r="G204" s="23">
        <v>5323963</v>
      </c>
      <c r="H204" s="23">
        <v>5323963</v>
      </c>
      <c r="I204" s="37">
        <v>44551</v>
      </c>
      <c r="J204" s="37">
        <f t="shared" si="27"/>
        <v>44581</v>
      </c>
      <c r="K204" s="38">
        <f t="shared" si="28"/>
        <v>30</v>
      </c>
      <c r="L204" s="38" t="str">
        <f t="shared" si="29"/>
        <v>Dejar al valor nominal</v>
      </c>
      <c r="M204" s="38">
        <f t="shared" si="30"/>
        <v>0</v>
      </c>
      <c r="N204" s="272" t="str">
        <f t="shared" si="31"/>
        <v>OK</v>
      </c>
      <c r="P204" s="23"/>
      <c r="Q204" s="23"/>
      <c r="R204" s="23"/>
    </row>
    <row r="205" spans="1:18">
      <c r="A205" s="22">
        <v>23359500</v>
      </c>
      <c r="B205" s="23" t="s">
        <v>36</v>
      </c>
      <c r="C205" s="34" t="s">
        <v>1008</v>
      </c>
      <c r="D205" s="34"/>
      <c r="F205" s="36" t="s">
        <v>204</v>
      </c>
      <c r="G205" s="23">
        <v>5840209</v>
      </c>
      <c r="H205" s="23">
        <v>5840209</v>
      </c>
      <c r="I205" s="37">
        <v>44552</v>
      </c>
      <c r="J205" s="37">
        <f t="shared" si="27"/>
        <v>44582</v>
      </c>
      <c r="K205" s="38">
        <f t="shared" si="28"/>
        <v>30</v>
      </c>
      <c r="L205" s="38" t="str">
        <f t="shared" si="29"/>
        <v>Dejar al valor nominal</v>
      </c>
      <c r="M205" s="38">
        <f t="shared" si="30"/>
        <v>0</v>
      </c>
      <c r="N205" s="272" t="str">
        <f t="shared" si="31"/>
        <v>OK</v>
      </c>
      <c r="P205" s="23"/>
      <c r="Q205" s="23"/>
      <c r="R205" s="23"/>
    </row>
    <row r="206" spans="1:18">
      <c r="A206" s="22">
        <v>23359500</v>
      </c>
      <c r="B206" s="23" t="s">
        <v>36</v>
      </c>
      <c r="C206" s="34" t="s">
        <v>1008</v>
      </c>
      <c r="D206" s="34"/>
      <c r="F206" s="36" t="s">
        <v>204</v>
      </c>
      <c r="G206" s="23">
        <v>80000</v>
      </c>
      <c r="H206" s="23">
        <v>80000</v>
      </c>
      <c r="I206" s="37">
        <v>44531</v>
      </c>
      <c r="J206" s="37">
        <f t="shared" si="27"/>
        <v>44561</v>
      </c>
      <c r="K206" s="38">
        <f t="shared" si="28"/>
        <v>30</v>
      </c>
      <c r="L206" s="38" t="str">
        <f t="shared" si="29"/>
        <v>Dejar al valor nominal</v>
      </c>
      <c r="M206" s="38">
        <f t="shared" si="30"/>
        <v>0</v>
      </c>
      <c r="N206" s="272" t="str">
        <f t="shared" si="31"/>
        <v>OK</v>
      </c>
      <c r="P206" s="23"/>
      <c r="Q206" s="23"/>
      <c r="R206" s="23"/>
    </row>
    <row r="207" spans="1:18">
      <c r="A207" s="22">
        <v>23359500</v>
      </c>
      <c r="B207" s="23" t="s">
        <v>36</v>
      </c>
      <c r="C207" s="34" t="s">
        <v>1008</v>
      </c>
      <c r="D207" s="34"/>
      <c r="F207" s="36" t="s">
        <v>204</v>
      </c>
      <c r="G207" s="23">
        <v>50000</v>
      </c>
      <c r="H207" s="23">
        <v>50000</v>
      </c>
      <c r="I207" s="37">
        <v>44535</v>
      </c>
      <c r="J207" s="37">
        <f t="shared" si="27"/>
        <v>44565</v>
      </c>
      <c r="K207" s="38">
        <f t="shared" si="28"/>
        <v>30</v>
      </c>
      <c r="L207" s="38" t="str">
        <f t="shared" si="29"/>
        <v>Dejar al valor nominal</v>
      </c>
      <c r="M207" s="38">
        <f t="shared" si="30"/>
        <v>0</v>
      </c>
      <c r="N207" s="272" t="str">
        <f t="shared" si="31"/>
        <v>OK</v>
      </c>
      <c r="P207" s="23"/>
      <c r="Q207" s="23"/>
      <c r="R207" s="23"/>
    </row>
    <row r="208" spans="1:18">
      <c r="A208" s="22">
        <v>23359500</v>
      </c>
      <c r="B208" s="23" t="s">
        <v>36</v>
      </c>
      <c r="C208" s="34" t="s">
        <v>1008</v>
      </c>
      <c r="D208" s="34"/>
      <c r="F208" s="36" t="s">
        <v>204</v>
      </c>
      <c r="G208" s="23">
        <v>100000</v>
      </c>
      <c r="H208" s="23">
        <v>100000</v>
      </c>
      <c r="I208" s="37">
        <v>44554</v>
      </c>
      <c r="J208" s="37">
        <f t="shared" si="27"/>
        <v>44584</v>
      </c>
      <c r="K208" s="38">
        <f t="shared" si="28"/>
        <v>30</v>
      </c>
      <c r="L208" s="38" t="str">
        <f t="shared" si="29"/>
        <v>Dejar al valor nominal</v>
      </c>
      <c r="M208" s="38">
        <f t="shared" si="30"/>
        <v>0</v>
      </c>
      <c r="N208" s="272" t="str">
        <f t="shared" si="31"/>
        <v>OK</v>
      </c>
      <c r="P208" s="23"/>
      <c r="Q208" s="23"/>
      <c r="R208" s="23"/>
    </row>
    <row r="209" spans="1:18">
      <c r="A209" s="22">
        <v>23359500</v>
      </c>
      <c r="B209" s="23" t="s">
        <v>36</v>
      </c>
      <c r="C209" s="34" t="s">
        <v>1008</v>
      </c>
      <c r="D209" s="34"/>
      <c r="F209" s="36" t="s">
        <v>204</v>
      </c>
      <c r="G209" s="23">
        <v>697515</v>
      </c>
      <c r="H209" s="23">
        <v>697515</v>
      </c>
      <c r="I209" s="37">
        <v>44547</v>
      </c>
      <c r="J209" s="37">
        <f t="shared" si="27"/>
        <v>44577</v>
      </c>
      <c r="K209" s="38">
        <f t="shared" si="28"/>
        <v>30</v>
      </c>
      <c r="L209" s="38" t="str">
        <f t="shared" si="29"/>
        <v>Dejar al valor nominal</v>
      </c>
      <c r="M209" s="38">
        <f t="shared" si="30"/>
        <v>0</v>
      </c>
      <c r="N209" s="272" t="str">
        <f t="shared" si="31"/>
        <v>OK</v>
      </c>
      <c r="P209" s="23"/>
      <c r="Q209" s="23"/>
      <c r="R209" s="23"/>
    </row>
    <row r="210" spans="1:18">
      <c r="A210" s="22">
        <v>23359500</v>
      </c>
      <c r="B210" s="23" t="s">
        <v>36</v>
      </c>
      <c r="C210" s="34" t="s">
        <v>1008</v>
      </c>
      <c r="D210" s="34"/>
      <c r="F210" s="36" t="s">
        <v>204</v>
      </c>
      <c r="G210" s="23">
        <v>515560</v>
      </c>
      <c r="H210" s="23">
        <v>515560</v>
      </c>
      <c r="I210" s="37">
        <v>44489</v>
      </c>
      <c r="J210" s="37">
        <f t="shared" si="27"/>
        <v>44519</v>
      </c>
      <c r="K210" s="38">
        <f t="shared" si="28"/>
        <v>30</v>
      </c>
      <c r="L210" s="38" t="str">
        <f t="shared" si="29"/>
        <v>Dejar al valor nominal</v>
      </c>
      <c r="M210" s="38">
        <f t="shared" si="30"/>
        <v>0</v>
      </c>
      <c r="N210" s="272" t="str">
        <f t="shared" si="31"/>
        <v>OK</v>
      </c>
      <c r="P210" s="23"/>
      <c r="Q210" s="23"/>
      <c r="R210" s="23"/>
    </row>
    <row r="211" spans="1:18">
      <c r="A211" s="22">
        <v>23359500</v>
      </c>
      <c r="B211" s="23" t="s">
        <v>36</v>
      </c>
      <c r="C211" s="34" t="s">
        <v>1008</v>
      </c>
      <c r="D211" s="34"/>
      <c r="F211" s="36" t="s">
        <v>204</v>
      </c>
      <c r="G211" s="23">
        <v>125000</v>
      </c>
      <c r="H211" s="23">
        <v>125000</v>
      </c>
      <c r="I211" s="37">
        <v>44489</v>
      </c>
      <c r="J211" s="37">
        <f t="shared" si="27"/>
        <v>44519</v>
      </c>
      <c r="K211" s="38">
        <f t="shared" si="28"/>
        <v>30</v>
      </c>
      <c r="L211" s="38" t="str">
        <f t="shared" si="29"/>
        <v>Dejar al valor nominal</v>
      </c>
      <c r="M211" s="38">
        <f t="shared" si="30"/>
        <v>0</v>
      </c>
      <c r="N211" s="272" t="str">
        <f t="shared" si="31"/>
        <v>OK</v>
      </c>
      <c r="P211" s="23"/>
      <c r="Q211" s="23"/>
      <c r="R211" s="23"/>
    </row>
    <row r="212" spans="1:18">
      <c r="A212" s="22">
        <v>23359500</v>
      </c>
      <c r="B212" s="23" t="s">
        <v>36</v>
      </c>
      <c r="C212" s="34" t="s">
        <v>1008</v>
      </c>
      <c r="D212" s="34"/>
      <c r="F212" s="36" t="s">
        <v>204</v>
      </c>
      <c r="G212" s="23">
        <v>47600</v>
      </c>
      <c r="H212" s="23">
        <v>47600</v>
      </c>
      <c r="I212" s="37">
        <v>44489</v>
      </c>
      <c r="J212" s="37">
        <f t="shared" si="27"/>
        <v>44519</v>
      </c>
      <c r="K212" s="38">
        <f t="shared" si="28"/>
        <v>30</v>
      </c>
      <c r="L212" s="38" t="str">
        <f t="shared" si="29"/>
        <v>Dejar al valor nominal</v>
      </c>
      <c r="M212" s="38">
        <f t="shared" si="30"/>
        <v>0</v>
      </c>
      <c r="N212" s="272" t="str">
        <f t="shared" si="31"/>
        <v>OK</v>
      </c>
      <c r="P212" s="23"/>
      <c r="Q212" s="23"/>
      <c r="R212" s="23"/>
    </row>
    <row r="213" spans="1:18">
      <c r="A213" s="22">
        <v>23359500</v>
      </c>
      <c r="B213" s="23" t="s">
        <v>36</v>
      </c>
      <c r="C213" s="34" t="s">
        <v>1008</v>
      </c>
      <c r="D213" s="34"/>
      <c r="F213" s="36" t="s">
        <v>204</v>
      </c>
      <c r="G213" s="23">
        <v>465409</v>
      </c>
      <c r="H213" s="23">
        <v>465409</v>
      </c>
      <c r="I213" s="37">
        <v>44489</v>
      </c>
      <c r="J213" s="37">
        <f t="shared" si="27"/>
        <v>44519</v>
      </c>
      <c r="K213" s="38">
        <f t="shared" si="28"/>
        <v>30</v>
      </c>
      <c r="L213" s="38" t="str">
        <f t="shared" si="29"/>
        <v>Dejar al valor nominal</v>
      </c>
      <c r="M213" s="38">
        <f t="shared" si="30"/>
        <v>0</v>
      </c>
      <c r="N213" s="272" t="str">
        <f t="shared" si="31"/>
        <v>OK</v>
      </c>
      <c r="P213" s="23"/>
      <c r="Q213" s="23"/>
      <c r="R213" s="23"/>
    </row>
    <row r="214" spans="1:18">
      <c r="A214" s="22">
        <v>23359500</v>
      </c>
      <c r="B214" s="23" t="s">
        <v>36</v>
      </c>
      <c r="C214" s="34" t="s">
        <v>1008</v>
      </c>
      <c r="D214" s="34"/>
      <c r="F214" s="36" t="s">
        <v>204</v>
      </c>
      <c r="G214" s="23">
        <v>391200</v>
      </c>
      <c r="H214" s="23">
        <v>391200</v>
      </c>
      <c r="I214" s="37">
        <v>44489</v>
      </c>
      <c r="J214" s="37">
        <f t="shared" si="27"/>
        <v>44519</v>
      </c>
      <c r="K214" s="38">
        <f t="shared" si="28"/>
        <v>30</v>
      </c>
      <c r="L214" s="38" t="str">
        <f t="shared" si="29"/>
        <v>Dejar al valor nominal</v>
      </c>
      <c r="M214" s="38">
        <f t="shared" si="30"/>
        <v>0</v>
      </c>
      <c r="N214" s="272" t="str">
        <f t="shared" si="31"/>
        <v>OK</v>
      </c>
      <c r="P214" s="23"/>
      <c r="Q214" s="23"/>
      <c r="R214" s="23"/>
    </row>
    <row r="215" spans="1:18">
      <c r="A215" s="22">
        <v>23359500</v>
      </c>
      <c r="B215" s="23" t="s">
        <v>36</v>
      </c>
      <c r="C215" s="34" t="s">
        <v>1008</v>
      </c>
      <c r="D215" s="34"/>
      <c r="F215" s="36" t="s">
        <v>204</v>
      </c>
      <c r="G215" s="23">
        <v>563613</v>
      </c>
      <c r="H215" s="23">
        <v>563613</v>
      </c>
      <c r="I215" s="37">
        <v>44493</v>
      </c>
      <c r="J215" s="37">
        <f t="shared" si="27"/>
        <v>44523</v>
      </c>
      <c r="K215" s="38">
        <f t="shared" si="28"/>
        <v>30</v>
      </c>
      <c r="L215" s="38" t="str">
        <f t="shared" si="29"/>
        <v>Dejar al valor nominal</v>
      </c>
      <c r="M215" s="38">
        <f t="shared" si="30"/>
        <v>0</v>
      </c>
      <c r="N215" s="272" t="str">
        <f t="shared" si="31"/>
        <v>OK</v>
      </c>
      <c r="P215" s="23"/>
      <c r="Q215" s="23"/>
      <c r="R215" s="23"/>
    </row>
    <row r="216" spans="1:18">
      <c r="A216" s="22">
        <v>23359500</v>
      </c>
      <c r="B216" s="23" t="s">
        <v>36</v>
      </c>
      <c r="C216" s="34" t="s">
        <v>1008</v>
      </c>
      <c r="D216" s="34"/>
      <c r="F216" s="36" t="s">
        <v>204</v>
      </c>
      <c r="G216" s="23">
        <v>973277</v>
      </c>
      <c r="H216" s="23">
        <v>973277</v>
      </c>
      <c r="I216" s="37">
        <v>44495</v>
      </c>
      <c r="J216" s="37">
        <f t="shared" si="27"/>
        <v>44525</v>
      </c>
      <c r="K216" s="38">
        <f t="shared" si="28"/>
        <v>30</v>
      </c>
      <c r="L216" s="38" t="str">
        <f t="shared" si="29"/>
        <v>Dejar al valor nominal</v>
      </c>
      <c r="M216" s="38">
        <f t="shared" si="30"/>
        <v>0</v>
      </c>
      <c r="N216" s="272" t="str">
        <f t="shared" si="31"/>
        <v>OK</v>
      </c>
      <c r="P216" s="23"/>
      <c r="Q216" s="23"/>
      <c r="R216" s="23"/>
    </row>
    <row r="217" spans="1:18">
      <c r="A217" s="22">
        <v>23359500</v>
      </c>
      <c r="B217" s="23" t="s">
        <v>36</v>
      </c>
      <c r="C217" s="34" t="s">
        <v>1008</v>
      </c>
      <c r="D217" s="34"/>
      <c r="F217" s="36" t="s">
        <v>204</v>
      </c>
      <c r="G217" s="23">
        <v>960062.5</v>
      </c>
      <c r="H217" s="23">
        <v>960062.5</v>
      </c>
      <c r="I217" s="37">
        <v>44506</v>
      </c>
      <c r="J217" s="37">
        <f t="shared" si="27"/>
        <v>44536</v>
      </c>
      <c r="K217" s="38">
        <f t="shared" si="28"/>
        <v>30</v>
      </c>
      <c r="L217" s="38" t="str">
        <f t="shared" si="29"/>
        <v>Dejar al valor nominal</v>
      </c>
      <c r="M217" s="38">
        <f t="shared" si="30"/>
        <v>0</v>
      </c>
      <c r="N217" s="272" t="str">
        <f t="shared" si="31"/>
        <v>OK</v>
      </c>
      <c r="P217" s="23"/>
      <c r="Q217" s="23"/>
      <c r="R217" s="23"/>
    </row>
    <row r="218" spans="1:18">
      <c r="A218" s="22">
        <v>23359500</v>
      </c>
      <c r="B218" s="23" t="s">
        <v>36</v>
      </c>
      <c r="C218" s="34" t="s">
        <v>1008</v>
      </c>
      <c r="D218" s="34"/>
      <c r="F218" s="36" t="s">
        <v>204</v>
      </c>
      <c r="G218" s="23">
        <v>277032</v>
      </c>
      <c r="H218" s="23">
        <v>277032</v>
      </c>
      <c r="I218" s="37">
        <v>44510</v>
      </c>
      <c r="J218" s="37">
        <f t="shared" si="27"/>
        <v>44540</v>
      </c>
      <c r="K218" s="38">
        <f t="shared" si="28"/>
        <v>30</v>
      </c>
      <c r="L218" s="38" t="str">
        <f t="shared" si="29"/>
        <v>Dejar al valor nominal</v>
      </c>
      <c r="M218" s="38">
        <f t="shared" si="30"/>
        <v>0</v>
      </c>
      <c r="N218" s="272" t="str">
        <f t="shared" si="31"/>
        <v>OK</v>
      </c>
      <c r="P218" s="23"/>
      <c r="Q218" s="23"/>
      <c r="R218" s="23"/>
    </row>
    <row r="219" spans="1:18">
      <c r="A219" s="22">
        <v>23359500</v>
      </c>
      <c r="B219" s="23" t="s">
        <v>36</v>
      </c>
      <c r="C219" s="34" t="s">
        <v>1008</v>
      </c>
      <c r="D219" s="34"/>
      <c r="F219" s="36" t="s">
        <v>204</v>
      </c>
      <c r="G219" s="23">
        <v>1570653</v>
      </c>
      <c r="H219" s="23">
        <v>1570653</v>
      </c>
      <c r="I219" s="37">
        <v>44512</v>
      </c>
      <c r="J219" s="37">
        <f t="shared" si="27"/>
        <v>44542</v>
      </c>
      <c r="K219" s="38">
        <f t="shared" si="28"/>
        <v>30</v>
      </c>
      <c r="L219" s="38" t="str">
        <f t="shared" si="29"/>
        <v>Dejar al valor nominal</v>
      </c>
      <c r="M219" s="38">
        <f t="shared" si="30"/>
        <v>0</v>
      </c>
      <c r="N219" s="272" t="str">
        <f t="shared" si="31"/>
        <v>OK</v>
      </c>
      <c r="P219" s="23"/>
      <c r="Q219" s="23"/>
      <c r="R219" s="23"/>
    </row>
    <row r="220" spans="1:18">
      <c r="A220" s="22">
        <v>23359500</v>
      </c>
      <c r="B220" s="23" t="s">
        <v>36</v>
      </c>
      <c r="C220" s="34" t="s">
        <v>1008</v>
      </c>
      <c r="D220" s="34"/>
      <c r="F220" s="36" t="s">
        <v>204</v>
      </c>
      <c r="G220" s="23">
        <v>444131</v>
      </c>
      <c r="H220" s="23">
        <v>444131</v>
      </c>
      <c r="I220" s="37">
        <v>44519</v>
      </c>
      <c r="J220" s="37">
        <f t="shared" si="27"/>
        <v>44549</v>
      </c>
      <c r="K220" s="38">
        <f t="shared" si="28"/>
        <v>30</v>
      </c>
      <c r="L220" s="38" t="str">
        <f t="shared" si="29"/>
        <v>Dejar al valor nominal</v>
      </c>
      <c r="M220" s="38">
        <f t="shared" si="30"/>
        <v>0</v>
      </c>
      <c r="N220" s="272" t="str">
        <f t="shared" si="31"/>
        <v>OK</v>
      </c>
      <c r="P220" s="23"/>
      <c r="Q220" s="23"/>
      <c r="R220" s="23"/>
    </row>
    <row r="221" spans="1:18">
      <c r="A221" s="22">
        <v>23359500</v>
      </c>
      <c r="B221" s="23" t="s">
        <v>36</v>
      </c>
      <c r="C221" s="34" t="s">
        <v>1008</v>
      </c>
      <c r="D221" s="34"/>
      <c r="F221" s="36" t="s">
        <v>204</v>
      </c>
      <c r="G221" s="23">
        <v>1600923.75</v>
      </c>
      <c r="H221" s="23">
        <v>1600923.75</v>
      </c>
      <c r="I221" s="37">
        <v>44519</v>
      </c>
      <c r="J221" s="37">
        <f t="shared" si="27"/>
        <v>44549</v>
      </c>
      <c r="K221" s="38">
        <f t="shared" si="28"/>
        <v>30</v>
      </c>
      <c r="L221" s="38" t="str">
        <f t="shared" si="29"/>
        <v>Dejar al valor nominal</v>
      </c>
      <c r="M221" s="38">
        <f t="shared" si="30"/>
        <v>0</v>
      </c>
      <c r="N221" s="272" t="str">
        <f t="shared" si="31"/>
        <v>OK</v>
      </c>
      <c r="P221" s="23"/>
      <c r="Q221" s="23"/>
      <c r="R221" s="23"/>
    </row>
    <row r="222" spans="1:18">
      <c r="A222" s="22">
        <v>23359500</v>
      </c>
      <c r="B222" s="23" t="s">
        <v>36</v>
      </c>
      <c r="C222" s="34" t="s">
        <v>1008</v>
      </c>
      <c r="D222" s="34"/>
      <c r="F222" s="36" t="s">
        <v>204</v>
      </c>
      <c r="G222" s="23">
        <v>630234</v>
      </c>
      <c r="H222" s="23">
        <v>630234</v>
      </c>
      <c r="I222" s="37">
        <v>44519</v>
      </c>
      <c r="J222" s="37">
        <f t="shared" si="27"/>
        <v>44549</v>
      </c>
      <c r="K222" s="38">
        <f t="shared" si="28"/>
        <v>30</v>
      </c>
      <c r="L222" s="38" t="str">
        <f t="shared" si="29"/>
        <v>Dejar al valor nominal</v>
      </c>
      <c r="M222" s="38">
        <f t="shared" si="30"/>
        <v>0</v>
      </c>
      <c r="N222" s="272" t="str">
        <f t="shared" si="31"/>
        <v>OK</v>
      </c>
      <c r="P222" s="23"/>
      <c r="Q222" s="23"/>
      <c r="R222" s="23"/>
    </row>
    <row r="223" spans="1:18">
      <c r="A223" s="22">
        <v>23359500</v>
      </c>
      <c r="B223" s="23" t="s">
        <v>36</v>
      </c>
      <c r="C223" s="34" t="s">
        <v>1008</v>
      </c>
      <c r="D223" s="34"/>
      <c r="F223" s="36" t="s">
        <v>204</v>
      </c>
      <c r="G223" s="23">
        <v>4466208.5999999996</v>
      </c>
      <c r="H223" s="23">
        <v>4466208.5999999996</v>
      </c>
      <c r="I223" s="37">
        <v>44519</v>
      </c>
      <c r="J223" s="37">
        <f t="shared" si="27"/>
        <v>44549</v>
      </c>
      <c r="K223" s="38">
        <f t="shared" si="28"/>
        <v>30</v>
      </c>
      <c r="L223" s="38" t="str">
        <f t="shared" si="29"/>
        <v>Dejar al valor nominal</v>
      </c>
      <c r="M223" s="38">
        <f t="shared" si="30"/>
        <v>0</v>
      </c>
      <c r="N223" s="272" t="str">
        <f t="shared" si="31"/>
        <v>OK</v>
      </c>
      <c r="P223" s="23"/>
      <c r="Q223" s="23"/>
      <c r="R223" s="23"/>
    </row>
    <row r="224" spans="1:18">
      <c r="A224" s="22">
        <v>23359500</v>
      </c>
      <c r="B224" s="23" t="s">
        <v>36</v>
      </c>
      <c r="C224" s="34" t="s">
        <v>1008</v>
      </c>
      <c r="D224" s="34"/>
      <c r="F224" s="36" t="s">
        <v>204</v>
      </c>
      <c r="G224" s="23">
        <v>855000</v>
      </c>
      <c r="H224" s="23">
        <v>855000</v>
      </c>
      <c r="I224" s="37">
        <v>44533</v>
      </c>
      <c r="J224" s="37">
        <f t="shared" si="27"/>
        <v>44563</v>
      </c>
      <c r="K224" s="38">
        <f t="shared" si="28"/>
        <v>30</v>
      </c>
      <c r="L224" s="38" t="str">
        <f t="shared" si="29"/>
        <v>Dejar al valor nominal</v>
      </c>
      <c r="M224" s="38">
        <f t="shared" si="30"/>
        <v>0</v>
      </c>
      <c r="N224" s="272" t="str">
        <f t="shared" si="31"/>
        <v>OK</v>
      </c>
      <c r="P224" s="23"/>
      <c r="Q224" s="23"/>
      <c r="R224" s="23"/>
    </row>
    <row r="225" spans="1:18">
      <c r="A225" s="22">
        <v>23359500</v>
      </c>
      <c r="B225" s="23" t="s">
        <v>36</v>
      </c>
      <c r="C225" s="34" t="s">
        <v>1008</v>
      </c>
      <c r="D225" s="34"/>
      <c r="F225" s="36" t="s">
        <v>204</v>
      </c>
      <c r="G225" s="23">
        <v>370756</v>
      </c>
      <c r="H225" s="23">
        <v>370756</v>
      </c>
      <c r="I225" s="37">
        <v>44533</v>
      </c>
      <c r="J225" s="37">
        <f t="shared" si="27"/>
        <v>44563</v>
      </c>
      <c r="K225" s="38">
        <f t="shared" si="28"/>
        <v>30</v>
      </c>
      <c r="L225" s="38" t="str">
        <f t="shared" si="29"/>
        <v>Dejar al valor nominal</v>
      </c>
      <c r="M225" s="38">
        <f t="shared" si="30"/>
        <v>0</v>
      </c>
      <c r="N225" s="272" t="str">
        <f t="shared" si="31"/>
        <v>OK</v>
      </c>
      <c r="P225" s="23"/>
      <c r="Q225" s="23"/>
      <c r="R225" s="23"/>
    </row>
    <row r="226" spans="1:18">
      <c r="A226" s="22">
        <v>23359500</v>
      </c>
      <c r="B226" s="23" t="s">
        <v>36</v>
      </c>
      <c r="C226" s="34" t="s">
        <v>1008</v>
      </c>
      <c r="D226" s="34"/>
      <c r="F226" s="36" t="s">
        <v>204</v>
      </c>
      <c r="G226" s="23">
        <v>357357</v>
      </c>
      <c r="H226" s="23">
        <v>357357</v>
      </c>
      <c r="I226" s="37">
        <v>44534</v>
      </c>
      <c r="J226" s="37">
        <f t="shared" ref="J226:J289" si="32">I226+30</f>
        <v>44564</v>
      </c>
      <c r="K226" s="38">
        <f t="shared" ref="K226:K289" si="33">IF(J226-I226&lt;0,"Error",J226-I226)</f>
        <v>30</v>
      </c>
      <c r="L226" s="38" t="str">
        <f t="shared" ref="L226:L289" si="34">IF(K226&gt;365,"Medir al costo amortizado","Dejar al valor nominal")</f>
        <v>Dejar al valor nominal</v>
      </c>
      <c r="M226" s="38">
        <f t="shared" ref="M226:M289" si="35">H226-G226</f>
        <v>0</v>
      </c>
      <c r="N226" s="272" t="str">
        <f t="shared" ref="N226:N289" si="36">IF($N$18-J226&gt;K226,"Revisar","OK")</f>
        <v>OK</v>
      </c>
      <c r="P226" s="23"/>
      <c r="Q226" s="23"/>
      <c r="R226" s="23"/>
    </row>
    <row r="227" spans="1:18">
      <c r="A227" s="22">
        <v>23359500</v>
      </c>
      <c r="B227" s="23" t="s">
        <v>36</v>
      </c>
      <c r="C227" s="34" t="s">
        <v>1008</v>
      </c>
      <c r="D227" s="34"/>
      <c r="F227" s="36" t="s">
        <v>204</v>
      </c>
      <c r="G227" s="23">
        <v>2109926.6</v>
      </c>
      <c r="H227" s="23">
        <v>2109926.6</v>
      </c>
      <c r="I227" s="37">
        <v>44544</v>
      </c>
      <c r="J227" s="37">
        <f t="shared" si="32"/>
        <v>44574</v>
      </c>
      <c r="K227" s="38">
        <f t="shared" si="33"/>
        <v>30</v>
      </c>
      <c r="L227" s="38" t="str">
        <f t="shared" si="34"/>
        <v>Dejar al valor nominal</v>
      </c>
      <c r="M227" s="38">
        <f t="shared" si="35"/>
        <v>0</v>
      </c>
      <c r="N227" s="272" t="str">
        <f t="shared" si="36"/>
        <v>OK</v>
      </c>
      <c r="P227" s="23"/>
      <c r="Q227" s="23"/>
      <c r="R227" s="23"/>
    </row>
    <row r="228" spans="1:18">
      <c r="A228" s="22">
        <v>23359500</v>
      </c>
      <c r="B228" s="23" t="s">
        <v>36</v>
      </c>
      <c r="C228" s="34" t="s">
        <v>1008</v>
      </c>
      <c r="D228" s="34"/>
      <c r="F228" s="36" t="s">
        <v>204</v>
      </c>
      <c r="G228" s="23">
        <v>1188000</v>
      </c>
      <c r="H228" s="23">
        <v>1188000</v>
      </c>
      <c r="I228" s="37">
        <v>44512</v>
      </c>
      <c r="J228" s="37">
        <f t="shared" si="32"/>
        <v>44542</v>
      </c>
      <c r="K228" s="38">
        <f t="shared" si="33"/>
        <v>30</v>
      </c>
      <c r="L228" s="38" t="str">
        <f t="shared" si="34"/>
        <v>Dejar al valor nominal</v>
      </c>
      <c r="M228" s="38">
        <f t="shared" si="35"/>
        <v>0</v>
      </c>
      <c r="N228" s="272" t="str">
        <f t="shared" si="36"/>
        <v>OK</v>
      </c>
      <c r="P228" s="23"/>
      <c r="Q228" s="23"/>
      <c r="R228" s="23"/>
    </row>
    <row r="229" spans="1:18">
      <c r="A229" s="22">
        <v>23359500</v>
      </c>
      <c r="B229" s="23" t="s">
        <v>36</v>
      </c>
      <c r="C229" s="34" t="s">
        <v>1008</v>
      </c>
      <c r="D229" s="34"/>
      <c r="F229" s="36" t="s">
        <v>204</v>
      </c>
      <c r="G229" s="23">
        <v>990000</v>
      </c>
      <c r="H229" s="23">
        <v>990000</v>
      </c>
      <c r="I229" s="37">
        <v>44513</v>
      </c>
      <c r="J229" s="37">
        <f t="shared" si="32"/>
        <v>44543</v>
      </c>
      <c r="K229" s="38">
        <f t="shared" si="33"/>
        <v>30</v>
      </c>
      <c r="L229" s="38" t="str">
        <f t="shared" si="34"/>
        <v>Dejar al valor nominal</v>
      </c>
      <c r="M229" s="38">
        <f t="shared" si="35"/>
        <v>0</v>
      </c>
      <c r="N229" s="272" t="str">
        <f t="shared" si="36"/>
        <v>OK</v>
      </c>
      <c r="P229" s="23"/>
      <c r="Q229" s="23"/>
      <c r="R229" s="23"/>
    </row>
    <row r="230" spans="1:18">
      <c r="A230" s="22">
        <v>23359500</v>
      </c>
      <c r="B230" s="23" t="s">
        <v>36</v>
      </c>
      <c r="C230" s="34" t="s">
        <v>1008</v>
      </c>
      <c r="D230" s="34"/>
      <c r="F230" s="36" t="s">
        <v>204</v>
      </c>
      <c r="G230" s="23">
        <v>1183032</v>
      </c>
      <c r="H230" s="23">
        <v>1183032</v>
      </c>
      <c r="I230" s="37">
        <v>44518</v>
      </c>
      <c r="J230" s="37">
        <f t="shared" si="32"/>
        <v>44548</v>
      </c>
      <c r="K230" s="38">
        <f t="shared" si="33"/>
        <v>30</v>
      </c>
      <c r="L230" s="38" t="str">
        <f t="shared" si="34"/>
        <v>Dejar al valor nominal</v>
      </c>
      <c r="M230" s="38">
        <f t="shared" si="35"/>
        <v>0</v>
      </c>
      <c r="N230" s="272" t="str">
        <f t="shared" si="36"/>
        <v>OK</v>
      </c>
      <c r="P230" s="23"/>
      <c r="Q230" s="23"/>
      <c r="R230" s="23"/>
    </row>
    <row r="231" spans="1:18">
      <c r="A231" s="22">
        <v>23359500</v>
      </c>
      <c r="B231" s="23" t="s">
        <v>36</v>
      </c>
      <c r="C231" s="34" t="s">
        <v>1008</v>
      </c>
      <c r="D231" s="34"/>
      <c r="F231" s="36" t="s">
        <v>204</v>
      </c>
      <c r="G231" s="23">
        <v>1330911</v>
      </c>
      <c r="H231" s="23">
        <v>1330911</v>
      </c>
      <c r="I231" s="37">
        <v>44522</v>
      </c>
      <c r="J231" s="37">
        <f t="shared" si="32"/>
        <v>44552</v>
      </c>
      <c r="K231" s="38">
        <f t="shared" si="33"/>
        <v>30</v>
      </c>
      <c r="L231" s="38" t="str">
        <f t="shared" si="34"/>
        <v>Dejar al valor nominal</v>
      </c>
      <c r="M231" s="38">
        <f t="shared" si="35"/>
        <v>0</v>
      </c>
      <c r="N231" s="272" t="str">
        <f t="shared" si="36"/>
        <v>OK</v>
      </c>
      <c r="P231" s="23"/>
      <c r="Q231" s="23"/>
      <c r="R231" s="23"/>
    </row>
    <row r="232" spans="1:18">
      <c r="A232" s="22">
        <v>23359500</v>
      </c>
      <c r="B232" s="23" t="s">
        <v>36</v>
      </c>
      <c r="C232" s="34" t="s">
        <v>1008</v>
      </c>
      <c r="D232" s="34"/>
      <c r="F232" s="36" t="s">
        <v>204</v>
      </c>
      <c r="G232" s="23">
        <v>591516</v>
      </c>
      <c r="H232" s="23">
        <v>591516</v>
      </c>
      <c r="I232" s="37">
        <v>44531</v>
      </c>
      <c r="J232" s="37">
        <f t="shared" si="32"/>
        <v>44561</v>
      </c>
      <c r="K232" s="38">
        <f t="shared" si="33"/>
        <v>30</v>
      </c>
      <c r="L232" s="38" t="str">
        <f t="shared" si="34"/>
        <v>Dejar al valor nominal</v>
      </c>
      <c r="M232" s="38">
        <f t="shared" si="35"/>
        <v>0</v>
      </c>
      <c r="N232" s="272" t="str">
        <f t="shared" si="36"/>
        <v>OK</v>
      </c>
      <c r="P232" s="23"/>
      <c r="Q232" s="23"/>
      <c r="R232" s="23"/>
    </row>
    <row r="233" spans="1:18">
      <c r="A233" s="22">
        <v>23359500</v>
      </c>
      <c r="B233" s="23" t="s">
        <v>36</v>
      </c>
      <c r="C233" s="34" t="s">
        <v>1008</v>
      </c>
      <c r="D233" s="34"/>
      <c r="F233" s="36" t="s">
        <v>204</v>
      </c>
      <c r="G233" s="23">
        <v>1188000</v>
      </c>
      <c r="H233" s="23">
        <v>1188000</v>
      </c>
      <c r="I233" s="37">
        <v>44531</v>
      </c>
      <c r="J233" s="37">
        <f t="shared" si="32"/>
        <v>44561</v>
      </c>
      <c r="K233" s="38">
        <f t="shared" si="33"/>
        <v>30</v>
      </c>
      <c r="L233" s="38" t="str">
        <f t="shared" si="34"/>
        <v>Dejar al valor nominal</v>
      </c>
      <c r="M233" s="38">
        <f t="shared" si="35"/>
        <v>0</v>
      </c>
      <c r="N233" s="272" t="str">
        <f t="shared" si="36"/>
        <v>OK</v>
      </c>
      <c r="P233" s="23"/>
      <c r="Q233" s="23"/>
      <c r="R233" s="23"/>
    </row>
    <row r="234" spans="1:18">
      <c r="A234" s="22">
        <v>23359500</v>
      </c>
      <c r="B234" s="23" t="s">
        <v>36</v>
      </c>
      <c r="C234" s="34" t="s">
        <v>1008</v>
      </c>
      <c r="D234" s="34"/>
      <c r="F234" s="36" t="s">
        <v>204</v>
      </c>
      <c r="G234" s="23">
        <v>1584000</v>
      </c>
      <c r="H234" s="23">
        <v>1584000</v>
      </c>
      <c r="I234" s="37">
        <v>44539</v>
      </c>
      <c r="J234" s="37">
        <f t="shared" si="32"/>
        <v>44569</v>
      </c>
      <c r="K234" s="38">
        <f t="shared" si="33"/>
        <v>30</v>
      </c>
      <c r="L234" s="38" t="str">
        <f t="shared" si="34"/>
        <v>Dejar al valor nominal</v>
      </c>
      <c r="M234" s="38">
        <f t="shared" si="35"/>
        <v>0</v>
      </c>
      <c r="N234" s="272" t="str">
        <f t="shared" si="36"/>
        <v>OK</v>
      </c>
      <c r="P234" s="23"/>
      <c r="Q234" s="23"/>
      <c r="R234" s="23"/>
    </row>
    <row r="235" spans="1:18">
      <c r="A235" s="22">
        <v>23359500</v>
      </c>
      <c r="B235" s="23" t="s">
        <v>36</v>
      </c>
      <c r="C235" s="34" t="s">
        <v>1008</v>
      </c>
      <c r="D235" s="34"/>
      <c r="F235" s="36" t="s">
        <v>204</v>
      </c>
      <c r="G235" s="23">
        <v>2376000</v>
      </c>
      <c r="H235" s="23">
        <v>2376000</v>
      </c>
      <c r="I235" s="37">
        <v>44539</v>
      </c>
      <c r="J235" s="37">
        <f t="shared" si="32"/>
        <v>44569</v>
      </c>
      <c r="K235" s="38">
        <f t="shared" si="33"/>
        <v>30</v>
      </c>
      <c r="L235" s="38" t="str">
        <f t="shared" si="34"/>
        <v>Dejar al valor nominal</v>
      </c>
      <c r="M235" s="38">
        <f t="shared" si="35"/>
        <v>0</v>
      </c>
      <c r="N235" s="272" t="str">
        <f t="shared" si="36"/>
        <v>OK</v>
      </c>
      <c r="P235" s="23"/>
      <c r="Q235" s="23"/>
      <c r="R235" s="23"/>
    </row>
    <row r="236" spans="1:18">
      <c r="A236" s="22">
        <v>23359500</v>
      </c>
      <c r="B236" s="23" t="s">
        <v>36</v>
      </c>
      <c r="C236" s="34" t="s">
        <v>1008</v>
      </c>
      <c r="D236" s="34"/>
      <c r="F236" s="36" t="s">
        <v>204</v>
      </c>
      <c r="G236" s="23">
        <v>2863350</v>
      </c>
      <c r="H236" s="23">
        <v>2863350</v>
      </c>
      <c r="I236" s="37">
        <v>44443</v>
      </c>
      <c r="J236" s="37">
        <f t="shared" si="32"/>
        <v>44473</v>
      </c>
      <c r="K236" s="38">
        <f t="shared" si="33"/>
        <v>30</v>
      </c>
      <c r="L236" s="38" t="str">
        <f t="shared" si="34"/>
        <v>Dejar al valor nominal</v>
      </c>
      <c r="M236" s="38">
        <f t="shared" si="35"/>
        <v>0</v>
      </c>
      <c r="N236" s="272" t="str">
        <f t="shared" si="36"/>
        <v>OK</v>
      </c>
      <c r="P236" s="23"/>
      <c r="Q236" s="23"/>
      <c r="R236" s="23"/>
    </row>
    <row r="237" spans="1:18">
      <c r="A237" s="22">
        <v>23359500</v>
      </c>
      <c r="B237" s="23" t="s">
        <v>36</v>
      </c>
      <c r="C237" s="34" t="s">
        <v>1008</v>
      </c>
      <c r="D237" s="34"/>
      <c r="F237" s="36" t="s">
        <v>204</v>
      </c>
      <c r="G237" s="23">
        <v>572872</v>
      </c>
      <c r="H237" s="23">
        <v>572872</v>
      </c>
      <c r="I237" s="37">
        <v>44534</v>
      </c>
      <c r="J237" s="37">
        <f t="shared" si="32"/>
        <v>44564</v>
      </c>
      <c r="K237" s="38">
        <f t="shared" si="33"/>
        <v>30</v>
      </c>
      <c r="L237" s="38" t="str">
        <f t="shared" si="34"/>
        <v>Dejar al valor nominal</v>
      </c>
      <c r="M237" s="38">
        <f t="shared" si="35"/>
        <v>0</v>
      </c>
      <c r="N237" s="272" t="str">
        <f t="shared" si="36"/>
        <v>OK</v>
      </c>
      <c r="P237" s="23"/>
      <c r="Q237" s="23"/>
      <c r="R237" s="23"/>
    </row>
    <row r="238" spans="1:18">
      <c r="A238" s="22">
        <v>23359500</v>
      </c>
      <c r="B238" s="23" t="s">
        <v>36</v>
      </c>
      <c r="C238" s="34" t="s">
        <v>1008</v>
      </c>
      <c r="D238" s="34"/>
      <c r="F238" s="36" t="s">
        <v>204</v>
      </c>
      <c r="G238" s="23">
        <v>1302869</v>
      </c>
      <c r="H238" s="23">
        <v>1302869</v>
      </c>
      <c r="I238" s="37">
        <v>44509</v>
      </c>
      <c r="J238" s="37">
        <f t="shared" si="32"/>
        <v>44539</v>
      </c>
      <c r="K238" s="38">
        <f t="shared" si="33"/>
        <v>30</v>
      </c>
      <c r="L238" s="38" t="str">
        <f t="shared" si="34"/>
        <v>Dejar al valor nominal</v>
      </c>
      <c r="M238" s="38">
        <f t="shared" si="35"/>
        <v>0</v>
      </c>
      <c r="N238" s="272" t="str">
        <f t="shared" si="36"/>
        <v>OK</v>
      </c>
      <c r="P238" s="23"/>
      <c r="Q238" s="23"/>
      <c r="R238" s="23"/>
    </row>
    <row r="239" spans="1:18">
      <c r="A239" s="22">
        <v>23359500</v>
      </c>
      <c r="B239" s="23" t="s">
        <v>36</v>
      </c>
      <c r="C239" s="34" t="s">
        <v>1008</v>
      </c>
      <c r="D239" s="34"/>
      <c r="F239" s="36" t="s">
        <v>204</v>
      </c>
      <c r="G239" s="23">
        <v>1065364</v>
      </c>
      <c r="H239" s="23">
        <v>1065364</v>
      </c>
      <c r="I239" s="37">
        <v>44512</v>
      </c>
      <c r="J239" s="37">
        <f t="shared" si="32"/>
        <v>44542</v>
      </c>
      <c r="K239" s="38">
        <f t="shared" si="33"/>
        <v>30</v>
      </c>
      <c r="L239" s="38" t="str">
        <f t="shared" si="34"/>
        <v>Dejar al valor nominal</v>
      </c>
      <c r="M239" s="38">
        <f t="shared" si="35"/>
        <v>0</v>
      </c>
      <c r="N239" s="272" t="str">
        <f t="shared" si="36"/>
        <v>OK</v>
      </c>
      <c r="P239" s="23"/>
      <c r="Q239" s="23"/>
      <c r="R239" s="23"/>
    </row>
    <row r="240" spans="1:18">
      <c r="A240" s="22">
        <v>23359500</v>
      </c>
      <c r="B240" s="23" t="s">
        <v>36</v>
      </c>
      <c r="C240" s="34" t="s">
        <v>1008</v>
      </c>
      <c r="D240" s="34"/>
      <c r="F240" s="36" t="s">
        <v>204</v>
      </c>
      <c r="G240" s="23">
        <v>60452</v>
      </c>
      <c r="H240" s="23">
        <v>60452</v>
      </c>
      <c r="I240" s="37">
        <v>44523</v>
      </c>
      <c r="J240" s="37">
        <f t="shared" si="32"/>
        <v>44553</v>
      </c>
      <c r="K240" s="38">
        <f t="shared" si="33"/>
        <v>30</v>
      </c>
      <c r="L240" s="38" t="str">
        <f t="shared" si="34"/>
        <v>Dejar al valor nominal</v>
      </c>
      <c r="M240" s="38">
        <f t="shared" si="35"/>
        <v>0</v>
      </c>
      <c r="N240" s="272" t="str">
        <f t="shared" si="36"/>
        <v>OK</v>
      </c>
      <c r="P240" s="23"/>
      <c r="Q240" s="23"/>
      <c r="R240" s="23"/>
    </row>
    <row r="241" spans="1:18">
      <c r="A241" s="22">
        <v>23359500</v>
      </c>
      <c r="B241" s="23" t="s">
        <v>36</v>
      </c>
      <c r="C241" s="34" t="s">
        <v>1008</v>
      </c>
      <c r="D241" s="34"/>
      <c r="F241" s="36" t="s">
        <v>204</v>
      </c>
      <c r="G241" s="23">
        <v>2022098</v>
      </c>
      <c r="H241" s="23">
        <v>2022098</v>
      </c>
      <c r="I241" s="37">
        <v>44533</v>
      </c>
      <c r="J241" s="37">
        <f t="shared" si="32"/>
        <v>44563</v>
      </c>
      <c r="K241" s="38">
        <f t="shared" si="33"/>
        <v>30</v>
      </c>
      <c r="L241" s="38" t="str">
        <f t="shared" si="34"/>
        <v>Dejar al valor nominal</v>
      </c>
      <c r="M241" s="38">
        <f t="shared" si="35"/>
        <v>0</v>
      </c>
      <c r="N241" s="272" t="str">
        <f t="shared" si="36"/>
        <v>OK</v>
      </c>
      <c r="P241" s="23"/>
      <c r="Q241" s="23"/>
      <c r="R241" s="23"/>
    </row>
    <row r="242" spans="1:18">
      <c r="A242" s="22">
        <v>23359500</v>
      </c>
      <c r="B242" s="23" t="s">
        <v>36</v>
      </c>
      <c r="C242" s="34" t="s">
        <v>1008</v>
      </c>
      <c r="D242" s="34"/>
      <c r="F242" s="36" t="s">
        <v>204</v>
      </c>
      <c r="G242" s="23">
        <v>3196812</v>
      </c>
      <c r="H242" s="23">
        <v>3196812</v>
      </c>
      <c r="I242" s="37">
        <v>44537</v>
      </c>
      <c r="J242" s="37">
        <f t="shared" si="32"/>
        <v>44567</v>
      </c>
      <c r="K242" s="38">
        <f t="shared" si="33"/>
        <v>30</v>
      </c>
      <c r="L242" s="38" t="str">
        <f t="shared" si="34"/>
        <v>Dejar al valor nominal</v>
      </c>
      <c r="M242" s="38">
        <f t="shared" si="35"/>
        <v>0</v>
      </c>
      <c r="N242" s="272" t="str">
        <f t="shared" si="36"/>
        <v>OK</v>
      </c>
      <c r="P242" s="23"/>
      <c r="Q242" s="23"/>
      <c r="R242" s="23"/>
    </row>
    <row r="243" spans="1:18">
      <c r="A243" s="22">
        <v>23359500</v>
      </c>
      <c r="B243" s="23" t="s">
        <v>36</v>
      </c>
      <c r="C243" s="34" t="s">
        <v>1008</v>
      </c>
      <c r="D243" s="34"/>
      <c r="F243" s="36" t="s">
        <v>204</v>
      </c>
      <c r="G243" s="23">
        <v>571200</v>
      </c>
      <c r="H243" s="23">
        <v>571200</v>
      </c>
      <c r="I243" s="37">
        <v>44537</v>
      </c>
      <c r="J243" s="37">
        <f t="shared" si="32"/>
        <v>44567</v>
      </c>
      <c r="K243" s="38">
        <f t="shared" si="33"/>
        <v>30</v>
      </c>
      <c r="L243" s="38" t="str">
        <f t="shared" si="34"/>
        <v>Dejar al valor nominal</v>
      </c>
      <c r="M243" s="38">
        <f t="shared" si="35"/>
        <v>0</v>
      </c>
      <c r="N243" s="272" t="str">
        <f t="shared" si="36"/>
        <v>OK</v>
      </c>
      <c r="P243" s="23"/>
      <c r="Q243" s="23"/>
      <c r="R243" s="23"/>
    </row>
    <row r="244" spans="1:18">
      <c r="A244" s="22">
        <v>23359500</v>
      </c>
      <c r="B244" s="23" t="s">
        <v>36</v>
      </c>
      <c r="C244" s="34" t="s">
        <v>1008</v>
      </c>
      <c r="D244" s="34"/>
      <c r="F244" s="36" t="s">
        <v>204</v>
      </c>
      <c r="G244" s="23">
        <v>1932560</v>
      </c>
      <c r="H244" s="23">
        <v>1932560</v>
      </c>
      <c r="I244" s="37">
        <v>44546</v>
      </c>
      <c r="J244" s="37">
        <f t="shared" si="32"/>
        <v>44576</v>
      </c>
      <c r="K244" s="38">
        <f t="shared" si="33"/>
        <v>30</v>
      </c>
      <c r="L244" s="38" t="str">
        <f t="shared" si="34"/>
        <v>Dejar al valor nominal</v>
      </c>
      <c r="M244" s="38">
        <f t="shared" si="35"/>
        <v>0</v>
      </c>
      <c r="N244" s="272" t="str">
        <f t="shared" si="36"/>
        <v>OK</v>
      </c>
      <c r="P244" s="23"/>
      <c r="Q244" s="23"/>
      <c r="R244" s="23"/>
    </row>
    <row r="245" spans="1:18">
      <c r="A245" s="22">
        <v>23359500</v>
      </c>
      <c r="B245" s="23" t="s">
        <v>36</v>
      </c>
      <c r="C245" s="34" t="s">
        <v>1008</v>
      </c>
      <c r="D245" s="34"/>
      <c r="F245" s="36" t="s">
        <v>204</v>
      </c>
      <c r="G245" s="23">
        <v>30226</v>
      </c>
      <c r="H245" s="23">
        <v>30226</v>
      </c>
      <c r="I245" s="37">
        <v>44548</v>
      </c>
      <c r="J245" s="37">
        <f t="shared" si="32"/>
        <v>44578</v>
      </c>
      <c r="K245" s="38">
        <f t="shared" si="33"/>
        <v>30</v>
      </c>
      <c r="L245" s="38" t="str">
        <f t="shared" si="34"/>
        <v>Dejar al valor nominal</v>
      </c>
      <c r="M245" s="38">
        <f t="shared" si="35"/>
        <v>0</v>
      </c>
      <c r="N245" s="272" t="str">
        <f t="shared" si="36"/>
        <v>OK</v>
      </c>
      <c r="P245" s="23"/>
      <c r="Q245" s="23"/>
      <c r="R245" s="23"/>
    </row>
    <row r="246" spans="1:18">
      <c r="A246" s="22">
        <v>23359500</v>
      </c>
      <c r="B246" s="23" t="s">
        <v>36</v>
      </c>
      <c r="C246" s="34" t="s">
        <v>1008</v>
      </c>
      <c r="D246" s="34"/>
      <c r="F246" s="36" t="s">
        <v>204</v>
      </c>
      <c r="G246" s="23">
        <v>310000</v>
      </c>
      <c r="H246" s="23">
        <v>310000</v>
      </c>
      <c r="I246" s="37">
        <v>44548</v>
      </c>
      <c r="J246" s="37">
        <f t="shared" si="32"/>
        <v>44578</v>
      </c>
      <c r="K246" s="38">
        <f t="shared" si="33"/>
        <v>30</v>
      </c>
      <c r="L246" s="38" t="str">
        <f t="shared" si="34"/>
        <v>Dejar al valor nominal</v>
      </c>
      <c r="M246" s="38">
        <f t="shared" si="35"/>
        <v>0</v>
      </c>
      <c r="N246" s="272" t="str">
        <f t="shared" si="36"/>
        <v>OK</v>
      </c>
      <c r="P246" s="23"/>
      <c r="Q246" s="23"/>
      <c r="R246" s="23"/>
    </row>
    <row r="247" spans="1:18">
      <c r="A247" s="22">
        <v>23359500</v>
      </c>
      <c r="B247" s="23" t="s">
        <v>36</v>
      </c>
      <c r="C247" s="34" t="s">
        <v>1008</v>
      </c>
      <c r="D247" s="34"/>
      <c r="F247" s="36" t="s">
        <v>204</v>
      </c>
      <c r="G247" s="23">
        <v>217695</v>
      </c>
      <c r="H247" s="23">
        <v>217695</v>
      </c>
      <c r="I247" s="37">
        <v>44551</v>
      </c>
      <c r="J247" s="37">
        <f t="shared" si="32"/>
        <v>44581</v>
      </c>
      <c r="K247" s="38">
        <f t="shared" si="33"/>
        <v>30</v>
      </c>
      <c r="L247" s="38" t="str">
        <f t="shared" si="34"/>
        <v>Dejar al valor nominal</v>
      </c>
      <c r="M247" s="38">
        <f t="shared" si="35"/>
        <v>0</v>
      </c>
      <c r="N247" s="272" t="str">
        <f t="shared" si="36"/>
        <v>OK</v>
      </c>
      <c r="P247" s="23"/>
      <c r="Q247" s="23"/>
      <c r="R247" s="23"/>
    </row>
    <row r="248" spans="1:18">
      <c r="A248" s="22">
        <v>23359500</v>
      </c>
      <c r="B248" s="23" t="s">
        <v>36</v>
      </c>
      <c r="C248" s="34" t="s">
        <v>1008</v>
      </c>
      <c r="D248" s="34"/>
      <c r="F248" s="36" t="s">
        <v>204</v>
      </c>
      <c r="G248" s="23">
        <v>99532</v>
      </c>
      <c r="H248" s="23">
        <v>99532</v>
      </c>
      <c r="I248" s="37">
        <v>44554</v>
      </c>
      <c r="J248" s="37">
        <f t="shared" si="32"/>
        <v>44584</v>
      </c>
      <c r="K248" s="38">
        <f t="shared" si="33"/>
        <v>30</v>
      </c>
      <c r="L248" s="38" t="str">
        <f t="shared" si="34"/>
        <v>Dejar al valor nominal</v>
      </c>
      <c r="M248" s="38">
        <f t="shared" si="35"/>
        <v>0</v>
      </c>
      <c r="N248" s="272" t="str">
        <f t="shared" si="36"/>
        <v>OK</v>
      </c>
      <c r="P248" s="23"/>
      <c r="Q248" s="23"/>
      <c r="R248" s="23"/>
    </row>
    <row r="249" spans="1:18">
      <c r="A249" s="22">
        <v>23359500</v>
      </c>
      <c r="B249" s="23" t="s">
        <v>36</v>
      </c>
      <c r="C249" s="34" t="s">
        <v>1008</v>
      </c>
      <c r="D249" s="34"/>
      <c r="F249" s="36" t="s">
        <v>204</v>
      </c>
      <c r="G249" s="23">
        <v>5400</v>
      </c>
      <c r="H249" s="23">
        <v>5400</v>
      </c>
      <c r="I249" s="37">
        <v>44560</v>
      </c>
      <c r="J249" s="37">
        <f t="shared" si="32"/>
        <v>44590</v>
      </c>
      <c r="K249" s="38">
        <f t="shared" si="33"/>
        <v>30</v>
      </c>
      <c r="L249" s="38" t="str">
        <f t="shared" si="34"/>
        <v>Dejar al valor nominal</v>
      </c>
      <c r="M249" s="38">
        <f t="shared" si="35"/>
        <v>0</v>
      </c>
      <c r="N249" s="272" t="str">
        <f t="shared" si="36"/>
        <v>OK</v>
      </c>
      <c r="P249" s="23"/>
      <c r="Q249" s="23"/>
      <c r="R249" s="23"/>
    </row>
    <row r="250" spans="1:18">
      <c r="A250" s="22">
        <v>23359500</v>
      </c>
      <c r="B250" s="23" t="s">
        <v>36</v>
      </c>
      <c r="C250" s="34" t="s">
        <v>1008</v>
      </c>
      <c r="D250" s="34"/>
      <c r="F250" s="36" t="s">
        <v>204</v>
      </c>
      <c r="G250" s="23">
        <v>3402778.8</v>
      </c>
      <c r="H250" s="23">
        <v>3402778.8</v>
      </c>
      <c r="I250" s="37">
        <v>44478</v>
      </c>
      <c r="J250" s="37">
        <f t="shared" si="32"/>
        <v>44508</v>
      </c>
      <c r="K250" s="38">
        <f t="shared" si="33"/>
        <v>30</v>
      </c>
      <c r="L250" s="38" t="str">
        <f t="shared" si="34"/>
        <v>Dejar al valor nominal</v>
      </c>
      <c r="M250" s="38">
        <f t="shared" si="35"/>
        <v>0</v>
      </c>
      <c r="N250" s="272" t="str">
        <f t="shared" si="36"/>
        <v>OK</v>
      </c>
      <c r="P250" s="23"/>
      <c r="Q250" s="23"/>
      <c r="R250" s="23"/>
    </row>
    <row r="251" spans="1:18">
      <c r="A251" s="22">
        <v>23359500</v>
      </c>
      <c r="B251" s="23" t="s">
        <v>36</v>
      </c>
      <c r="C251" s="34" t="s">
        <v>1008</v>
      </c>
      <c r="D251" s="34"/>
      <c r="F251" s="36" t="s">
        <v>204</v>
      </c>
      <c r="G251" s="23">
        <v>800000</v>
      </c>
      <c r="H251" s="23">
        <v>800000</v>
      </c>
      <c r="I251" s="37">
        <v>44513</v>
      </c>
      <c r="J251" s="37">
        <f t="shared" si="32"/>
        <v>44543</v>
      </c>
      <c r="K251" s="38">
        <f t="shared" si="33"/>
        <v>30</v>
      </c>
      <c r="L251" s="38" t="str">
        <f t="shared" si="34"/>
        <v>Dejar al valor nominal</v>
      </c>
      <c r="M251" s="38">
        <f t="shared" si="35"/>
        <v>0</v>
      </c>
      <c r="N251" s="272" t="str">
        <f t="shared" si="36"/>
        <v>OK</v>
      </c>
      <c r="P251" s="23"/>
      <c r="Q251" s="23"/>
      <c r="R251" s="23"/>
    </row>
    <row r="252" spans="1:18">
      <c r="A252" s="22">
        <v>23359500</v>
      </c>
      <c r="B252" s="23" t="s">
        <v>36</v>
      </c>
      <c r="C252" s="34" t="s">
        <v>1008</v>
      </c>
      <c r="D252" s="34"/>
      <c r="F252" s="36" t="s">
        <v>204</v>
      </c>
      <c r="G252" s="23">
        <v>2795483.03</v>
      </c>
      <c r="H252" s="23">
        <v>2795483.03</v>
      </c>
      <c r="I252" s="37">
        <v>44521</v>
      </c>
      <c r="J252" s="37">
        <f t="shared" si="32"/>
        <v>44551</v>
      </c>
      <c r="K252" s="38">
        <f t="shared" si="33"/>
        <v>30</v>
      </c>
      <c r="L252" s="38" t="str">
        <f t="shared" si="34"/>
        <v>Dejar al valor nominal</v>
      </c>
      <c r="M252" s="38">
        <f t="shared" si="35"/>
        <v>0</v>
      </c>
      <c r="N252" s="272" t="str">
        <f t="shared" si="36"/>
        <v>OK</v>
      </c>
      <c r="P252" s="23"/>
      <c r="Q252" s="23"/>
      <c r="R252" s="23"/>
    </row>
    <row r="253" spans="1:18">
      <c r="A253" s="22">
        <v>23359500</v>
      </c>
      <c r="B253" s="23" t="s">
        <v>36</v>
      </c>
      <c r="C253" s="34" t="s">
        <v>1008</v>
      </c>
      <c r="D253" s="34"/>
      <c r="F253" s="36" t="s">
        <v>204</v>
      </c>
      <c r="G253" s="23">
        <v>785400</v>
      </c>
      <c r="H253" s="23">
        <v>785400</v>
      </c>
      <c r="I253" s="37">
        <v>44513</v>
      </c>
      <c r="J253" s="37">
        <f t="shared" si="32"/>
        <v>44543</v>
      </c>
      <c r="K253" s="38">
        <f t="shared" si="33"/>
        <v>30</v>
      </c>
      <c r="L253" s="38" t="str">
        <f t="shared" si="34"/>
        <v>Dejar al valor nominal</v>
      </c>
      <c r="M253" s="38">
        <f t="shared" si="35"/>
        <v>0</v>
      </c>
      <c r="N253" s="272" t="str">
        <f t="shared" si="36"/>
        <v>OK</v>
      </c>
      <c r="P253" s="23"/>
      <c r="Q253" s="23"/>
      <c r="R253" s="23"/>
    </row>
    <row r="254" spans="1:18">
      <c r="A254" s="22">
        <v>23359500</v>
      </c>
      <c r="B254" s="23" t="s">
        <v>36</v>
      </c>
      <c r="C254" s="34" t="s">
        <v>1008</v>
      </c>
      <c r="D254" s="34"/>
      <c r="F254" s="36" t="s">
        <v>204</v>
      </c>
      <c r="G254" s="23">
        <v>4150794</v>
      </c>
      <c r="H254" s="23">
        <v>4150794</v>
      </c>
      <c r="I254" s="37">
        <v>44527</v>
      </c>
      <c r="J254" s="37">
        <f t="shared" si="32"/>
        <v>44557</v>
      </c>
      <c r="K254" s="38">
        <f t="shared" si="33"/>
        <v>30</v>
      </c>
      <c r="L254" s="38" t="str">
        <f t="shared" si="34"/>
        <v>Dejar al valor nominal</v>
      </c>
      <c r="M254" s="38">
        <f t="shared" si="35"/>
        <v>0</v>
      </c>
      <c r="N254" s="272" t="str">
        <f t="shared" si="36"/>
        <v>OK</v>
      </c>
      <c r="P254" s="23"/>
      <c r="Q254" s="23"/>
      <c r="R254" s="23"/>
    </row>
    <row r="255" spans="1:18">
      <c r="A255" s="22">
        <v>23359500</v>
      </c>
      <c r="B255" s="23" t="s">
        <v>36</v>
      </c>
      <c r="C255" s="34" t="s">
        <v>1008</v>
      </c>
      <c r="D255" s="34"/>
      <c r="F255" s="36" t="s">
        <v>204</v>
      </c>
      <c r="G255" s="23">
        <v>302260</v>
      </c>
      <c r="H255" s="23">
        <v>302260</v>
      </c>
      <c r="I255" s="37">
        <v>44531</v>
      </c>
      <c r="J255" s="37">
        <f t="shared" si="32"/>
        <v>44561</v>
      </c>
      <c r="K255" s="38">
        <f t="shared" si="33"/>
        <v>30</v>
      </c>
      <c r="L255" s="38" t="str">
        <f t="shared" si="34"/>
        <v>Dejar al valor nominal</v>
      </c>
      <c r="M255" s="38">
        <f t="shared" si="35"/>
        <v>0</v>
      </c>
      <c r="N255" s="272" t="str">
        <f t="shared" si="36"/>
        <v>OK</v>
      </c>
      <c r="P255" s="23"/>
      <c r="Q255" s="23"/>
      <c r="R255" s="23"/>
    </row>
    <row r="256" spans="1:18">
      <c r="A256" s="22">
        <v>23359500</v>
      </c>
      <c r="B256" s="23" t="s">
        <v>36</v>
      </c>
      <c r="C256" s="34" t="s">
        <v>1008</v>
      </c>
      <c r="D256" s="34"/>
      <c r="F256" s="36" t="s">
        <v>204</v>
      </c>
      <c r="G256" s="23">
        <v>821100</v>
      </c>
      <c r="H256" s="23">
        <v>821100</v>
      </c>
      <c r="I256" s="37">
        <v>44533</v>
      </c>
      <c r="J256" s="37">
        <f t="shared" si="32"/>
        <v>44563</v>
      </c>
      <c r="K256" s="38">
        <f t="shared" si="33"/>
        <v>30</v>
      </c>
      <c r="L256" s="38" t="str">
        <f t="shared" si="34"/>
        <v>Dejar al valor nominal</v>
      </c>
      <c r="M256" s="38">
        <f t="shared" si="35"/>
        <v>0</v>
      </c>
      <c r="N256" s="272" t="str">
        <f t="shared" si="36"/>
        <v>OK</v>
      </c>
      <c r="P256" s="23"/>
      <c r="Q256" s="23"/>
      <c r="R256" s="23"/>
    </row>
    <row r="257" spans="1:18">
      <c r="A257" s="22">
        <v>23359500</v>
      </c>
      <c r="B257" s="23" t="s">
        <v>36</v>
      </c>
      <c r="C257" s="34" t="s">
        <v>1008</v>
      </c>
      <c r="D257" s="34"/>
      <c r="F257" s="36" t="s">
        <v>204</v>
      </c>
      <c r="G257" s="23">
        <v>667590</v>
      </c>
      <c r="H257" s="23">
        <v>667590</v>
      </c>
      <c r="I257" s="37">
        <v>44533</v>
      </c>
      <c r="J257" s="37">
        <f t="shared" si="32"/>
        <v>44563</v>
      </c>
      <c r="K257" s="38">
        <f t="shared" si="33"/>
        <v>30</v>
      </c>
      <c r="L257" s="38" t="str">
        <f t="shared" si="34"/>
        <v>Dejar al valor nominal</v>
      </c>
      <c r="M257" s="38">
        <f t="shared" si="35"/>
        <v>0</v>
      </c>
      <c r="N257" s="272" t="str">
        <f t="shared" si="36"/>
        <v>OK</v>
      </c>
      <c r="P257" s="23"/>
      <c r="Q257" s="23"/>
      <c r="R257" s="23"/>
    </row>
    <row r="258" spans="1:18">
      <c r="A258" s="22">
        <v>23359500</v>
      </c>
      <c r="B258" s="23" t="s">
        <v>36</v>
      </c>
      <c r="C258" s="34" t="s">
        <v>1008</v>
      </c>
      <c r="D258" s="34"/>
      <c r="F258" s="36" t="s">
        <v>204</v>
      </c>
      <c r="G258" s="23">
        <v>5423612</v>
      </c>
      <c r="H258" s="23">
        <v>5423612</v>
      </c>
      <c r="I258" s="37">
        <v>44548</v>
      </c>
      <c r="J258" s="37">
        <f t="shared" si="32"/>
        <v>44578</v>
      </c>
      <c r="K258" s="38">
        <f t="shared" si="33"/>
        <v>30</v>
      </c>
      <c r="L258" s="38" t="str">
        <f t="shared" si="34"/>
        <v>Dejar al valor nominal</v>
      </c>
      <c r="M258" s="38">
        <f t="shared" si="35"/>
        <v>0</v>
      </c>
      <c r="N258" s="272" t="str">
        <f t="shared" si="36"/>
        <v>OK</v>
      </c>
      <c r="P258" s="23"/>
      <c r="Q258" s="23"/>
      <c r="R258" s="23"/>
    </row>
    <row r="259" spans="1:18">
      <c r="A259" s="22">
        <v>23359500</v>
      </c>
      <c r="B259" s="23" t="s">
        <v>36</v>
      </c>
      <c r="C259" s="34" t="s">
        <v>1008</v>
      </c>
      <c r="D259" s="34"/>
      <c r="F259" s="36" t="s">
        <v>204</v>
      </c>
      <c r="G259" s="23">
        <v>1428450</v>
      </c>
      <c r="H259" s="23">
        <v>1428450</v>
      </c>
      <c r="I259" s="37">
        <v>44534</v>
      </c>
      <c r="J259" s="37">
        <f t="shared" si="32"/>
        <v>44564</v>
      </c>
      <c r="K259" s="38">
        <f t="shared" si="33"/>
        <v>30</v>
      </c>
      <c r="L259" s="38" t="str">
        <f t="shared" si="34"/>
        <v>Dejar al valor nominal</v>
      </c>
      <c r="M259" s="38">
        <f t="shared" si="35"/>
        <v>0</v>
      </c>
      <c r="N259" s="272" t="str">
        <f t="shared" si="36"/>
        <v>OK</v>
      </c>
      <c r="P259" s="23"/>
      <c r="Q259" s="23"/>
      <c r="R259" s="23"/>
    </row>
    <row r="260" spans="1:18">
      <c r="A260" s="22">
        <v>23359500</v>
      </c>
      <c r="B260" s="23" t="s">
        <v>36</v>
      </c>
      <c r="C260" s="34" t="s">
        <v>1008</v>
      </c>
      <c r="D260" s="34"/>
      <c r="F260" s="36" t="s">
        <v>204</v>
      </c>
      <c r="G260" s="23">
        <v>208794</v>
      </c>
      <c r="H260" s="23">
        <v>208794</v>
      </c>
      <c r="I260" s="37">
        <v>44534</v>
      </c>
      <c r="J260" s="37">
        <f t="shared" si="32"/>
        <v>44564</v>
      </c>
      <c r="K260" s="38">
        <f t="shared" si="33"/>
        <v>30</v>
      </c>
      <c r="L260" s="38" t="str">
        <f t="shared" si="34"/>
        <v>Dejar al valor nominal</v>
      </c>
      <c r="M260" s="38">
        <f t="shared" si="35"/>
        <v>0</v>
      </c>
      <c r="N260" s="272" t="str">
        <f t="shared" si="36"/>
        <v>OK</v>
      </c>
      <c r="P260" s="23"/>
      <c r="Q260" s="23"/>
      <c r="R260" s="23"/>
    </row>
    <row r="261" spans="1:18">
      <c r="A261" s="22">
        <v>23359500</v>
      </c>
      <c r="B261" s="23" t="s">
        <v>36</v>
      </c>
      <c r="C261" s="34" t="s">
        <v>1008</v>
      </c>
      <c r="D261" s="34"/>
      <c r="F261" s="36" t="s">
        <v>204</v>
      </c>
      <c r="G261" s="23">
        <v>2257758.75</v>
      </c>
      <c r="H261" s="23">
        <v>2257758.75</v>
      </c>
      <c r="I261" s="37">
        <v>44503</v>
      </c>
      <c r="J261" s="37">
        <f t="shared" si="32"/>
        <v>44533</v>
      </c>
      <c r="K261" s="38">
        <f t="shared" si="33"/>
        <v>30</v>
      </c>
      <c r="L261" s="38" t="str">
        <f t="shared" si="34"/>
        <v>Dejar al valor nominal</v>
      </c>
      <c r="M261" s="38">
        <f t="shared" si="35"/>
        <v>0</v>
      </c>
      <c r="N261" s="272" t="str">
        <f t="shared" si="36"/>
        <v>OK</v>
      </c>
      <c r="P261" s="23"/>
      <c r="Q261" s="23"/>
      <c r="R261" s="23"/>
    </row>
    <row r="262" spans="1:18">
      <c r="A262" s="22">
        <v>23359500</v>
      </c>
      <c r="B262" s="23" t="s">
        <v>36</v>
      </c>
      <c r="C262" s="34" t="s">
        <v>1008</v>
      </c>
      <c r="D262" s="34"/>
      <c r="F262" s="36" t="s">
        <v>204</v>
      </c>
      <c r="G262" s="23">
        <v>1426327.5</v>
      </c>
      <c r="H262" s="23">
        <v>1426327.5</v>
      </c>
      <c r="I262" s="37">
        <v>44531</v>
      </c>
      <c r="J262" s="37">
        <f t="shared" si="32"/>
        <v>44561</v>
      </c>
      <c r="K262" s="38">
        <f t="shared" si="33"/>
        <v>30</v>
      </c>
      <c r="L262" s="38" t="str">
        <f t="shared" si="34"/>
        <v>Dejar al valor nominal</v>
      </c>
      <c r="M262" s="38">
        <f t="shared" si="35"/>
        <v>0</v>
      </c>
      <c r="N262" s="272" t="str">
        <f t="shared" si="36"/>
        <v>OK</v>
      </c>
      <c r="P262" s="23"/>
      <c r="Q262" s="23"/>
      <c r="R262" s="23"/>
    </row>
    <row r="263" spans="1:18">
      <c r="A263" s="22">
        <v>23359500</v>
      </c>
      <c r="B263" s="23" t="s">
        <v>36</v>
      </c>
      <c r="C263" s="34" t="s">
        <v>1008</v>
      </c>
      <c r="D263" s="34"/>
      <c r="F263" s="36" t="s">
        <v>204</v>
      </c>
      <c r="G263" s="23">
        <v>907650</v>
      </c>
      <c r="H263" s="23">
        <v>907650</v>
      </c>
      <c r="I263" s="37">
        <v>44548</v>
      </c>
      <c r="J263" s="37">
        <f t="shared" si="32"/>
        <v>44578</v>
      </c>
      <c r="K263" s="38">
        <f t="shared" si="33"/>
        <v>30</v>
      </c>
      <c r="L263" s="38" t="str">
        <f t="shared" si="34"/>
        <v>Dejar al valor nominal</v>
      </c>
      <c r="M263" s="38">
        <f t="shared" si="35"/>
        <v>0</v>
      </c>
      <c r="N263" s="272" t="str">
        <f t="shared" si="36"/>
        <v>OK</v>
      </c>
      <c r="P263" s="23"/>
      <c r="Q263" s="23"/>
      <c r="R263" s="23"/>
    </row>
    <row r="264" spans="1:18">
      <c r="A264" s="22">
        <v>23359500</v>
      </c>
      <c r="B264" s="23" t="s">
        <v>36</v>
      </c>
      <c r="C264" s="34" t="s">
        <v>1008</v>
      </c>
      <c r="D264" s="34"/>
      <c r="F264" s="36" t="s">
        <v>204</v>
      </c>
      <c r="G264" s="23">
        <v>1931580</v>
      </c>
      <c r="H264" s="23">
        <v>1931580</v>
      </c>
      <c r="I264" s="37">
        <v>44553</v>
      </c>
      <c r="J264" s="37">
        <f t="shared" si="32"/>
        <v>44583</v>
      </c>
      <c r="K264" s="38">
        <f t="shared" si="33"/>
        <v>30</v>
      </c>
      <c r="L264" s="38" t="str">
        <f t="shared" si="34"/>
        <v>Dejar al valor nominal</v>
      </c>
      <c r="M264" s="38">
        <f t="shared" si="35"/>
        <v>0</v>
      </c>
      <c r="N264" s="272" t="str">
        <f t="shared" si="36"/>
        <v>OK</v>
      </c>
      <c r="P264" s="23"/>
      <c r="Q264" s="23"/>
      <c r="R264" s="23"/>
    </row>
    <row r="265" spans="1:18">
      <c r="A265" s="22">
        <v>23359500</v>
      </c>
      <c r="B265" s="23" t="s">
        <v>36</v>
      </c>
      <c r="C265" s="34" t="s">
        <v>1008</v>
      </c>
      <c r="D265" s="34"/>
      <c r="F265" s="36" t="s">
        <v>204</v>
      </c>
      <c r="G265" s="23">
        <v>2146760</v>
      </c>
      <c r="H265" s="23">
        <v>2146760</v>
      </c>
      <c r="I265" s="37">
        <v>44545</v>
      </c>
      <c r="J265" s="37">
        <f t="shared" si="32"/>
        <v>44575</v>
      </c>
      <c r="K265" s="38">
        <f t="shared" si="33"/>
        <v>30</v>
      </c>
      <c r="L265" s="38" t="str">
        <f t="shared" si="34"/>
        <v>Dejar al valor nominal</v>
      </c>
      <c r="M265" s="38">
        <f t="shared" si="35"/>
        <v>0</v>
      </c>
      <c r="N265" s="272" t="str">
        <f t="shared" si="36"/>
        <v>OK</v>
      </c>
      <c r="P265" s="23"/>
      <c r="Q265" s="23"/>
      <c r="R265" s="23"/>
    </row>
    <row r="266" spans="1:18">
      <c r="A266" s="22">
        <v>23359500</v>
      </c>
      <c r="B266" s="23" t="s">
        <v>36</v>
      </c>
      <c r="C266" s="34" t="s">
        <v>1008</v>
      </c>
      <c r="D266" s="34"/>
      <c r="F266" s="36" t="s">
        <v>204</v>
      </c>
      <c r="G266" s="23">
        <v>1782450</v>
      </c>
      <c r="H266" s="23">
        <v>1782450</v>
      </c>
      <c r="I266" s="37">
        <v>44547</v>
      </c>
      <c r="J266" s="37">
        <f t="shared" si="32"/>
        <v>44577</v>
      </c>
      <c r="K266" s="38">
        <f t="shared" si="33"/>
        <v>30</v>
      </c>
      <c r="L266" s="38" t="str">
        <f t="shared" si="34"/>
        <v>Dejar al valor nominal</v>
      </c>
      <c r="M266" s="38">
        <f t="shared" si="35"/>
        <v>0</v>
      </c>
      <c r="N266" s="272" t="str">
        <f t="shared" si="36"/>
        <v>OK</v>
      </c>
      <c r="P266" s="23"/>
      <c r="Q266" s="23"/>
      <c r="R266" s="23"/>
    </row>
    <row r="267" spans="1:18">
      <c r="A267" s="22">
        <v>23359500</v>
      </c>
      <c r="B267" s="23" t="s">
        <v>36</v>
      </c>
      <c r="C267" s="34" t="s">
        <v>1008</v>
      </c>
      <c r="D267" s="34"/>
      <c r="F267" s="36" t="s">
        <v>204</v>
      </c>
      <c r="G267" s="23">
        <v>319158</v>
      </c>
      <c r="H267" s="23">
        <v>319158</v>
      </c>
      <c r="I267" s="37">
        <v>44547</v>
      </c>
      <c r="J267" s="37">
        <f t="shared" si="32"/>
        <v>44577</v>
      </c>
      <c r="K267" s="38">
        <f t="shared" si="33"/>
        <v>30</v>
      </c>
      <c r="L267" s="38" t="str">
        <f t="shared" si="34"/>
        <v>Dejar al valor nominal</v>
      </c>
      <c r="M267" s="38">
        <f t="shared" si="35"/>
        <v>0</v>
      </c>
      <c r="N267" s="272" t="str">
        <f t="shared" si="36"/>
        <v>OK</v>
      </c>
      <c r="P267" s="23"/>
      <c r="Q267" s="23"/>
      <c r="R267" s="23"/>
    </row>
    <row r="268" spans="1:18">
      <c r="A268" s="22">
        <v>23359500</v>
      </c>
      <c r="B268" s="23" t="s">
        <v>36</v>
      </c>
      <c r="C268" s="34" t="s">
        <v>1008</v>
      </c>
      <c r="D268" s="34"/>
      <c r="F268" s="36" t="s">
        <v>204</v>
      </c>
      <c r="G268" s="23">
        <v>256641</v>
      </c>
      <c r="H268" s="23">
        <v>256641</v>
      </c>
      <c r="I268" s="37">
        <v>44558</v>
      </c>
      <c r="J268" s="37">
        <f t="shared" si="32"/>
        <v>44588</v>
      </c>
      <c r="K268" s="38">
        <f t="shared" si="33"/>
        <v>30</v>
      </c>
      <c r="L268" s="38" t="str">
        <f t="shared" si="34"/>
        <v>Dejar al valor nominal</v>
      </c>
      <c r="M268" s="38">
        <f t="shared" si="35"/>
        <v>0</v>
      </c>
      <c r="N268" s="272" t="str">
        <f t="shared" si="36"/>
        <v>OK</v>
      </c>
      <c r="P268" s="23"/>
      <c r="Q268" s="23"/>
      <c r="R268" s="23"/>
    </row>
    <row r="269" spans="1:18">
      <c r="A269" s="22">
        <v>23359500</v>
      </c>
      <c r="B269" s="23" t="s">
        <v>36</v>
      </c>
      <c r="C269" s="34" t="s">
        <v>1008</v>
      </c>
      <c r="D269" s="34"/>
      <c r="F269" s="36" t="s">
        <v>204</v>
      </c>
      <c r="G269" s="23">
        <v>8934636</v>
      </c>
      <c r="H269" s="23">
        <v>8934636</v>
      </c>
      <c r="I269" s="37">
        <v>44399</v>
      </c>
      <c r="J269" s="37">
        <f t="shared" si="32"/>
        <v>44429</v>
      </c>
      <c r="K269" s="38">
        <f t="shared" si="33"/>
        <v>30</v>
      </c>
      <c r="L269" s="38" t="str">
        <f t="shared" si="34"/>
        <v>Dejar al valor nominal</v>
      </c>
      <c r="M269" s="38">
        <f t="shared" si="35"/>
        <v>0</v>
      </c>
      <c r="N269" s="272" t="str">
        <f t="shared" si="36"/>
        <v>OK</v>
      </c>
      <c r="P269" s="23"/>
      <c r="Q269" s="23"/>
      <c r="R269" s="23"/>
    </row>
    <row r="270" spans="1:18">
      <c r="A270" s="22">
        <v>23359500</v>
      </c>
      <c r="B270" s="23" t="s">
        <v>36</v>
      </c>
      <c r="C270" s="34" t="s">
        <v>1008</v>
      </c>
      <c r="D270" s="34"/>
      <c r="F270" s="36" t="s">
        <v>204</v>
      </c>
      <c r="G270" s="23">
        <v>9205383</v>
      </c>
      <c r="H270" s="23">
        <v>9205383</v>
      </c>
      <c r="I270" s="37">
        <v>44422</v>
      </c>
      <c r="J270" s="37">
        <f t="shared" si="32"/>
        <v>44452</v>
      </c>
      <c r="K270" s="38">
        <f t="shared" si="33"/>
        <v>30</v>
      </c>
      <c r="L270" s="38" t="str">
        <f t="shared" si="34"/>
        <v>Dejar al valor nominal</v>
      </c>
      <c r="M270" s="38">
        <f t="shared" si="35"/>
        <v>0</v>
      </c>
      <c r="N270" s="272" t="str">
        <f t="shared" si="36"/>
        <v>OK</v>
      </c>
      <c r="P270" s="23"/>
      <c r="Q270" s="23"/>
      <c r="R270" s="23"/>
    </row>
    <row r="271" spans="1:18">
      <c r="A271" s="22">
        <v>23359500</v>
      </c>
      <c r="B271" s="23" t="s">
        <v>36</v>
      </c>
      <c r="C271" s="34" t="s">
        <v>1008</v>
      </c>
      <c r="D271" s="34"/>
      <c r="F271" s="36" t="s">
        <v>204</v>
      </c>
      <c r="G271" s="23">
        <v>3074602</v>
      </c>
      <c r="H271" s="23">
        <v>3074602</v>
      </c>
      <c r="I271" s="37">
        <v>44457</v>
      </c>
      <c r="J271" s="37">
        <f t="shared" si="32"/>
        <v>44487</v>
      </c>
      <c r="K271" s="38">
        <f t="shared" si="33"/>
        <v>30</v>
      </c>
      <c r="L271" s="38" t="str">
        <f t="shared" si="34"/>
        <v>Dejar al valor nominal</v>
      </c>
      <c r="M271" s="38">
        <f t="shared" si="35"/>
        <v>0</v>
      </c>
      <c r="N271" s="272" t="str">
        <f t="shared" si="36"/>
        <v>OK</v>
      </c>
      <c r="P271" s="23"/>
      <c r="Q271" s="23"/>
      <c r="R271" s="23"/>
    </row>
    <row r="272" spans="1:18">
      <c r="A272" s="22">
        <v>23359500</v>
      </c>
      <c r="B272" s="23" t="s">
        <v>36</v>
      </c>
      <c r="C272" s="34" t="s">
        <v>1008</v>
      </c>
      <c r="D272" s="34"/>
      <c r="F272" s="36" t="s">
        <v>204</v>
      </c>
      <c r="G272" s="23">
        <v>3074602</v>
      </c>
      <c r="H272" s="23">
        <v>3074602</v>
      </c>
      <c r="I272" s="37">
        <v>44496</v>
      </c>
      <c r="J272" s="37">
        <f t="shared" si="32"/>
        <v>44526</v>
      </c>
      <c r="K272" s="38">
        <f t="shared" si="33"/>
        <v>30</v>
      </c>
      <c r="L272" s="38" t="str">
        <f t="shared" si="34"/>
        <v>Dejar al valor nominal</v>
      </c>
      <c r="M272" s="38">
        <f t="shared" si="35"/>
        <v>0</v>
      </c>
      <c r="N272" s="272" t="str">
        <f t="shared" si="36"/>
        <v>OK</v>
      </c>
      <c r="P272" s="23"/>
      <c r="Q272" s="23"/>
      <c r="R272" s="23"/>
    </row>
    <row r="273" spans="1:18">
      <c r="A273" s="22">
        <v>23359500</v>
      </c>
      <c r="B273" s="23" t="s">
        <v>36</v>
      </c>
      <c r="C273" s="34" t="s">
        <v>1008</v>
      </c>
      <c r="D273" s="34"/>
      <c r="F273" s="36" t="s">
        <v>204</v>
      </c>
      <c r="G273" s="23">
        <v>20603813</v>
      </c>
      <c r="H273" s="23">
        <v>20603813</v>
      </c>
      <c r="I273" s="37">
        <v>44496</v>
      </c>
      <c r="J273" s="37">
        <f t="shared" si="32"/>
        <v>44526</v>
      </c>
      <c r="K273" s="38">
        <f t="shared" si="33"/>
        <v>30</v>
      </c>
      <c r="L273" s="38" t="str">
        <f t="shared" si="34"/>
        <v>Dejar al valor nominal</v>
      </c>
      <c r="M273" s="38">
        <f t="shared" si="35"/>
        <v>0</v>
      </c>
      <c r="N273" s="272" t="str">
        <f t="shared" si="36"/>
        <v>OK</v>
      </c>
      <c r="P273" s="23"/>
      <c r="Q273" s="23"/>
      <c r="R273" s="23"/>
    </row>
    <row r="274" spans="1:18">
      <c r="A274" s="22">
        <v>23359500</v>
      </c>
      <c r="B274" s="23" t="s">
        <v>36</v>
      </c>
      <c r="C274" s="34" t="s">
        <v>1008</v>
      </c>
      <c r="D274" s="34"/>
      <c r="F274" s="36" t="s">
        <v>204</v>
      </c>
      <c r="G274" s="23">
        <v>33823296</v>
      </c>
      <c r="H274" s="23">
        <v>33823296</v>
      </c>
      <c r="I274" s="37">
        <v>44539</v>
      </c>
      <c r="J274" s="37">
        <f t="shared" si="32"/>
        <v>44569</v>
      </c>
      <c r="K274" s="38">
        <f t="shared" si="33"/>
        <v>30</v>
      </c>
      <c r="L274" s="38" t="str">
        <f t="shared" si="34"/>
        <v>Dejar al valor nominal</v>
      </c>
      <c r="M274" s="38">
        <f t="shared" si="35"/>
        <v>0</v>
      </c>
      <c r="N274" s="272" t="str">
        <f t="shared" si="36"/>
        <v>OK</v>
      </c>
      <c r="P274" s="23"/>
      <c r="Q274" s="23"/>
      <c r="R274" s="23"/>
    </row>
    <row r="275" spans="1:18">
      <c r="A275" s="22">
        <v>23359500</v>
      </c>
      <c r="B275" s="23" t="s">
        <v>36</v>
      </c>
      <c r="C275" s="34" t="s">
        <v>1008</v>
      </c>
      <c r="D275" s="34"/>
      <c r="F275" s="36" t="s">
        <v>204</v>
      </c>
      <c r="G275" s="23">
        <v>11868000</v>
      </c>
      <c r="H275" s="23">
        <v>11868000</v>
      </c>
      <c r="I275" s="37">
        <v>44547</v>
      </c>
      <c r="J275" s="37">
        <f t="shared" si="32"/>
        <v>44577</v>
      </c>
      <c r="K275" s="38">
        <f t="shared" si="33"/>
        <v>30</v>
      </c>
      <c r="L275" s="38" t="str">
        <f t="shared" si="34"/>
        <v>Dejar al valor nominal</v>
      </c>
      <c r="M275" s="38">
        <f t="shared" si="35"/>
        <v>0</v>
      </c>
      <c r="N275" s="272" t="str">
        <f t="shared" si="36"/>
        <v>OK</v>
      </c>
      <c r="P275" s="23"/>
      <c r="Q275" s="23"/>
      <c r="R275" s="23"/>
    </row>
    <row r="276" spans="1:18">
      <c r="A276" s="22">
        <v>23359500</v>
      </c>
      <c r="B276" s="23" t="s">
        <v>36</v>
      </c>
      <c r="C276" s="34" t="s">
        <v>1008</v>
      </c>
      <c r="D276" s="34"/>
      <c r="F276" s="36" t="s">
        <v>204</v>
      </c>
      <c r="G276" s="23">
        <v>23948420.399999999</v>
      </c>
      <c r="H276" s="23">
        <v>23948420.399999999</v>
      </c>
      <c r="I276" s="37">
        <v>44547</v>
      </c>
      <c r="J276" s="37">
        <f t="shared" si="32"/>
        <v>44577</v>
      </c>
      <c r="K276" s="38">
        <f t="shared" si="33"/>
        <v>30</v>
      </c>
      <c r="L276" s="38" t="str">
        <f t="shared" si="34"/>
        <v>Dejar al valor nominal</v>
      </c>
      <c r="M276" s="38">
        <f t="shared" si="35"/>
        <v>0</v>
      </c>
      <c r="N276" s="272" t="str">
        <f t="shared" si="36"/>
        <v>OK</v>
      </c>
      <c r="P276" s="23"/>
      <c r="Q276" s="23"/>
      <c r="R276" s="23"/>
    </row>
    <row r="277" spans="1:18">
      <c r="A277" s="22">
        <v>23359500</v>
      </c>
      <c r="B277" s="23" t="s">
        <v>36</v>
      </c>
      <c r="C277" s="34" t="s">
        <v>1008</v>
      </c>
      <c r="D277" s="34"/>
      <c r="F277" s="36" t="s">
        <v>204</v>
      </c>
      <c r="G277" s="23">
        <v>4147137</v>
      </c>
      <c r="H277" s="23">
        <v>4147137</v>
      </c>
      <c r="I277" s="37">
        <v>44547</v>
      </c>
      <c r="J277" s="37">
        <f t="shared" si="32"/>
        <v>44577</v>
      </c>
      <c r="K277" s="38">
        <f t="shared" si="33"/>
        <v>30</v>
      </c>
      <c r="L277" s="38" t="str">
        <f t="shared" si="34"/>
        <v>Dejar al valor nominal</v>
      </c>
      <c r="M277" s="38">
        <f t="shared" si="35"/>
        <v>0</v>
      </c>
      <c r="N277" s="272" t="str">
        <f t="shared" si="36"/>
        <v>OK</v>
      </c>
      <c r="P277" s="23"/>
      <c r="Q277" s="23"/>
      <c r="R277" s="23"/>
    </row>
    <row r="278" spans="1:18">
      <c r="A278" s="22">
        <v>23359500</v>
      </c>
      <c r="B278" s="23" t="s">
        <v>36</v>
      </c>
      <c r="C278" s="34" t="s">
        <v>1008</v>
      </c>
      <c r="D278" s="34"/>
      <c r="F278" s="36" t="s">
        <v>204</v>
      </c>
      <c r="G278" s="23">
        <v>17141810</v>
      </c>
      <c r="H278" s="23">
        <v>17141810</v>
      </c>
      <c r="I278" s="37">
        <v>44548</v>
      </c>
      <c r="J278" s="37">
        <f t="shared" si="32"/>
        <v>44578</v>
      </c>
      <c r="K278" s="38">
        <f t="shared" si="33"/>
        <v>30</v>
      </c>
      <c r="L278" s="38" t="str">
        <f t="shared" si="34"/>
        <v>Dejar al valor nominal</v>
      </c>
      <c r="M278" s="38">
        <f t="shared" si="35"/>
        <v>0</v>
      </c>
      <c r="N278" s="272" t="str">
        <f t="shared" si="36"/>
        <v>OK</v>
      </c>
      <c r="P278" s="23"/>
      <c r="Q278" s="23"/>
      <c r="R278" s="23"/>
    </row>
    <row r="279" spans="1:18">
      <c r="A279" s="22">
        <v>23359500</v>
      </c>
      <c r="B279" s="23" t="s">
        <v>36</v>
      </c>
      <c r="C279" s="34" t="s">
        <v>1008</v>
      </c>
      <c r="D279" s="34"/>
      <c r="F279" s="36" t="s">
        <v>204</v>
      </c>
      <c r="G279" s="23">
        <v>9395056</v>
      </c>
      <c r="H279" s="23">
        <v>9395056</v>
      </c>
      <c r="I279" s="37">
        <v>44554</v>
      </c>
      <c r="J279" s="37">
        <f t="shared" si="32"/>
        <v>44584</v>
      </c>
      <c r="K279" s="38">
        <f t="shared" si="33"/>
        <v>30</v>
      </c>
      <c r="L279" s="38" t="str">
        <f t="shared" si="34"/>
        <v>Dejar al valor nominal</v>
      </c>
      <c r="M279" s="38">
        <f t="shared" si="35"/>
        <v>0</v>
      </c>
      <c r="N279" s="272" t="str">
        <f t="shared" si="36"/>
        <v>OK</v>
      </c>
      <c r="P279" s="23"/>
      <c r="Q279" s="23"/>
      <c r="R279" s="23"/>
    </row>
    <row r="280" spans="1:18">
      <c r="A280" s="22">
        <v>23359500</v>
      </c>
      <c r="B280" s="23" t="s">
        <v>36</v>
      </c>
      <c r="C280" s="34" t="s">
        <v>1008</v>
      </c>
      <c r="D280" s="34"/>
      <c r="F280" s="36" t="s">
        <v>204</v>
      </c>
      <c r="G280" s="23">
        <v>1619282.8</v>
      </c>
      <c r="H280" s="23">
        <v>1619282.8</v>
      </c>
      <c r="I280" s="37">
        <v>44537</v>
      </c>
      <c r="J280" s="37">
        <f t="shared" si="32"/>
        <v>44567</v>
      </c>
      <c r="K280" s="38">
        <f t="shared" si="33"/>
        <v>30</v>
      </c>
      <c r="L280" s="38" t="str">
        <f t="shared" si="34"/>
        <v>Dejar al valor nominal</v>
      </c>
      <c r="M280" s="38">
        <f t="shared" si="35"/>
        <v>0</v>
      </c>
      <c r="N280" s="272" t="str">
        <f t="shared" si="36"/>
        <v>OK</v>
      </c>
      <c r="P280" s="23"/>
      <c r="Q280" s="23"/>
      <c r="R280" s="23"/>
    </row>
    <row r="281" spans="1:18">
      <c r="A281" s="22">
        <v>23359500</v>
      </c>
      <c r="B281" s="23" t="s">
        <v>36</v>
      </c>
      <c r="C281" s="34" t="s">
        <v>1008</v>
      </c>
      <c r="D281" s="34"/>
      <c r="F281" s="36" t="s">
        <v>204</v>
      </c>
      <c r="G281" s="23">
        <v>50000</v>
      </c>
      <c r="H281" s="23">
        <v>50000</v>
      </c>
      <c r="I281" s="37">
        <v>44556</v>
      </c>
      <c r="J281" s="37">
        <f t="shared" si="32"/>
        <v>44586</v>
      </c>
      <c r="K281" s="38">
        <f t="shared" si="33"/>
        <v>30</v>
      </c>
      <c r="L281" s="38" t="str">
        <f t="shared" si="34"/>
        <v>Dejar al valor nominal</v>
      </c>
      <c r="M281" s="38">
        <f t="shared" si="35"/>
        <v>0</v>
      </c>
      <c r="N281" s="272" t="str">
        <f t="shared" si="36"/>
        <v>OK</v>
      </c>
      <c r="P281" s="23"/>
      <c r="Q281" s="23"/>
      <c r="R281" s="23"/>
    </row>
    <row r="282" spans="1:18">
      <c r="A282" s="22">
        <v>23359500</v>
      </c>
      <c r="B282" s="23" t="s">
        <v>36</v>
      </c>
      <c r="C282" s="34" t="s">
        <v>1008</v>
      </c>
      <c r="D282" s="34"/>
      <c r="F282" s="36" t="s">
        <v>204</v>
      </c>
      <c r="G282" s="23">
        <v>9000</v>
      </c>
      <c r="H282" s="23">
        <v>9000</v>
      </c>
      <c r="I282" s="37">
        <v>44541</v>
      </c>
      <c r="J282" s="37">
        <f t="shared" si="32"/>
        <v>44571</v>
      </c>
      <c r="K282" s="38">
        <f t="shared" si="33"/>
        <v>30</v>
      </c>
      <c r="L282" s="38" t="str">
        <f t="shared" si="34"/>
        <v>Dejar al valor nominal</v>
      </c>
      <c r="M282" s="38">
        <f t="shared" si="35"/>
        <v>0</v>
      </c>
      <c r="N282" s="272" t="str">
        <f t="shared" si="36"/>
        <v>OK</v>
      </c>
      <c r="P282" s="23"/>
      <c r="Q282" s="23"/>
      <c r="R282" s="23"/>
    </row>
    <row r="283" spans="1:18">
      <c r="A283" s="22">
        <v>23359500</v>
      </c>
      <c r="B283" s="23" t="s">
        <v>36</v>
      </c>
      <c r="C283" s="34" t="s">
        <v>1008</v>
      </c>
      <c r="D283" s="34"/>
      <c r="F283" s="36" t="s">
        <v>204</v>
      </c>
      <c r="G283" s="23">
        <v>91300</v>
      </c>
      <c r="H283" s="23">
        <v>91300</v>
      </c>
      <c r="I283" s="37">
        <v>44549</v>
      </c>
      <c r="J283" s="37">
        <f t="shared" si="32"/>
        <v>44579</v>
      </c>
      <c r="K283" s="38">
        <f t="shared" si="33"/>
        <v>30</v>
      </c>
      <c r="L283" s="38" t="str">
        <f t="shared" si="34"/>
        <v>Dejar al valor nominal</v>
      </c>
      <c r="M283" s="38">
        <f t="shared" si="35"/>
        <v>0</v>
      </c>
      <c r="N283" s="272" t="str">
        <f t="shared" si="36"/>
        <v>OK</v>
      </c>
      <c r="P283" s="23"/>
      <c r="Q283" s="23"/>
      <c r="R283" s="23"/>
    </row>
    <row r="284" spans="1:18">
      <c r="A284" s="22">
        <v>23359500</v>
      </c>
      <c r="B284" s="23" t="s">
        <v>36</v>
      </c>
      <c r="C284" s="34" t="s">
        <v>1008</v>
      </c>
      <c r="D284" s="34"/>
      <c r="F284" s="36" t="s">
        <v>204</v>
      </c>
      <c r="G284" s="23">
        <v>19200</v>
      </c>
      <c r="H284" s="23">
        <v>19200</v>
      </c>
      <c r="I284" s="37">
        <v>44553</v>
      </c>
      <c r="J284" s="37">
        <f t="shared" si="32"/>
        <v>44583</v>
      </c>
      <c r="K284" s="38">
        <f t="shared" si="33"/>
        <v>30</v>
      </c>
      <c r="L284" s="38" t="str">
        <f t="shared" si="34"/>
        <v>Dejar al valor nominal</v>
      </c>
      <c r="M284" s="38">
        <f t="shared" si="35"/>
        <v>0</v>
      </c>
      <c r="N284" s="272" t="str">
        <f t="shared" si="36"/>
        <v>OK</v>
      </c>
      <c r="P284" s="23"/>
      <c r="Q284" s="23"/>
      <c r="R284" s="23"/>
    </row>
    <row r="285" spans="1:18">
      <c r="A285" s="22">
        <v>23359500</v>
      </c>
      <c r="B285" s="23" t="s">
        <v>36</v>
      </c>
      <c r="C285" s="34" t="s">
        <v>1008</v>
      </c>
      <c r="D285" s="34"/>
      <c r="F285" s="36" t="s">
        <v>204</v>
      </c>
      <c r="G285" s="23">
        <v>33200</v>
      </c>
      <c r="H285" s="23">
        <v>33200</v>
      </c>
      <c r="I285" s="37">
        <v>44559</v>
      </c>
      <c r="J285" s="37">
        <f t="shared" si="32"/>
        <v>44589</v>
      </c>
      <c r="K285" s="38">
        <f t="shared" si="33"/>
        <v>30</v>
      </c>
      <c r="L285" s="38" t="str">
        <f t="shared" si="34"/>
        <v>Dejar al valor nominal</v>
      </c>
      <c r="M285" s="38">
        <f t="shared" si="35"/>
        <v>0</v>
      </c>
      <c r="N285" s="272" t="str">
        <f t="shared" si="36"/>
        <v>OK</v>
      </c>
      <c r="P285" s="23"/>
      <c r="Q285" s="23"/>
      <c r="R285" s="23"/>
    </row>
    <row r="286" spans="1:18">
      <c r="A286" s="22">
        <v>23359500</v>
      </c>
      <c r="B286" s="23" t="s">
        <v>36</v>
      </c>
      <c r="C286" s="34" t="s">
        <v>1008</v>
      </c>
      <c r="D286" s="34"/>
      <c r="F286" s="36" t="s">
        <v>204</v>
      </c>
      <c r="G286" s="23">
        <v>3165305</v>
      </c>
      <c r="H286" s="23">
        <v>3165305</v>
      </c>
      <c r="I286" s="37">
        <v>44540</v>
      </c>
      <c r="J286" s="37">
        <f t="shared" si="32"/>
        <v>44570</v>
      </c>
      <c r="K286" s="38">
        <f t="shared" si="33"/>
        <v>30</v>
      </c>
      <c r="L286" s="38" t="str">
        <f t="shared" si="34"/>
        <v>Dejar al valor nominal</v>
      </c>
      <c r="M286" s="38">
        <f t="shared" si="35"/>
        <v>0</v>
      </c>
      <c r="N286" s="272" t="str">
        <f t="shared" si="36"/>
        <v>OK</v>
      </c>
      <c r="P286" s="23"/>
      <c r="Q286" s="23"/>
      <c r="R286" s="23"/>
    </row>
    <row r="287" spans="1:18">
      <c r="A287" s="22">
        <v>23359500</v>
      </c>
      <c r="B287" s="23" t="s">
        <v>36</v>
      </c>
      <c r="C287" s="34" t="s">
        <v>1008</v>
      </c>
      <c r="D287" s="34"/>
      <c r="F287" s="36" t="s">
        <v>204</v>
      </c>
      <c r="G287" s="23">
        <v>2500000</v>
      </c>
      <c r="H287" s="23">
        <v>2500000</v>
      </c>
      <c r="I287" s="37">
        <v>44554</v>
      </c>
      <c r="J287" s="37">
        <f t="shared" si="32"/>
        <v>44584</v>
      </c>
      <c r="K287" s="38">
        <f t="shared" si="33"/>
        <v>30</v>
      </c>
      <c r="L287" s="38" t="str">
        <f t="shared" si="34"/>
        <v>Dejar al valor nominal</v>
      </c>
      <c r="M287" s="38">
        <f t="shared" si="35"/>
        <v>0</v>
      </c>
      <c r="N287" s="272" t="str">
        <f t="shared" si="36"/>
        <v>OK</v>
      </c>
      <c r="P287" s="23"/>
      <c r="Q287" s="23"/>
      <c r="R287" s="23"/>
    </row>
    <row r="288" spans="1:18">
      <c r="A288" s="22">
        <v>23359500</v>
      </c>
      <c r="B288" s="23" t="s">
        <v>36</v>
      </c>
      <c r="C288" s="34" t="s">
        <v>1008</v>
      </c>
      <c r="D288" s="34"/>
      <c r="F288" s="36" t="s">
        <v>204</v>
      </c>
      <c r="G288" s="23">
        <v>3202033.74</v>
      </c>
      <c r="H288" s="23">
        <v>3202033.74</v>
      </c>
      <c r="I288" s="37">
        <v>44059</v>
      </c>
      <c r="J288" s="37">
        <f t="shared" si="32"/>
        <v>44089</v>
      </c>
      <c r="K288" s="38">
        <f t="shared" si="33"/>
        <v>30</v>
      </c>
      <c r="L288" s="38" t="str">
        <f t="shared" si="34"/>
        <v>Dejar al valor nominal</v>
      </c>
      <c r="M288" s="38">
        <f t="shared" si="35"/>
        <v>0</v>
      </c>
      <c r="N288" s="272" t="str">
        <f t="shared" si="36"/>
        <v>Revisar</v>
      </c>
      <c r="O288" s="23" t="s">
        <v>773</v>
      </c>
      <c r="P288" s="23"/>
      <c r="Q288" s="23"/>
      <c r="R288" s="23"/>
    </row>
    <row r="289" spans="1:18">
      <c r="A289" s="22">
        <v>23359500</v>
      </c>
      <c r="B289" s="23" t="s">
        <v>36</v>
      </c>
      <c r="C289" s="34" t="s">
        <v>1008</v>
      </c>
      <c r="D289" s="34"/>
      <c r="F289" s="36" t="s">
        <v>204</v>
      </c>
      <c r="G289" s="23">
        <v>364643</v>
      </c>
      <c r="H289" s="23">
        <v>364643</v>
      </c>
      <c r="I289" s="37">
        <v>44525</v>
      </c>
      <c r="J289" s="37">
        <f t="shared" si="32"/>
        <v>44555</v>
      </c>
      <c r="K289" s="38">
        <f t="shared" si="33"/>
        <v>30</v>
      </c>
      <c r="L289" s="38" t="str">
        <f t="shared" si="34"/>
        <v>Dejar al valor nominal</v>
      </c>
      <c r="M289" s="38">
        <f t="shared" si="35"/>
        <v>0</v>
      </c>
      <c r="N289" s="272" t="str">
        <f t="shared" si="36"/>
        <v>OK</v>
      </c>
      <c r="P289" s="23"/>
      <c r="Q289" s="23"/>
      <c r="R289" s="23"/>
    </row>
    <row r="290" spans="1:18">
      <c r="A290" s="22">
        <v>23359500</v>
      </c>
      <c r="B290" s="23" t="s">
        <v>36</v>
      </c>
      <c r="C290" s="34" t="s">
        <v>1008</v>
      </c>
      <c r="D290" s="34"/>
      <c r="F290" s="36" t="s">
        <v>204</v>
      </c>
      <c r="G290" s="23">
        <v>463450</v>
      </c>
      <c r="H290" s="23">
        <v>463450</v>
      </c>
      <c r="I290" s="37">
        <v>44525</v>
      </c>
      <c r="J290" s="37">
        <f t="shared" ref="J290:J338" si="37">I290+30</f>
        <v>44555</v>
      </c>
      <c r="K290" s="38">
        <f t="shared" ref="K290:K338" si="38">IF(J290-I290&lt;0,"Error",J290-I290)</f>
        <v>30</v>
      </c>
      <c r="L290" s="38" t="str">
        <f t="shared" ref="L290:L338" si="39">IF(K290&gt;365,"Medir al costo amortizado","Dejar al valor nominal")</f>
        <v>Dejar al valor nominal</v>
      </c>
      <c r="M290" s="38">
        <f t="shared" ref="M290:M338" si="40">H290-G290</f>
        <v>0</v>
      </c>
      <c r="N290" s="272" t="str">
        <f t="shared" ref="N290:N338" si="41">IF($N$18-J290&gt;K290,"Revisar","OK")</f>
        <v>OK</v>
      </c>
      <c r="P290" s="23"/>
      <c r="Q290" s="23"/>
      <c r="R290" s="23"/>
    </row>
    <row r="291" spans="1:18">
      <c r="A291" s="22">
        <v>23359500</v>
      </c>
      <c r="B291" s="23" t="s">
        <v>36</v>
      </c>
      <c r="C291" s="34" t="s">
        <v>1008</v>
      </c>
      <c r="D291" s="34"/>
      <c r="F291" s="36" t="s">
        <v>204</v>
      </c>
      <c r="G291" s="23">
        <v>391697</v>
      </c>
      <c r="H291" s="23">
        <v>391697</v>
      </c>
      <c r="I291" s="37">
        <v>44525</v>
      </c>
      <c r="J291" s="37">
        <f t="shared" si="37"/>
        <v>44555</v>
      </c>
      <c r="K291" s="38">
        <f t="shared" si="38"/>
        <v>30</v>
      </c>
      <c r="L291" s="38" t="str">
        <f t="shared" si="39"/>
        <v>Dejar al valor nominal</v>
      </c>
      <c r="M291" s="38">
        <f t="shared" si="40"/>
        <v>0</v>
      </c>
      <c r="N291" s="272" t="str">
        <f t="shared" si="41"/>
        <v>OK</v>
      </c>
      <c r="P291" s="23"/>
      <c r="Q291" s="23"/>
      <c r="R291" s="23"/>
    </row>
    <row r="292" spans="1:18">
      <c r="A292" s="22">
        <v>23359500</v>
      </c>
      <c r="B292" s="23" t="s">
        <v>36</v>
      </c>
      <c r="C292" s="34" t="s">
        <v>1008</v>
      </c>
      <c r="D292" s="34"/>
      <c r="F292" s="36" t="s">
        <v>204</v>
      </c>
      <c r="G292" s="23">
        <v>255405</v>
      </c>
      <c r="H292" s="23">
        <v>255405</v>
      </c>
      <c r="I292" s="37">
        <v>44539</v>
      </c>
      <c r="J292" s="37">
        <f t="shared" si="37"/>
        <v>44569</v>
      </c>
      <c r="K292" s="38">
        <f t="shared" si="38"/>
        <v>30</v>
      </c>
      <c r="L292" s="38" t="str">
        <f t="shared" si="39"/>
        <v>Dejar al valor nominal</v>
      </c>
      <c r="M292" s="38">
        <f t="shared" si="40"/>
        <v>0</v>
      </c>
      <c r="N292" s="272" t="str">
        <f t="shared" si="41"/>
        <v>OK</v>
      </c>
      <c r="P292" s="23"/>
      <c r="Q292" s="23"/>
      <c r="R292" s="23"/>
    </row>
    <row r="293" spans="1:18">
      <c r="A293" s="22">
        <v>23359500</v>
      </c>
      <c r="B293" s="23" t="s">
        <v>36</v>
      </c>
      <c r="C293" s="34" t="s">
        <v>1008</v>
      </c>
      <c r="D293" s="34"/>
      <c r="F293" s="36" t="s">
        <v>204</v>
      </c>
      <c r="G293" s="23">
        <v>369263</v>
      </c>
      <c r="H293" s="23">
        <v>369263</v>
      </c>
      <c r="I293" s="37">
        <v>44548</v>
      </c>
      <c r="J293" s="37">
        <f t="shared" si="37"/>
        <v>44578</v>
      </c>
      <c r="K293" s="38">
        <f t="shared" si="38"/>
        <v>30</v>
      </c>
      <c r="L293" s="38" t="str">
        <f t="shared" si="39"/>
        <v>Dejar al valor nominal</v>
      </c>
      <c r="M293" s="38">
        <f t="shared" si="40"/>
        <v>0</v>
      </c>
      <c r="N293" s="272" t="str">
        <f t="shared" si="41"/>
        <v>OK</v>
      </c>
      <c r="P293" s="23"/>
      <c r="Q293" s="23"/>
      <c r="R293" s="23"/>
    </row>
    <row r="294" spans="1:18">
      <c r="A294" s="22">
        <v>23359500</v>
      </c>
      <c r="B294" s="23" t="s">
        <v>36</v>
      </c>
      <c r="C294" s="34" t="s">
        <v>1008</v>
      </c>
      <c r="D294" s="34"/>
      <c r="F294" s="36" t="s">
        <v>204</v>
      </c>
      <c r="G294" s="23">
        <v>232885</v>
      </c>
      <c r="H294" s="23">
        <v>232885</v>
      </c>
      <c r="I294" s="37">
        <v>44548</v>
      </c>
      <c r="J294" s="37">
        <f t="shared" si="37"/>
        <v>44578</v>
      </c>
      <c r="K294" s="38">
        <f t="shared" si="38"/>
        <v>30</v>
      </c>
      <c r="L294" s="38" t="str">
        <f t="shared" si="39"/>
        <v>Dejar al valor nominal</v>
      </c>
      <c r="M294" s="38">
        <f t="shared" si="40"/>
        <v>0</v>
      </c>
      <c r="N294" s="272" t="str">
        <f t="shared" si="41"/>
        <v>OK</v>
      </c>
      <c r="P294" s="23"/>
      <c r="Q294" s="23"/>
      <c r="R294" s="23"/>
    </row>
    <row r="295" spans="1:18">
      <c r="A295" s="22">
        <v>23359500</v>
      </c>
      <c r="B295" s="23" t="s">
        <v>36</v>
      </c>
      <c r="C295" s="34" t="s">
        <v>1008</v>
      </c>
      <c r="D295" s="34"/>
      <c r="F295" s="36" t="s">
        <v>204</v>
      </c>
      <c r="G295" s="23">
        <v>370921</v>
      </c>
      <c r="H295" s="23">
        <v>370921</v>
      </c>
      <c r="I295" s="37">
        <v>44548</v>
      </c>
      <c r="J295" s="37">
        <f t="shared" si="37"/>
        <v>44578</v>
      </c>
      <c r="K295" s="38">
        <f t="shared" si="38"/>
        <v>30</v>
      </c>
      <c r="L295" s="38" t="str">
        <f t="shared" si="39"/>
        <v>Dejar al valor nominal</v>
      </c>
      <c r="M295" s="38">
        <f t="shared" si="40"/>
        <v>0</v>
      </c>
      <c r="N295" s="272" t="str">
        <f t="shared" si="41"/>
        <v>OK</v>
      </c>
      <c r="P295" s="23"/>
      <c r="Q295" s="23"/>
      <c r="R295" s="23"/>
    </row>
    <row r="296" spans="1:18">
      <c r="A296" s="22">
        <v>23359500</v>
      </c>
      <c r="B296" s="23" t="s">
        <v>36</v>
      </c>
      <c r="C296" s="34" t="s">
        <v>1008</v>
      </c>
      <c r="D296" s="34"/>
      <c r="F296" s="36" t="s">
        <v>204</v>
      </c>
      <c r="G296" s="23">
        <v>317000</v>
      </c>
      <c r="H296" s="23">
        <v>317000</v>
      </c>
      <c r="I296" s="37">
        <v>44559</v>
      </c>
      <c r="J296" s="37">
        <f t="shared" si="37"/>
        <v>44589</v>
      </c>
      <c r="K296" s="38">
        <f t="shared" si="38"/>
        <v>30</v>
      </c>
      <c r="L296" s="38" t="str">
        <f t="shared" si="39"/>
        <v>Dejar al valor nominal</v>
      </c>
      <c r="M296" s="38">
        <f t="shared" si="40"/>
        <v>0</v>
      </c>
      <c r="N296" s="272" t="str">
        <f t="shared" si="41"/>
        <v>OK</v>
      </c>
      <c r="P296" s="23"/>
      <c r="Q296" s="23"/>
      <c r="R296" s="23"/>
    </row>
    <row r="297" spans="1:18">
      <c r="A297" s="22">
        <v>23359500</v>
      </c>
      <c r="B297" s="23" t="s">
        <v>36</v>
      </c>
      <c r="C297" s="34" t="s">
        <v>1008</v>
      </c>
      <c r="D297" s="34"/>
      <c r="F297" s="36" t="s">
        <v>204</v>
      </c>
      <c r="G297" s="23">
        <v>340974</v>
      </c>
      <c r="H297" s="23">
        <v>340974</v>
      </c>
      <c r="I297" s="37">
        <v>44531</v>
      </c>
      <c r="J297" s="37">
        <f t="shared" si="37"/>
        <v>44561</v>
      </c>
      <c r="K297" s="38">
        <f t="shared" si="38"/>
        <v>30</v>
      </c>
      <c r="L297" s="38" t="str">
        <f t="shared" si="39"/>
        <v>Dejar al valor nominal</v>
      </c>
      <c r="M297" s="38">
        <f t="shared" si="40"/>
        <v>0</v>
      </c>
      <c r="N297" s="272" t="str">
        <f t="shared" si="41"/>
        <v>OK</v>
      </c>
      <c r="P297" s="23"/>
      <c r="Q297" s="23"/>
      <c r="R297" s="23"/>
    </row>
    <row r="298" spans="1:18">
      <c r="A298" s="22">
        <v>23359500</v>
      </c>
      <c r="B298" s="23" t="s">
        <v>36</v>
      </c>
      <c r="C298" s="34" t="s">
        <v>1008</v>
      </c>
      <c r="D298" s="34"/>
      <c r="F298" s="36" t="s">
        <v>204</v>
      </c>
      <c r="G298" s="23">
        <v>340974</v>
      </c>
      <c r="H298" s="23">
        <v>340974</v>
      </c>
      <c r="I298" s="37">
        <v>44531</v>
      </c>
      <c r="J298" s="37">
        <f t="shared" si="37"/>
        <v>44561</v>
      </c>
      <c r="K298" s="38">
        <f t="shared" si="38"/>
        <v>30</v>
      </c>
      <c r="L298" s="38" t="str">
        <f t="shared" si="39"/>
        <v>Dejar al valor nominal</v>
      </c>
      <c r="M298" s="38">
        <f t="shared" si="40"/>
        <v>0</v>
      </c>
      <c r="N298" s="272" t="str">
        <f t="shared" si="41"/>
        <v>OK</v>
      </c>
      <c r="P298" s="23"/>
      <c r="Q298" s="23"/>
      <c r="R298" s="23"/>
    </row>
    <row r="299" spans="1:18">
      <c r="A299" s="22">
        <v>23359500</v>
      </c>
      <c r="B299" s="23" t="s">
        <v>36</v>
      </c>
      <c r="C299" s="34" t="s">
        <v>1008</v>
      </c>
      <c r="D299" s="34"/>
      <c r="F299" s="36" t="s">
        <v>204</v>
      </c>
      <c r="G299" s="23">
        <v>329138</v>
      </c>
      <c r="H299" s="23">
        <v>329138</v>
      </c>
      <c r="I299" s="37">
        <v>44531</v>
      </c>
      <c r="J299" s="37">
        <f t="shared" si="37"/>
        <v>44561</v>
      </c>
      <c r="K299" s="38">
        <f t="shared" si="38"/>
        <v>30</v>
      </c>
      <c r="L299" s="38" t="str">
        <f t="shared" si="39"/>
        <v>Dejar al valor nominal</v>
      </c>
      <c r="M299" s="38">
        <f t="shared" si="40"/>
        <v>0</v>
      </c>
      <c r="N299" s="272" t="str">
        <f t="shared" si="41"/>
        <v>OK</v>
      </c>
      <c r="P299" s="23"/>
      <c r="Q299" s="23"/>
      <c r="R299" s="23"/>
    </row>
    <row r="300" spans="1:18">
      <c r="A300" s="22">
        <v>23359500</v>
      </c>
      <c r="B300" s="23" t="s">
        <v>36</v>
      </c>
      <c r="C300" s="34" t="s">
        <v>1008</v>
      </c>
      <c r="D300" s="34"/>
      <c r="F300" s="36" t="s">
        <v>204</v>
      </c>
      <c r="G300" s="23">
        <v>104182</v>
      </c>
      <c r="H300" s="23">
        <v>104182</v>
      </c>
      <c r="I300" s="37">
        <v>44532</v>
      </c>
      <c r="J300" s="37">
        <f t="shared" si="37"/>
        <v>44562</v>
      </c>
      <c r="K300" s="38">
        <f t="shared" si="38"/>
        <v>30</v>
      </c>
      <c r="L300" s="38" t="str">
        <f t="shared" si="39"/>
        <v>Dejar al valor nominal</v>
      </c>
      <c r="M300" s="38">
        <f t="shared" si="40"/>
        <v>0</v>
      </c>
      <c r="N300" s="272" t="str">
        <f t="shared" si="41"/>
        <v>OK</v>
      </c>
      <c r="P300" s="23"/>
      <c r="Q300" s="23"/>
      <c r="R300" s="23"/>
    </row>
    <row r="301" spans="1:18">
      <c r="A301" s="22">
        <v>23359500</v>
      </c>
      <c r="B301" s="23" t="s">
        <v>36</v>
      </c>
      <c r="C301" s="34" t="s">
        <v>1008</v>
      </c>
      <c r="D301" s="34"/>
      <c r="F301" s="36" t="s">
        <v>204</v>
      </c>
      <c r="G301" s="23">
        <v>394344</v>
      </c>
      <c r="H301" s="23">
        <v>394344</v>
      </c>
      <c r="I301" s="37">
        <v>44532</v>
      </c>
      <c r="J301" s="37">
        <f t="shared" si="37"/>
        <v>44562</v>
      </c>
      <c r="K301" s="38">
        <f t="shared" si="38"/>
        <v>30</v>
      </c>
      <c r="L301" s="38" t="str">
        <f t="shared" si="39"/>
        <v>Dejar al valor nominal</v>
      </c>
      <c r="M301" s="38">
        <f t="shared" si="40"/>
        <v>0</v>
      </c>
      <c r="N301" s="272" t="str">
        <f t="shared" si="41"/>
        <v>OK</v>
      </c>
      <c r="P301" s="23"/>
      <c r="Q301" s="23"/>
      <c r="R301" s="23"/>
    </row>
    <row r="302" spans="1:18">
      <c r="A302" s="22">
        <v>23359500</v>
      </c>
      <c r="B302" s="23" t="s">
        <v>36</v>
      </c>
      <c r="C302" s="34" t="s">
        <v>1008</v>
      </c>
      <c r="D302" s="34"/>
      <c r="F302" s="36" t="s">
        <v>204</v>
      </c>
      <c r="G302" s="23">
        <v>96828</v>
      </c>
      <c r="H302" s="23">
        <v>96828</v>
      </c>
      <c r="I302" s="37">
        <v>44532</v>
      </c>
      <c r="J302" s="37">
        <f t="shared" si="37"/>
        <v>44562</v>
      </c>
      <c r="K302" s="38">
        <f t="shared" si="38"/>
        <v>30</v>
      </c>
      <c r="L302" s="38" t="str">
        <f t="shared" si="39"/>
        <v>Dejar al valor nominal</v>
      </c>
      <c r="M302" s="38">
        <f t="shared" si="40"/>
        <v>0</v>
      </c>
      <c r="N302" s="272" t="str">
        <f t="shared" si="41"/>
        <v>OK</v>
      </c>
      <c r="P302" s="23"/>
      <c r="Q302" s="23"/>
      <c r="R302" s="23"/>
    </row>
    <row r="303" spans="1:18">
      <c r="A303" s="22">
        <v>23359500</v>
      </c>
      <c r="B303" s="23" t="s">
        <v>36</v>
      </c>
      <c r="C303" s="34" t="s">
        <v>1008</v>
      </c>
      <c r="D303" s="34"/>
      <c r="F303" s="36" t="s">
        <v>204</v>
      </c>
      <c r="G303" s="23">
        <v>2526708.85</v>
      </c>
      <c r="H303" s="23">
        <v>2526708.85</v>
      </c>
      <c r="I303" s="37">
        <v>44523</v>
      </c>
      <c r="J303" s="37">
        <f t="shared" si="37"/>
        <v>44553</v>
      </c>
      <c r="K303" s="38">
        <f t="shared" si="38"/>
        <v>30</v>
      </c>
      <c r="L303" s="38" t="str">
        <f t="shared" si="39"/>
        <v>Dejar al valor nominal</v>
      </c>
      <c r="M303" s="38">
        <f t="shared" si="40"/>
        <v>0</v>
      </c>
      <c r="N303" s="272" t="str">
        <f t="shared" si="41"/>
        <v>OK</v>
      </c>
      <c r="P303" s="23"/>
      <c r="Q303" s="23"/>
      <c r="R303" s="23"/>
    </row>
    <row r="304" spans="1:18">
      <c r="A304" s="22">
        <v>23359500</v>
      </c>
      <c r="B304" s="23" t="s">
        <v>36</v>
      </c>
      <c r="C304" s="34" t="s">
        <v>1008</v>
      </c>
      <c r="D304" s="34"/>
      <c r="F304" s="36" t="s">
        <v>204</v>
      </c>
      <c r="G304" s="23">
        <v>149658</v>
      </c>
      <c r="H304" s="23">
        <v>149658</v>
      </c>
      <c r="I304" s="37">
        <v>44544</v>
      </c>
      <c r="J304" s="37">
        <f t="shared" si="37"/>
        <v>44574</v>
      </c>
      <c r="K304" s="38">
        <f t="shared" si="38"/>
        <v>30</v>
      </c>
      <c r="L304" s="38" t="str">
        <f t="shared" si="39"/>
        <v>Dejar al valor nominal</v>
      </c>
      <c r="M304" s="38">
        <f t="shared" si="40"/>
        <v>0</v>
      </c>
      <c r="N304" s="272" t="str">
        <f t="shared" si="41"/>
        <v>OK</v>
      </c>
      <c r="P304" s="23"/>
      <c r="Q304" s="23"/>
      <c r="R304" s="23"/>
    </row>
    <row r="305" spans="1:18">
      <c r="A305" s="22">
        <v>23359500</v>
      </c>
      <c r="B305" s="23" t="s">
        <v>36</v>
      </c>
      <c r="C305" s="34" t="s">
        <v>1008</v>
      </c>
      <c r="D305" s="34"/>
      <c r="F305" s="36" t="s">
        <v>204</v>
      </c>
      <c r="G305" s="23">
        <v>428400</v>
      </c>
      <c r="H305" s="23">
        <v>428400</v>
      </c>
      <c r="I305" s="37">
        <v>44517</v>
      </c>
      <c r="J305" s="37">
        <f t="shared" si="37"/>
        <v>44547</v>
      </c>
      <c r="K305" s="38">
        <f t="shared" si="38"/>
        <v>30</v>
      </c>
      <c r="L305" s="38" t="str">
        <f t="shared" si="39"/>
        <v>Dejar al valor nominal</v>
      </c>
      <c r="M305" s="38">
        <f t="shared" si="40"/>
        <v>0</v>
      </c>
      <c r="N305" s="272" t="str">
        <f t="shared" si="41"/>
        <v>OK</v>
      </c>
      <c r="P305" s="23"/>
      <c r="Q305" s="23"/>
      <c r="R305" s="23"/>
    </row>
    <row r="306" spans="1:18">
      <c r="A306" s="22">
        <v>23359500</v>
      </c>
      <c r="B306" s="23" t="s">
        <v>36</v>
      </c>
      <c r="C306" s="34" t="s">
        <v>1008</v>
      </c>
      <c r="D306" s="34"/>
      <c r="F306" s="36" t="s">
        <v>204</v>
      </c>
      <c r="G306" s="23">
        <v>3969622.4</v>
      </c>
      <c r="H306" s="23">
        <v>3969622.4</v>
      </c>
      <c r="I306" s="37">
        <v>44517</v>
      </c>
      <c r="J306" s="37">
        <f t="shared" si="37"/>
        <v>44547</v>
      </c>
      <c r="K306" s="38">
        <f t="shared" si="38"/>
        <v>30</v>
      </c>
      <c r="L306" s="38" t="str">
        <f t="shared" si="39"/>
        <v>Dejar al valor nominal</v>
      </c>
      <c r="M306" s="38">
        <f t="shared" si="40"/>
        <v>0</v>
      </c>
      <c r="N306" s="272" t="str">
        <f t="shared" si="41"/>
        <v>OK</v>
      </c>
      <c r="P306" s="23"/>
      <c r="Q306" s="23"/>
      <c r="R306" s="23"/>
    </row>
    <row r="307" spans="1:18">
      <c r="A307" s="22">
        <v>23359500</v>
      </c>
      <c r="B307" s="23" t="s">
        <v>36</v>
      </c>
      <c r="C307" s="34" t="s">
        <v>1008</v>
      </c>
      <c r="D307" s="34"/>
      <c r="F307" s="36" t="s">
        <v>204</v>
      </c>
      <c r="G307" s="23">
        <v>1298205</v>
      </c>
      <c r="H307" s="23">
        <v>1298205</v>
      </c>
      <c r="I307" s="37">
        <v>44517</v>
      </c>
      <c r="J307" s="37">
        <f t="shared" si="37"/>
        <v>44547</v>
      </c>
      <c r="K307" s="38">
        <f t="shared" si="38"/>
        <v>30</v>
      </c>
      <c r="L307" s="38" t="str">
        <f t="shared" si="39"/>
        <v>Dejar al valor nominal</v>
      </c>
      <c r="M307" s="38">
        <f t="shared" si="40"/>
        <v>0</v>
      </c>
      <c r="N307" s="272" t="str">
        <f t="shared" si="41"/>
        <v>OK</v>
      </c>
      <c r="P307" s="23"/>
      <c r="Q307" s="23"/>
      <c r="R307" s="23"/>
    </row>
    <row r="308" spans="1:18">
      <c r="A308" s="22">
        <v>23359500</v>
      </c>
      <c r="B308" s="23" t="s">
        <v>36</v>
      </c>
      <c r="C308" s="34" t="s">
        <v>1008</v>
      </c>
      <c r="D308" s="34"/>
      <c r="F308" s="36" t="s">
        <v>204</v>
      </c>
      <c r="G308" s="23">
        <v>2848550.26</v>
      </c>
      <c r="H308" s="23">
        <v>2848550.26</v>
      </c>
      <c r="I308" s="37">
        <v>44524</v>
      </c>
      <c r="J308" s="37">
        <f t="shared" si="37"/>
        <v>44554</v>
      </c>
      <c r="K308" s="38">
        <f t="shared" si="38"/>
        <v>30</v>
      </c>
      <c r="L308" s="38" t="str">
        <f t="shared" si="39"/>
        <v>Dejar al valor nominal</v>
      </c>
      <c r="M308" s="38">
        <f t="shared" si="40"/>
        <v>0</v>
      </c>
      <c r="N308" s="272" t="str">
        <f t="shared" si="41"/>
        <v>OK</v>
      </c>
      <c r="P308" s="23"/>
      <c r="Q308" s="23"/>
      <c r="R308" s="23"/>
    </row>
    <row r="309" spans="1:18">
      <c r="A309" s="22">
        <v>23359500</v>
      </c>
      <c r="B309" s="23" t="s">
        <v>36</v>
      </c>
      <c r="C309" s="34" t="s">
        <v>1008</v>
      </c>
      <c r="D309" s="34"/>
      <c r="F309" s="36" t="s">
        <v>204</v>
      </c>
      <c r="G309" s="23">
        <v>2993372.24</v>
      </c>
      <c r="H309" s="23">
        <v>2993372.24</v>
      </c>
      <c r="I309" s="37">
        <v>44534</v>
      </c>
      <c r="J309" s="37">
        <f t="shared" si="37"/>
        <v>44564</v>
      </c>
      <c r="K309" s="38">
        <f t="shared" si="38"/>
        <v>30</v>
      </c>
      <c r="L309" s="38" t="str">
        <f t="shared" si="39"/>
        <v>Dejar al valor nominal</v>
      </c>
      <c r="M309" s="38">
        <f t="shared" si="40"/>
        <v>0</v>
      </c>
      <c r="N309" s="272" t="str">
        <f t="shared" si="41"/>
        <v>OK</v>
      </c>
      <c r="P309" s="23"/>
      <c r="Q309" s="23"/>
      <c r="R309" s="23"/>
    </row>
    <row r="310" spans="1:18">
      <c r="A310" s="22">
        <v>23359500</v>
      </c>
      <c r="B310" s="23" t="s">
        <v>36</v>
      </c>
      <c r="C310" s="34" t="s">
        <v>1008</v>
      </c>
      <c r="D310" s="34"/>
      <c r="F310" s="36" t="s">
        <v>204</v>
      </c>
      <c r="G310" s="23">
        <v>226100</v>
      </c>
      <c r="H310" s="23">
        <v>226100</v>
      </c>
      <c r="I310" s="37">
        <v>44546</v>
      </c>
      <c r="J310" s="37">
        <f t="shared" si="37"/>
        <v>44576</v>
      </c>
      <c r="K310" s="38">
        <f t="shared" si="38"/>
        <v>30</v>
      </c>
      <c r="L310" s="38" t="str">
        <f t="shared" si="39"/>
        <v>Dejar al valor nominal</v>
      </c>
      <c r="M310" s="38">
        <f t="shared" si="40"/>
        <v>0</v>
      </c>
      <c r="N310" s="272" t="str">
        <f t="shared" si="41"/>
        <v>OK</v>
      </c>
      <c r="P310" s="23"/>
      <c r="Q310" s="23"/>
      <c r="R310" s="23"/>
    </row>
    <row r="311" spans="1:18">
      <c r="A311" s="22">
        <v>23359500</v>
      </c>
      <c r="B311" s="23" t="s">
        <v>36</v>
      </c>
      <c r="C311" s="34" t="s">
        <v>1008</v>
      </c>
      <c r="D311" s="34"/>
      <c r="F311" s="36" t="s">
        <v>204</v>
      </c>
      <c r="G311" s="23">
        <v>973420</v>
      </c>
      <c r="H311" s="23">
        <v>973420</v>
      </c>
      <c r="I311" s="37">
        <v>44546</v>
      </c>
      <c r="J311" s="37">
        <f t="shared" si="37"/>
        <v>44576</v>
      </c>
      <c r="K311" s="38">
        <f t="shared" si="38"/>
        <v>30</v>
      </c>
      <c r="L311" s="38" t="str">
        <f t="shared" si="39"/>
        <v>Dejar al valor nominal</v>
      </c>
      <c r="M311" s="38">
        <f t="shared" si="40"/>
        <v>0</v>
      </c>
      <c r="N311" s="272" t="str">
        <f t="shared" si="41"/>
        <v>OK</v>
      </c>
      <c r="P311" s="23"/>
      <c r="Q311" s="23"/>
      <c r="R311" s="23"/>
    </row>
    <row r="312" spans="1:18">
      <c r="A312" s="22">
        <v>23359500</v>
      </c>
      <c r="B312" s="23" t="s">
        <v>36</v>
      </c>
      <c r="C312" s="34" t="s">
        <v>1008</v>
      </c>
      <c r="D312" s="34"/>
      <c r="F312" s="36" t="s">
        <v>204</v>
      </c>
      <c r="G312" s="23">
        <v>1581741.12</v>
      </c>
      <c r="H312" s="23">
        <v>1581741.12</v>
      </c>
      <c r="I312" s="37">
        <v>44551</v>
      </c>
      <c r="J312" s="37">
        <f t="shared" si="37"/>
        <v>44581</v>
      </c>
      <c r="K312" s="38">
        <f t="shared" si="38"/>
        <v>30</v>
      </c>
      <c r="L312" s="38" t="str">
        <f t="shared" si="39"/>
        <v>Dejar al valor nominal</v>
      </c>
      <c r="M312" s="38">
        <f t="shared" si="40"/>
        <v>0</v>
      </c>
      <c r="N312" s="272" t="str">
        <f t="shared" si="41"/>
        <v>OK</v>
      </c>
      <c r="P312" s="23"/>
      <c r="Q312" s="23"/>
      <c r="R312" s="23"/>
    </row>
    <row r="313" spans="1:18">
      <c r="A313" s="22">
        <v>23359500</v>
      </c>
      <c r="B313" s="23" t="s">
        <v>36</v>
      </c>
      <c r="C313" s="34" t="s">
        <v>1008</v>
      </c>
      <c r="D313" s="34"/>
      <c r="F313" s="36" t="s">
        <v>204</v>
      </c>
      <c r="G313" s="23">
        <v>1240910.3899999999</v>
      </c>
      <c r="H313" s="23">
        <v>1240910.3899999999</v>
      </c>
      <c r="I313" s="37">
        <v>44548</v>
      </c>
      <c r="J313" s="37">
        <f t="shared" si="37"/>
        <v>44578</v>
      </c>
      <c r="K313" s="38">
        <f t="shared" si="38"/>
        <v>30</v>
      </c>
      <c r="L313" s="38" t="str">
        <f t="shared" si="39"/>
        <v>Dejar al valor nominal</v>
      </c>
      <c r="M313" s="38">
        <f t="shared" si="40"/>
        <v>0</v>
      </c>
      <c r="N313" s="272" t="str">
        <f t="shared" si="41"/>
        <v>OK</v>
      </c>
      <c r="P313" s="23"/>
      <c r="Q313" s="23"/>
      <c r="R313" s="23"/>
    </row>
    <row r="314" spans="1:18">
      <c r="A314" s="22">
        <v>23359500</v>
      </c>
      <c r="B314" s="23" t="s">
        <v>36</v>
      </c>
      <c r="C314" s="34" t="s">
        <v>1008</v>
      </c>
      <c r="D314" s="34"/>
      <c r="F314" s="36" t="s">
        <v>204</v>
      </c>
      <c r="G314" s="23">
        <v>1935453</v>
      </c>
      <c r="H314" s="23">
        <v>1935453</v>
      </c>
      <c r="I314" s="37">
        <v>44532</v>
      </c>
      <c r="J314" s="37">
        <f t="shared" si="37"/>
        <v>44562</v>
      </c>
      <c r="K314" s="38">
        <f t="shared" si="38"/>
        <v>30</v>
      </c>
      <c r="L314" s="38" t="str">
        <f t="shared" si="39"/>
        <v>Dejar al valor nominal</v>
      </c>
      <c r="M314" s="38">
        <f t="shared" si="40"/>
        <v>0</v>
      </c>
      <c r="N314" s="272" t="str">
        <f t="shared" si="41"/>
        <v>OK</v>
      </c>
      <c r="P314" s="23"/>
      <c r="Q314" s="23"/>
      <c r="R314" s="23"/>
    </row>
    <row r="315" spans="1:18">
      <c r="A315" s="22">
        <v>23359500</v>
      </c>
      <c r="B315" s="23" t="s">
        <v>36</v>
      </c>
      <c r="C315" s="34" t="s">
        <v>1008</v>
      </c>
      <c r="D315" s="34"/>
      <c r="F315" s="36" t="s">
        <v>204</v>
      </c>
      <c r="G315" s="23">
        <v>5749144</v>
      </c>
      <c r="H315" s="23">
        <v>5749144</v>
      </c>
      <c r="I315" s="37">
        <v>44532</v>
      </c>
      <c r="J315" s="37">
        <f t="shared" si="37"/>
        <v>44562</v>
      </c>
      <c r="K315" s="38">
        <f t="shared" si="38"/>
        <v>30</v>
      </c>
      <c r="L315" s="38" t="str">
        <f t="shared" si="39"/>
        <v>Dejar al valor nominal</v>
      </c>
      <c r="M315" s="38">
        <f t="shared" si="40"/>
        <v>0</v>
      </c>
      <c r="N315" s="272" t="str">
        <f t="shared" si="41"/>
        <v>OK</v>
      </c>
      <c r="P315" s="23"/>
      <c r="Q315" s="23"/>
      <c r="R315" s="23"/>
    </row>
    <row r="316" spans="1:18">
      <c r="A316" s="22">
        <v>23359500</v>
      </c>
      <c r="B316" s="23" t="s">
        <v>36</v>
      </c>
      <c r="C316" s="34" t="s">
        <v>1008</v>
      </c>
      <c r="D316" s="34"/>
      <c r="F316" s="36" t="s">
        <v>204</v>
      </c>
      <c r="G316" s="23">
        <v>8806000</v>
      </c>
      <c r="H316" s="23">
        <v>8806000</v>
      </c>
      <c r="I316" s="37">
        <v>44530</v>
      </c>
      <c r="J316" s="37">
        <f t="shared" si="37"/>
        <v>44560</v>
      </c>
      <c r="K316" s="38">
        <f t="shared" si="38"/>
        <v>30</v>
      </c>
      <c r="L316" s="38" t="str">
        <f t="shared" si="39"/>
        <v>Dejar al valor nominal</v>
      </c>
      <c r="M316" s="38">
        <f t="shared" si="40"/>
        <v>0</v>
      </c>
      <c r="N316" s="272" t="str">
        <f t="shared" si="41"/>
        <v>OK</v>
      </c>
      <c r="P316" s="23"/>
      <c r="Q316" s="23"/>
      <c r="R316" s="23"/>
    </row>
    <row r="317" spans="1:18">
      <c r="A317" s="22">
        <v>23359500</v>
      </c>
      <c r="B317" s="23" t="s">
        <v>36</v>
      </c>
      <c r="C317" s="34" t="s">
        <v>1008</v>
      </c>
      <c r="D317" s="34"/>
      <c r="F317" s="36" t="s">
        <v>204</v>
      </c>
      <c r="G317" s="23">
        <v>818865</v>
      </c>
      <c r="H317" s="23">
        <v>818865</v>
      </c>
      <c r="I317" s="37">
        <v>44554</v>
      </c>
      <c r="J317" s="37">
        <f t="shared" si="37"/>
        <v>44584</v>
      </c>
      <c r="K317" s="38">
        <f t="shared" si="38"/>
        <v>30</v>
      </c>
      <c r="L317" s="38" t="str">
        <f t="shared" si="39"/>
        <v>Dejar al valor nominal</v>
      </c>
      <c r="M317" s="38">
        <f t="shared" si="40"/>
        <v>0</v>
      </c>
      <c r="N317" s="272" t="str">
        <f t="shared" si="41"/>
        <v>OK</v>
      </c>
      <c r="P317" s="23"/>
      <c r="Q317" s="23"/>
      <c r="R317" s="23"/>
    </row>
    <row r="318" spans="1:18">
      <c r="A318" s="22">
        <v>23359500</v>
      </c>
      <c r="B318" s="23" t="s">
        <v>36</v>
      </c>
      <c r="C318" s="34" t="s">
        <v>1008</v>
      </c>
      <c r="D318" s="34"/>
      <c r="F318" s="36" t="s">
        <v>204</v>
      </c>
      <c r="G318" s="23">
        <v>117000</v>
      </c>
      <c r="H318" s="23">
        <v>117000</v>
      </c>
      <c r="I318" s="37">
        <v>44544</v>
      </c>
      <c r="J318" s="37">
        <f t="shared" si="37"/>
        <v>44574</v>
      </c>
      <c r="K318" s="38">
        <f t="shared" si="38"/>
        <v>30</v>
      </c>
      <c r="L318" s="38" t="str">
        <f t="shared" si="39"/>
        <v>Dejar al valor nominal</v>
      </c>
      <c r="M318" s="38">
        <f t="shared" si="40"/>
        <v>0</v>
      </c>
      <c r="N318" s="272" t="str">
        <f t="shared" si="41"/>
        <v>OK</v>
      </c>
      <c r="P318" s="23"/>
      <c r="Q318" s="23"/>
      <c r="R318" s="23"/>
    </row>
    <row r="319" spans="1:18">
      <c r="A319" s="22">
        <v>23359500</v>
      </c>
      <c r="B319" s="23" t="s">
        <v>36</v>
      </c>
      <c r="C319" s="34" t="s">
        <v>1008</v>
      </c>
      <c r="D319" s="34"/>
      <c r="F319" s="36" t="s">
        <v>204</v>
      </c>
      <c r="G319" s="23">
        <v>65525</v>
      </c>
      <c r="H319" s="23">
        <v>65525</v>
      </c>
      <c r="I319" s="37">
        <v>44546</v>
      </c>
      <c r="J319" s="37">
        <f t="shared" si="37"/>
        <v>44576</v>
      </c>
      <c r="K319" s="38">
        <f t="shared" si="38"/>
        <v>30</v>
      </c>
      <c r="L319" s="38" t="str">
        <f t="shared" si="39"/>
        <v>Dejar al valor nominal</v>
      </c>
      <c r="M319" s="38">
        <f t="shared" si="40"/>
        <v>0</v>
      </c>
      <c r="N319" s="272" t="str">
        <f t="shared" si="41"/>
        <v>OK</v>
      </c>
      <c r="P319" s="23"/>
      <c r="Q319" s="23"/>
      <c r="R319" s="23"/>
    </row>
    <row r="320" spans="1:18">
      <c r="A320" s="22">
        <v>23359500</v>
      </c>
      <c r="B320" s="23" t="s">
        <v>36</v>
      </c>
      <c r="C320" s="34" t="s">
        <v>1008</v>
      </c>
      <c r="D320" s="34"/>
      <c r="F320" s="36" t="s">
        <v>204</v>
      </c>
      <c r="G320" s="23">
        <v>4012680</v>
      </c>
      <c r="H320" s="23">
        <v>4012680</v>
      </c>
      <c r="I320" s="37">
        <v>44537</v>
      </c>
      <c r="J320" s="37">
        <f t="shared" si="37"/>
        <v>44567</v>
      </c>
      <c r="K320" s="38">
        <f t="shared" si="38"/>
        <v>30</v>
      </c>
      <c r="L320" s="38" t="str">
        <f t="shared" si="39"/>
        <v>Dejar al valor nominal</v>
      </c>
      <c r="M320" s="38">
        <f t="shared" si="40"/>
        <v>0</v>
      </c>
      <c r="N320" s="272" t="str">
        <f t="shared" si="41"/>
        <v>OK</v>
      </c>
      <c r="P320" s="23"/>
      <c r="Q320" s="23"/>
      <c r="R320" s="23"/>
    </row>
    <row r="321" spans="1:18">
      <c r="A321" s="22">
        <v>23359500</v>
      </c>
      <c r="B321" s="23" t="s">
        <v>36</v>
      </c>
      <c r="C321" s="34" t="s">
        <v>1008</v>
      </c>
      <c r="D321" s="34"/>
      <c r="F321" s="36" t="s">
        <v>204</v>
      </c>
      <c r="G321" s="23">
        <v>2052612</v>
      </c>
      <c r="H321" s="23">
        <v>2052612</v>
      </c>
      <c r="I321" s="37">
        <v>44524</v>
      </c>
      <c r="J321" s="37">
        <f t="shared" si="37"/>
        <v>44554</v>
      </c>
      <c r="K321" s="38">
        <f t="shared" si="38"/>
        <v>30</v>
      </c>
      <c r="L321" s="38" t="str">
        <f t="shared" si="39"/>
        <v>Dejar al valor nominal</v>
      </c>
      <c r="M321" s="38">
        <f t="shared" si="40"/>
        <v>0</v>
      </c>
      <c r="N321" s="272" t="str">
        <f t="shared" si="41"/>
        <v>OK</v>
      </c>
      <c r="P321" s="23"/>
      <c r="Q321" s="23"/>
      <c r="R321" s="23"/>
    </row>
    <row r="322" spans="1:18">
      <c r="A322" s="22">
        <v>23359500</v>
      </c>
      <c r="B322" s="23" t="s">
        <v>36</v>
      </c>
      <c r="C322" s="34" t="s">
        <v>1008</v>
      </c>
      <c r="D322" s="34"/>
      <c r="F322" s="36" t="s">
        <v>204</v>
      </c>
      <c r="G322" s="23">
        <v>2052612</v>
      </c>
      <c r="H322" s="23">
        <v>2052612</v>
      </c>
      <c r="I322" s="37">
        <v>44552</v>
      </c>
      <c r="J322" s="37">
        <f t="shared" si="37"/>
        <v>44582</v>
      </c>
      <c r="K322" s="38">
        <f t="shared" si="38"/>
        <v>30</v>
      </c>
      <c r="L322" s="38" t="str">
        <f t="shared" si="39"/>
        <v>Dejar al valor nominal</v>
      </c>
      <c r="M322" s="38">
        <f t="shared" si="40"/>
        <v>0</v>
      </c>
      <c r="N322" s="272" t="str">
        <f t="shared" si="41"/>
        <v>OK</v>
      </c>
      <c r="P322" s="23"/>
      <c r="Q322" s="23"/>
      <c r="R322" s="23"/>
    </row>
    <row r="323" spans="1:18">
      <c r="A323" s="22">
        <v>23359500</v>
      </c>
      <c r="B323" s="23" t="s">
        <v>36</v>
      </c>
      <c r="C323" s="34" t="s">
        <v>1008</v>
      </c>
      <c r="D323" s="34"/>
      <c r="F323" s="36" t="s">
        <v>204</v>
      </c>
      <c r="G323" s="23">
        <v>2912000</v>
      </c>
      <c r="H323" s="23">
        <v>2912000</v>
      </c>
      <c r="I323" s="37">
        <v>44508</v>
      </c>
      <c r="J323" s="37">
        <f t="shared" si="37"/>
        <v>44538</v>
      </c>
      <c r="K323" s="38">
        <f t="shared" si="38"/>
        <v>30</v>
      </c>
      <c r="L323" s="38" t="str">
        <f t="shared" si="39"/>
        <v>Dejar al valor nominal</v>
      </c>
      <c r="M323" s="38">
        <f t="shared" si="40"/>
        <v>0</v>
      </c>
      <c r="N323" s="272" t="str">
        <f t="shared" si="41"/>
        <v>OK</v>
      </c>
      <c r="P323" s="23"/>
      <c r="Q323" s="23"/>
      <c r="R323" s="23"/>
    </row>
    <row r="324" spans="1:18">
      <c r="A324" s="22">
        <v>23359500</v>
      </c>
      <c r="B324" s="23" t="s">
        <v>36</v>
      </c>
      <c r="C324" s="34" t="s">
        <v>1008</v>
      </c>
      <c r="D324" s="34"/>
      <c r="F324" s="36" t="s">
        <v>204</v>
      </c>
      <c r="G324" s="23">
        <v>2912000</v>
      </c>
      <c r="H324" s="23">
        <v>2912000</v>
      </c>
      <c r="I324" s="37">
        <v>44538</v>
      </c>
      <c r="J324" s="37">
        <f t="shared" si="37"/>
        <v>44568</v>
      </c>
      <c r="K324" s="38">
        <f t="shared" si="38"/>
        <v>30</v>
      </c>
      <c r="L324" s="38" t="str">
        <f t="shared" si="39"/>
        <v>Dejar al valor nominal</v>
      </c>
      <c r="M324" s="38">
        <f t="shared" si="40"/>
        <v>0</v>
      </c>
      <c r="N324" s="272" t="str">
        <f t="shared" si="41"/>
        <v>OK</v>
      </c>
      <c r="P324" s="23"/>
      <c r="Q324" s="23"/>
      <c r="R324" s="23"/>
    </row>
    <row r="325" spans="1:18">
      <c r="A325" s="22">
        <v>23359500</v>
      </c>
      <c r="B325" s="23" t="s">
        <v>36</v>
      </c>
      <c r="C325" s="34" t="s">
        <v>1008</v>
      </c>
      <c r="D325" s="34"/>
      <c r="F325" s="36" t="s">
        <v>204</v>
      </c>
      <c r="G325" s="23">
        <v>1220702</v>
      </c>
      <c r="H325" s="23">
        <v>1220702</v>
      </c>
      <c r="I325" s="37">
        <v>44533</v>
      </c>
      <c r="J325" s="37">
        <f t="shared" si="37"/>
        <v>44563</v>
      </c>
      <c r="K325" s="38">
        <f t="shared" si="38"/>
        <v>30</v>
      </c>
      <c r="L325" s="38" t="str">
        <f t="shared" si="39"/>
        <v>Dejar al valor nominal</v>
      </c>
      <c r="M325" s="38">
        <f t="shared" si="40"/>
        <v>0</v>
      </c>
      <c r="N325" s="272" t="str">
        <f t="shared" si="41"/>
        <v>OK</v>
      </c>
      <c r="P325" s="23"/>
      <c r="Q325" s="23"/>
      <c r="R325" s="23"/>
    </row>
    <row r="326" spans="1:18">
      <c r="A326" s="22">
        <v>23359500</v>
      </c>
      <c r="B326" s="23" t="s">
        <v>36</v>
      </c>
      <c r="C326" s="34" t="s">
        <v>1008</v>
      </c>
      <c r="D326" s="34"/>
      <c r="F326" s="36" t="s">
        <v>204</v>
      </c>
      <c r="G326" s="23">
        <v>138039</v>
      </c>
      <c r="H326" s="23">
        <v>138039</v>
      </c>
      <c r="I326" s="37">
        <v>44533</v>
      </c>
      <c r="J326" s="37">
        <f t="shared" si="37"/>
        <v>44563</v>
      </c>
      <c r="K326" s="38">
        <f t="shared" si="38"/>
        <v>30</v>
      </c>
      <c r="L326" s="38" t="str">
        <f t="shared" si="39"/>
        <v>Dejar al valor nominal</v>
      </c>
      <c r="M326" s="38">
        <f t="shared" si="40"/>
        <v>0</v>
      </c>
      <c r="N326" s="272" t="str">
        <f t="shared" si="41"/>
        <v>OK</v>
      </c>
      <c r="P326" s="23"/>
      <c r="Q326" s="23"/>
      <c r="R326" s="23"/>
    </row>
    <row r="327" spans="1:18">
      <c r="A327" s="22">
        <v>23359500</v>
      </c>
      <c r="B327" s="23" t="s">
        <v>36</v>
      </c>
      <c r="C327" s="34" t="s">
        <v>1008</v>
      </c>
      <c r="D327" s="34"/>
      <c r="F327" s="36" t="s">
        <v>204</v>
      </c>
      <c r="G327" s="23">
        <v>1243550</v>
      </c>
      <c r="H327" s="23">
        <v>1243550</v>
      </c>
      <c r="I327" s="37">
        <v>44548</v>
      </c>
      <c r="J327" s="37">
        <f t="shared" si="37"/>
        <v>44578</v>
      </c>
      <c r="K327" s="38">
        <f t="shared" si="38"/>
        <v>30</v>
      </c>
      <c r="L327" s="38" t="str">
        <f t="shared" si="39"/>
        <v>Dejar al valor nominal</v>
      </c>
      <c r="M327" s="38">
        <f t="shared" si="40"/>
        <v>0</v>
      </c>
      <c r="N327" s="272" t="str">
        <f t="shared" si="41"/>
        <v>OK</v>
      </c>
      <c r="P327" s="23"/>
      <c r="Q327" s="23"/>
      <c r="R327" s="23"/>
    </row>
    <row r="328" spans="1:18">
      <c r="A328" s="22">
        <v>23359500</v>
      </c>
      <c r="B328" s="23" t="s">
        <v>36</v>
      </c>
      <c r="C328" s="34" t="s">
        <v>1008</v>
      </c>
      <c r="D328" s="34"/>
      <c r="F328" s="36" t="s">
        <v>204</v>
      </c>
      <c r="G328" s="23">
        <v>362600</v>
      </c>
      <c r="H328" s="23">
        <v>362600</v>
      </c>
      <c r="I328" s="37">
        <v>44531</v>
      </c>
      <c r="J328" s="37">
        <f t="shared" si="37"/>
        <v>44561</v>
      </c>
      <c r="K328" s="38">
        <f t="shared" si="38"/>
        <v>30</v>
      </c>
      <c r="L328" s="38" t="str">
        <f t="shared" si="39"/>
        <v>Dejar al valor nominal</v>
      </c>
      <c r="M328" s="38">
        <f t="shared" si="40"/>
        <v>0</v>
      </c>
      <c r="N328" s="272" t="str">
        <f t="shared" si="41"/>
        <v>OK</v>
      </c>
      <c r="P328" s="23"/>
      <c r="Q328" s="23"/>
      <c r="R328" s="23"/>
    </row>
    <row r="329" spans="1:18">
      <c r="A329" s="22">
        <v>23359500</v>
      </c>
      <c r="B329" s="23" t="s">
        <v>36</v>
      </c>
      <c r="C329" s="34" t="s">
        <v>1008</v>
      </c>
      <c r="D329" s="34"/>
      <c r="F329" s="36" t="s">
        <v>204</v>
      </c>
      <c r="G329" s="23">
        <v>512100</v>
      </c>
      <c r="H329" s="23">
        <v>512100</v>
      </c>
      <c r="I329" s="37">
        <v>44546</v>
      </c>
      <c r="J329" s="37">
        <f t="shared" si="37"/>
        <v>44576</v>
      </c>
      <c r="K329" s="38">
        <f t="shared" si="38"/>
        <v>30</v>
      </c>
      <c r="L329" s="38" t="str">
        <f t="shared" si="39"/>
        <v>Dejar al valor nominal</v>
      </c>
      <c r="M329" s="38">
        <f t="shared" si="40"/>
        <v>0</v>
      </c>
      <c r="N329" s="272" t="str">
        <f t="shared" si="41"/>
        <v>OK</v>
      </c>
      <c r="P329" s="23"/>
      <c r="Q329" s="23"/>
      <c r="R329" s="23"/>
    </row>
    <row r="330" spans="1:18">
      <c r="A330" s="22">
        <v>23359500</v>
      </c>
      <c r="B330" s="23" t="s">
        <v>36</v>
      </c>
      <c r="C330" s="34" t="s">
        <v>1008</v>
      </c>
      <c r="D330" s="34"/>
      <c r="F330" s="36" t="s">
        <v>204</v>
      </c>
      <c r="G330" s="23">
        <v>3116500</v>
      </c>
      <c r="H330" s="23">
        <v>3116500</v>
      </c>
      <c r="I330" s="37">
        <v>44510</v>
      </c>
      <c r="J330" s="37">
        <f t="shared" si="37"/>
        <v>44540</v>
      </c>
      <c r="K330" s="38">
        <f t="shared" si="38"/>
        <v>30</v>
      </c>
      <c r="L330" s="38" t="str">
        <f t="shared" si="39"/>
        <v>Dejar al valor nominal</v>
      </c>
      <c r="M330" s="38">
        <f t="shared" si="40"/>
        <v>0</v>
      </c>
      <c r="N330" s="272" t="str">
        <f t="shared" si="41"/>
        <v>OK</v>
      </c>
      <c r="P330" s="23"/>
      <c r="Q330" s="23"/>
      <c r="R330" s="23"/>
    </row>
    <row r="331" spans="1:18">
      <c r="A331" s="22">
        <v>23359500</v>
      </c>
      <c r="B331" s="23" t="s">
        <v>36</v>
      </c>
      <c r="C331" s="34" t="s">
        <v>1008</v>
      </c>
      <c r="D331" s="34"/>
      <c r="F331" s="36" t="s">
        <v>204</v>
      </c>
      <c r="G331" s="23">
        <v>6095000</v>
      </c>
      <c r="H331" s="23">
        <v>6095000</v>
      </c>
      <c r="I331" s="37">
        <v>44548</v>
      </c>
      <c r="J331" s="37">
        <f t="shared" si="37"/>
        <v>44578</v>
      </c>
      <c r="K331" s="38">
        <f t="shared" si="38"/>
        <v>30</v>
      </c>
      <c r="L331" s="38" t="str">
        <f t="shared" si="39"/>
        <v>Dejar al valor nominal</v>
      </c>
      <c r="M331" s="38">
        <f t="shared" si="40"/>
        <v>0</v>
      </c>
      <c r="N331" s="272" t="str">
        <f t="shared" si="41"/>
        <v>OK</v>
      </c>
      <c r="P331" s="23"/>
      <c r="Q331" s="23"/>
      <c r="R331" s="23"/>
    </row>
    <row r="332" spans="1:18">
      <c r="A332" s="22">
        <v>23359500</v>
      </c>
      <c r="B332" s="23" t="s">
        <v>36</v>
      </c>
      <c r="C332" s="34" t="s">
        <v>1008</v>
      </c>
      <c r="D332" s="34"/>
      <c r="F332" s="36" t="s">
        <v>204</v>
      </c>
      <c r="G332" s="23">
        <v>1937311</v>
      </c>
      <c r="H332" s="23">
        <v>1937311</v>
      </c>
      <c r="I332" s="37">
        <v>44527</v>
      </c>
      <c r="J332" s="37">
        <f t="shared" si="37"/>
        <v>44557</v>
      </c>
      <c r="K332" s="38">
        <f t="shared" si="38"/>
        <v>30</v>
      </c>
      <c r="L332" s="38" t="str">
        <f t="shared" si="39"/>
        <v>Dejar al valor nominal</v>
      </c>
      <c r="M332" s="38">
        <f t="shared" si="40"/>
        <v>0</v>
      </c>
      <c r="N332" s="272" t="str">
        <f t="shared" si="41"/>
        <v>OK</v>
      </c>
      <c r="P332" s="23"/>
      <c r="Q332" s="23"/>
      <c r="R332" s="23"/>
    </row>
    <row r="333" spans="1:18">
      <c r="A333" s="22">
        <v>23359500</v>
      </c>
      <c r="B333" s="23" t="s">
        <v>36</v>
      </c>
      <c r="C333" s="34" t="s">
        <v>1008</v>
      </c>
      <c r="D333" s="34"/>
      <c r="F333" s="36" t="s">
        <v>204</v>
      </c>
      <c r="G333" s="23">
        <v>5158650</v>
      </c>
      <c r="H333" s="23">
        <v>5158650</v>
      </c>
      <c r="I333" s="37">
        <v>44517</v>
      </c>
      <c r="J333" s="37">
        <f t="shared" si="37"/>
        <v>44547</v>
      </c>
      <c r="K333" s="38">
        <f t="shared" si="38"/>
        <v>30</v>
      </c>
      <c r="L333" s="38" t="str">
        <f t="shared" si="39"/>
        <v>Dejar al valor nominal</v>
      </c>
      <c r="M333" s="38">
        <f t="shared" si="40"/>
        <v>0</v>
      </c>
      <c r="N333" s="272" t="str">
        <f t="shared" si="41"/>
        <v>OK</v>
      </c>
      <c r="P333" s="23"/>
      <c r="Q333" s="23"/>
      <c r="R333" s="23"/>
    </row>
    <row r="334" spans="1:18">
      <c r="A334" s="22">
        <v>23359500</v>
      </c>
      <c r="B334" s="23" t="s">
        <v>36</v>
      </c>
      <c r="C334" s="34" t="s">
        <v>1008</v>
      </c>
      <c r="D334" s="34"/>
      <c r="F334" s="36" t="s">
        <v>204</v>
      </c>
      <c r="G334" s="23">
        <v>2233000</v>
      </c>
      <c r="H334" s="23">
        <v>2233000</v>
      </c>
      <c r="I334" s="37">
        <v>44521</v>
      </c>
      <c r="J334" s="37">
        <f t="shared" si="37"/>
        <v>44551</v>
      </c>
      <c r="K334" s="38">
        <f t="shared" si="38"/>
        <v>30</v>
      </c>
      <c r="L334" s="38" t="str">
        <f t="shared" si="39"/>
        <v>Dejar al valor nominal</v>
      </c>
      <c r="M334" s="38">
        <f t="shared" si="40"/>
        <v>0</v>
      </c>
      <c r="N334" s="272" t="str">
        <f t="shared" si="41"/>
        <v>OK</v>
      </c>
      <c r="P334" s="23"/>
      <c r="Q334" s="23"/>
      <c r="R334" s="23"/>
    </row>
    <row r="335" spans="1:18">
      <c r="A335" s="22">
        <v>23359500</v>
      </c>
      <c r="B335" s="23" t="s">
        <v>36</v>
      </c>
      <c r="C335" s="34" t="s">
        <v>1008</v>
      </c>
      <c r="D335" s="34"/>
      <c r="F335" s="36" t="s">
        <v>204</v>
      </c>
      <c r="G335" s="23">
        <v>5678442</v>
      </c>
      <c r="H335" s="23">
        <v>5678442</v>
      </c>
      <c r="I335" s="37">
        <v>44546</v>
      </c>
      <c r="J335" s="37">
        <f t="shared" si="37"/>
        <v>44576</v>
      </c>
      <c r="K335" s="38">
        <f t="shared" si="38"/>
        <v>30</v>
      </c>
      <c r="L335" s="38" t="str">
        <f t="shared" si="39"/>
        <v>Dejar al valor nominal</v>
      </c>
      <c r="M335" s="38">
        <f t="shared" si="40"/>
        <v>0</v>
      </c>
      <c r="N335" s="272" t="str">
        <f t="shared" si="41"/>
        <v>OK</v>
      </c>
      <c r="P335" s="23"/>
      <c r="Q335" s="23"/>
      <c r="R335" s="23"/>
    </row>
    <row r="336" spans="1:18">
      <c r="A336" s="22">
        <v>23359500</v>
      </c>
      <c r="B336" s="23" t="s">
        <v>36</v>
      </c>
      <c r="C336" s="34" t="s">
        <v>1008</v>
      </c>
      <c r="D336" s="34"/>
      <c r="F336" s="36" t="s">
        <v>204</v>
      </c>
      <c r="G336" s="23">
        <v>309680</v>
      </c>
      <c r="H336" s="23">
        <v>309680</v>
      </c>
      <c r="I336" s="37">
        <v>44559</v>
      </c>
      <c r="J336" s="37">
        <f t="shared" si="37"/>
        <v>44589</v>
      </c>
      <c r="K336" s="38">
        <f t="shared" si="38"/>
        <v>30</v>
      </c>
      <c r="L336" s="38" t="str">
        <f t="shared" si="39"/>
        <v>Dejar al valor nominal</v>
      </c>
      <c r="M336" s="38">
        <f t="shared" si="40"/>
        <v>0</v>
      </c>
      <c r="N336" s="272" t="str">
        <f t="shared" si="41"/>
        <v>OK</v>
      </c>
      <c r="P336" s="23"/>
      <c r="Q336" s="23"/>
      <c r="R336" s="23"/>
    </row>
    <row r="337" spans="1:18">
      <c r="A337" s="22">
        <v>23359500</v>
      </c>
      <c r="B337" s="23" t="s">
        <v>36</v>
      </c>
      <c r="C337" s="34" t="s">
        <v>1008</v>
      </c>
      <c r="D337" s="34"/>
      <c r="F337" s="36" t="s">
        <v>204</v>
      </c>
      <c r="G337" s="23">
        <v>436800</v>
      </c>
      <c r="H337" s="23">
        <v>436800</v>
      </c>
      <c r="I337" s="37">
        <v>44559</v>
      </c>
      <c r="J337" s="37">
        <f t="shared" si="37"/>
        <v>44589</v>
      </c>
      <c r="K337" s="38">
        <f t="shared" si="38"/>
        <v>30</v>
      </c>
      <c r="L337" s="38" t="str">
        <f t="shared" si="39"/>
        <v>Dejar al valor nominal</v>
      </c>
      <c r="M337" s="38">
        <f t="shared" si="40"/>
        <v>0</v>
      </c>
      <c r="N337" s="272" t="str">
        <f t="shared" si="41"/>
        <v>OK</v>
      </c>
      <c r="P337" s="23"/>
      <c r="Q337" s="23"/>
      <c r="R337" s="23"/>
    </row>
    <row r="338" spans="1:18">
      <c r="A338" s="22">
        <v>23359500</v>
      </c>
      <c r="B338" s="23" t="s">
        <v>36</v>
      </c>
      <c r="C338" s="34" t="s">
        <v>1008</v>
      </c>
      <c r="D338" s="34"/>
      <c r="F338" s="36" t="s">
        <v>204</v>
      </c>
      <c r="G338" s="23">
        <v>792000</v>
      </c>
      <c r="H338" s="23">
        <v>792000</v>
      </c>
      <c r="I338" s="37">
        <v>44533</v>
      </c>
      <c r="J338" s="37">
        <f t="shared" si="37"/>
        <v>44563</v>
      </c>
      <c r="K338" s="38">
        <f t="shared" si="38"/>
        <v>30</v>
      </c>
      <c r="L338" s="38" t="str">
        <f t="shared" si="39"/>
        <v>Dejar al valor nominal</v>
      </c>
      <c r="M338" s="38">
        <f t="shared" si="40"/>
        <v>0</v>
      </c>
      <c r="N338" s="272" t="str">
        <f t="shared" si="41"/>
        <v>OK</v>
      </c>
      <c r="P338" s="23"/>
      <c r="Q338" s="23"/>
      <c r="R338" s="23"/>
    </row>
    <row r="339" spans="1:18">
      <c r="A339" s="22">
        <v>23359500</v>
      </c>
      <c r="B339" s="23" t="s">
        <v>36</v>
      </c>
      <c r="C339" s="34" t="s">
        <v>1008</v>
      </c>
      <c r="D339" s="34"/>
      <c r="F339" s="36" t="s">
        <v>204</v>
      </c>
      <c r="G339" s="23">
        <v>27522000</v>
      </c>
      <c r="H339" s="23">
        <v>27522000</v>
      </c>
      <c r="I339" s="37">
        <v>44534</v>
      </c>
      <c r="J339" s="37">
        <f t="shared" ref="J339:J356" si="42">I339+30</f>
        <v>44564</v>
      </c>
      <c r="K339" s="38">
        <f t="shared" ref="K339:K356" si="43">IF(J339-I339&lt;0,"Error",J339-I339)</f>
        <v>30</v>
      </c>
      <c r="L339" s="38" t="str">
        <f t="shared" ref="L339:L356" si="44">IF(K339&gt;365,"Medir al costo amortizado","Dejar al valor nominal")</f>
        <v>Dejar al valor nominal</v>
      </c>
      <c r="M339" s="38">
        <f t="shared" ref="M339:M356" si="45">H339-G339</f>
        <v>0</v>
      </c>
      <c r="N339" s="272" t="str">
        <f t="shared" ref="N339:N356" si="46">IF($N$18-J339&gt;K339,"Revisar","OK")</f>
        <v>OK</v>
      </c>
      <c r="P339" s="23"/>
      <c r="Q339" s="23"/>
      <c r="R339" s="23"/>
    </row>
    <row r="340" spans="1:18">
      <c r="A340" s="22">
        <v>23359500</v>
      </c>
      <c r="B340" s="23" t="s">
        <v>36</v>
      </c>
      <c r="C340" s="34" t="s">
        <v>1008</v>
      </c>
      <c r="D340" s="34"/>
      <c r="F340" s="36" t="s">
        <v>204</v>
      </c>
      <c r="G340" s="23">
        <v>2376000</v>
      </c>
      <c r="H340" s="23">
        <v>2376000</v>
      </c>
      <c r="I340" s="37">
        <v>44540</v>
      </c>
      <c r="J340" s="37">
        <f t="shared" si="42"/>
        <v>44570</v>
      </c>
      <c r="K340" s="38">
        <f t="shared" si="43"/>
        <v>30</v>
      </c>
      <c r="L340" s="38" t="str">
        <f t="shared" si="44"/>
        <v>Dejar al valor nominal</v>
      </c>
      <c r="M340" s="38">
        <f t="shared" si="45"/>
        <v>0</v>
      </c>
      <c r="N340" s="272" t="str">
        <f t="shared" si="46"/>
        <v>OK</v>
      </c>
      <c r="P340" s="23"/>
      <c r="Q340" s="23"/>
      <c r="R340" s="23"/>
    </row>
    <row r="341" spans="1:18">
      <c r="A341" s="22">
        <v>23359500</v>
      </c>
      <c r="B341" s="23" t="s">
        <v>36</v>
      </c>
      <c r="C341" s="34" t="s">
        <v>1008</v>
      </c>
      <c r="D341" s="34"/>
      <c r="F341" s="36" t="s">
        <v>204</v>
      </c>
      <c r="G341" s="23">
        <v>15872995.710000001</v>
      </c>
      <c r="H341" s="23">
        <v>15872995.710000001</v>
      </c>
      <c r="I341" s="37">
        <v>44544</v>
      </c>
      <c r="J341" s="37">
        <f t="shared" si="42"/>
        <v>44574</v>
      </c>
      <c r="K341" s="38">
        <f t="shared" si="43"/>
        <v>30</v>
      </c>
      <c r="L341" s="38" t="str">
        <f t="shared" si="44"/>
        <v>Dejar al valor nominal</v>
      </c>
      <c r="M341" s="38">
        <f t="shared" si="45"/>
        <v>0</v>
      </c>
      <c r="N341" s="272" t="str">
        <f t="shared" si="46"/>
        <v>OK</v>
      </c>
      <c r="P341" s="23"/>
      <c r="Q341" s="23"/>
      <c r="R341" s="23"/>
    </row>
    <row r="342" spans="1:18">
      <c r="A342" s="22">
        <v>23359500</v>
      </c>
      <c r="B342" s="23" t="s">
        <v>36</v>
      </c>
      <c r="C342" s="34" t="s">
        <v>1008</v>
      </c>
      <c r="D342" s="34"/>
      <c r="F342" s="36" t="s">
        <v>204</v>
      </c>
      <c r="G342" s="23">
        <v>45777600</v>
      </c>
      <c r="H342" s="23">
        <v>45777600</v>
      </c>
      <c r="I342" s="37">
        <v>44545</v>
      </c>
      <c r="J342" s="37">
        <f t="shared" si="42"/>
        <v>44575</v>
      </c>
      <c r="K342" s="38">
        <f t="shared" si="43"/>
        <v>30</v>
      </c>
      <c r="L342" s="38" t="str">
        <f t="shared" si="44"/>
        <v>Dejar al valor nominal</v>
      </c>
      <c r="M342" s="38">
        <f t="shared" si="45"/>
        <v>0</v>
      </c>
      <c r="N342" s="272" t="str">
        <f t="shared" si="46"/>
        <v>OK</v>
      </c>
      <c r="P342" s="23"/>
      <c r="Q342" s="23"/>
      <c r="R342" s="23"/>
    </row>
    <row r="343" spans="1:18">
      <c r="A343" s="22">
        <v>23359500</v>
      </c>
      <c r="B343" s="23" t="s">
        <v>36</v>
      </c>
      <c r="C343" s="34" t="s">
        <v>1008</v>
      </c>
      <c r="D343" s="34"/>
      <c r="F343" s="36" t="s">
        <v>204</v>
      </c>
      <c r="G343" s="23">
        <v>7326000</v>
      </c>
      <c r="H343" s="23">
        <v>7326000</v>
      </c>
      <c r="I343" s="37">
        <v>44545</v>
      </c>
      <c r="J343" s="37">
        <f t="shared" si="42"/>
        <v>44575</v>
      </c>
      <c r="K343" s="38">
        <f t="shared" si="43"/>
        <v>30</v>
      </c>
      <c r="L343" s="38" t="str">
        <f t="shared" si="44"/>
        <v>Dejar al valor nominal</v>
      </c>
      <c r="M343" s="38">
        <f t="shared" si="45"/>
        <v>0</v>
      </c>
      <c r="N343" s="272" t="str">
        <f t="shared" si="46"/>
        <v>OK</v>
      </c>
      <c r="P343" s="23"/>
      <c r="Q343" s="23"/>
      <c r="R343" s="23"/>
    </row>
    <row r="344" spans="1:18">
      <c r="A344" s="22">
        <v>23359500</v>
      </c>
      <c r="B344" s="23" t="s">
        <v>36</v>
      </c>
      <c r="C344" s="34" t="s">
        <v>1008</v>
      </c>
      <c r="D344" s="34"/>
      <c r="F344" s="36" t="s">
        <v>204</v>
      </c>
      <c r="G344" s="23">
        <v>23760000</v>
      </c>
      <c r="H344" s="23">
        <v>23760000</v>
      </c>
      <c r="I344" s="37">
        <v>44545</v>
      </c>
      <c r="J344" s="37">
        <f t="shared" si="42"/>
        <v>44575</v>
      </c>
      <c r="K344" s="38">
        <f t="shared" si="43"/>
        <v>30</v>
      </c>
      <c r="L344" s="38" t="str">
        <f t="shared" si="44"/>
        <v>Dejar al valor nominal</v>
      </c>
      <c r="M344" s="38">
        <f t="shared" si="45"/>
        <v>0</v>
      </c>
      <c r="N344" s="272" t="str">
        <f t="shared" si="46"/>
        <v>OK</v>
      </c>
      <c r="P344" s="23"/>
      <c r="Q344" s="23"/>
      <c r="R344" s="23"/>
    </row>
    <row r="345" spans="1:18">
      <c r="A345" s="22">
        <v>23359500</v>
      </c>
      <c r="B345" s="23" t="s">
        <v>36</v>
      </c>
      <c r="C345" s="34" t="s">
        <v>1008</v>
      </c>
      <c r="D345" s="34"/>
      <c r="F345" s="36" t="s">
        <v>204</v>
      </c>
      <c r="G345" s="23">
        <v>107118000</v>
      </c>
      <c r="H345" s="23">
        <v>107118000</v>
      </c>
      <c r="I345" s="37">
        <v>44545</v>
      </c>
      <c r="J345" s="37">
        <f t="shared" si="42"/>
        <v>44575</v>
      </c>
      <c r="K345" s="38">
        <f t="shared" si="43"/>
        <v>30</v>
      </c>
      <c r="L345" s="38" t="str">
        <f t="shared" si="44"/>
        <v>Dejar al valor nominal</v>
      </c>
      <c r="M345" s="38">
        <f t="shared" si="45"/>
        <v>0</v>
      </c>
      <c r="N345" s="272" t="str">
        <f t="shared" si="46"/>
        <v>OK</v>
      </c>
      <c r="P345" s="23"/>
      <c r="Q345" s="23"/>
      <c r="R345" s="23"/>
    </row>
    <row r="346" spans="1:18">
      <c r="A346" s="22">
        <v>23359500</v>
      </c>
      <c r="B346" s="23" t="s">
        <v>36</v>
      </c>
      <c r="C346" s="34" t="s">
        <v>1008</v>
      </c>
      <c r="D346" s="34"/>
      <c r="F346" s="36" t="s">
        <v>204</v>
      </c>
      <c r="G346" s="23">
        <v>92023</v>
      </c>
      <c r="H346" s="23">
        <v>92023</v>
      </c>
      <c r="I346" s="37">
        <v>44561</v>
      </c>
      <c r="J346" s="37">
        <f t="shared" si="42"/>
        <v>44591</v>
      </c>
      <c r="K346" s="38">
        <f t="shared" si="43"/>
        <v>30</v>
      </c>
      <c r="L346" s="38" t="str">
        <f t="shared" si="44"/>
        <v>Dejar al valor nominal</v>
      </c>
      <c r="M346" s="38">
        <f t="shared" si="45"/>
        <v>0</v>
      </c>
      <c r="N346" s="272" t="str">
        <f t="shared" si="46"/>
        <v>OK</v>
      </c>
      <c r="P346" s="23"/>
      <c r="Q346" s="23"/>
      <c r="R346" s="23"/>
    </row>
    <row r="347" spans="1:18">
      <c r="A347" s="22">
        <v>23359500</v>
      </c>
      <c r="B347" s="23" t="s">
        <v>36</v>
      </c>
      <c r="C347" s="34" t="s">
        <v>1008</v>
      </c>
      <c r="D347" s="34"/>
      <c r="F347" s="36" t="s">
        <v>204</v>
      </c>
      <c r="G347" s="23">
        <v>15048000</v>
      </c>
      <c r="H347" s="23">
        <v>15048000</v>
      </c>
      <c r="I347" s="37">
        <v>44513</v>
      </c>
      <c r="J347" s="37">
        <f t="shared" si="42"/>
        <v>44543</v>
      </c>
      <c r="K347" s="38">
        <f t="shared" si="43"/>
        <v>30</v>
      </c>
      <c r="L347" s="38" t="str">
        <f t="shared" si="44"/>
        <v>Dejar al valor nominal</v>
      </c>
      <c r="M347" s="38">
        <f t="shared" si="45"/>
        <v>0</v>
      </c>
      <c r="N347" s="272" t="str">
        <f t="shared" si="46"/>
        <v>OK</v>
      </c>
      <c r="P347" s="23"/>
      <c r="Q347" s="23"/>
      <c r="R347" s="23"/>
    </row>
    <row r="348" spans="1:18">
      <c r="A348" s="22">
        <v>23359500</v>
      </c>
      <c r="B348" s="23" t="s">
        <v>36</v>
      </c>
      <c r="C348" s="34" t="s">
        <v>1008</v>
      </c>
      <c r="D348" s="34"/>
      <c r="F348" s="36" t="s">
        <v>204</v>
      </c>
      <c r="G348" s="23">
        <v>6583500</v>
      </c>
      <c r="H348" s="23">
        <v>6583500</v>
      </c>
      <c r="I348" s="37">
        <v>44549</v>
      </c>
      <c r="J348" s="37">
        <f t="shared" si="42"/>
        <v>44579</v>
      </c>
      <c r="K348" s="38">
        <f t="shared" si="43"/>
        <v>30</v>
      </c>
      <c r="L348" s="38" t="str">
        <f t="shared" si="44"/>
        <v>Dejar al valor nominal</v>
      </c>
      <c r="M348" s="38">
        <f t="shared" si="45"/>
        <v>0</v>
      </c>
      <c r="N348" s="272" t="str">
        <f t="shared" si="46"/>
        <v>OK</v>
      </c>
      <c r="P348" s="23"/>
      <c r="Q348" s="23"/>
      <c r="R348" s="23"/>
    </row>
    <row r="349" spans="1:18">
      <c r="A349" s="22">
        <v>23359500</v>
      </c>
      <c r="B349" s="23" t="s">
        <v>36</v>
      </c>
      <c r="C349" s="34" t="s">
        <v>1008</v>
      </c>
      <c r="D349" s="34"/>
      <c r="F349" s="36" t="s">
        <v>204</v>
      </c>
      <c r="G349" s="23">
        <v>5148000</v>
      </c>
      <c r="H349" s="23">
        <v>5148000</v>
      </c>
      <c r="I349" s="37">
        <v>44549</v>
      </c>
      <c r="J349" s="37">
        <f t="shared" si="42"/>
        <v>44579</v>
      </c>
      <c r="K349" s="38">
        <f t="shared" si="43"/>
        <v>30</v>
      </c>
      <c r="L349" s="38" t="str">
        <f t="shared" si="44"/>
        <v>Dejar al valor nominal</v>
      </c>
      <c r="M349" s="38">
        <f t="shared" si="45"/>
        <v>0</v>
      </c>
      <c r="N349" s="272" t="str">
        <f t="shared" si="46"/>
        <v>OK</v>
      </c>
      <c r="P349" s="23"/>
      <c r="Q349" s="23"/>
      <c r="R349" s="23"/>
    </row>
    <row r="350" spans="1:18">
      <c r="A350" s="22">
        <v>23359500</v>
      </c>
      <c r="B350" s="23" t="s">
        <v>36</v>
      </c>
      <c r="C350" s="34" t="s">
        <v>1008</v>
      </c>
      <c r="D350" s="34"/>
      <c r="F350" s="36" t="s">
        <v>204</v>
      </c>
      <c r="G350" s="23">
        <v>742500</v>
      </c>
      <c r="H350" s="23">
        <v>742500</v>
      </c>
      <c r="I350" s="37">
        <v>44549</v>
      </c>
      <c r="J350" s="37">
        <f t="shared" si="42"/>
        <v>44579</v>
      </c>
      <c r="K350" s="38">
        <f t="shared" si="43"/>
        <v>30</v>
      </c>
      <c r="L350" s="38" t="str">
        <f t="shared" si="44"/>
        <v>Dejar al valor nominal</v>
      </c>
      <c r="M350" s="38">
        <f t="shared" si="45"/>
        <v>0</v>
      </c>
      <c r="N350" s="272" t="str">
        <f t="shared" si="46"/>
        <v>OK</v>
      </c>
      <c r="P350" s="23"/>
      <c r="Q350" s="23"/>
      <c r="R350" s="23"/>
    </row>
    <row r="351" spans="1:18">
      <c r="A351" s="22">
        <v>23359500</v>
      </c>
      <c r="B351" s="23" t="s">
        <v>36</v>
      </c>
      <c r="C351" s="34" t="s">
        <v>1008</v>
      </c>
      <c r="D351" s="34"/>
      <c r="F351" s="36" t="s">
        <v>204</v>
      </c>
      <c r="G351" s="23">
        <v>3069000</v>
      </c>
      <c r="H351" s="23">
        <v>3069000</v>
      </c>
      <c r="I351" s="37">
        <v>44549</v>
      </c>
      <c r="J351" s="37">
        <f t="shared" si="42"/>
        <v>44579</v>
      </c>
      <c r="K351" s="38">
        <f t="shared" si="43"/>
        <v>30</v>
      </c>
      <c r="L351" s="38" t="str">
        <f t="shared" si="44"/>
        <v>Dejar al valor nominal</v>
      </c>
      <c r="M351" s="38">
        <f t="shared" si="45"/>
        <v>0</v>
      </c>
      <c r="N351" s="272" t="str">
        <f t="shared" si="46"/>
        <v>OK</v>
      </c>
      <c r="P351" s="23"/>
      <c r="Q351" s="23"/>
      <c r="R351" s="23"/>
    </row>
    <row r="352" spans="1:18">
      <c r="A352" s="22">
        <v>23359500</v>
      </c>
      <c r="B352" s="23" t="s">
        <v>36</v>
      </c>
      <c r="C352" s="34" t="s">
        <v>1008</v>
      </c>
      <c r="D352" s="34"/>
      <c r="F352" s="36" t="s">
        <v>204</v>
      </c>
      <c r="G352" s="23">
        <v>140006</v>
      </c>
      <c r="H352" s="23">
        <v>140006</v>
      </c>
      <c r="I352" s="37">
        <v>44553</v>
      </c>
      <c r="J352" s="37">
        <f t="shared" si="42"/>
        <v>44583</v>
      </c>
      <c r="K352" s="38">
        <f t="shared" si="43"/>
        <v>30</v>
      </c>
      <c r="L352" s="38" t="str">
        <f t="shared" si="44"/>
        <v>Dejar al valor nominal</v>
      </c>
      <c r="M352" s="38">
        <f t="shared" si="45"/>
        <v>0</v>
      </c>
      <c r="N352" s="272" t="str">
        <f t="shared" si="46"/>
        <v>OK</v>
      </c>
      <c r="P352" s="23"/>
      <c r="Q352" s="23"/>
      <c r="R352" s="23"/>
    </row>
    <row r="353" spans="1:16384">
      <c r="A353" s="22">
        <v>23359500</v>
      </c>
      <c r="B353" s="23" t="s">
        <v>36</v>
      </c>
      <c r="C353" s="34" t="s">
        <v>1008</v>
      </c>
      <c r="D353" s="34"/>
      <c r="F353" s="36" t="s">
        <v>204</v>
      </c>
      <c r="G353" s="23">
        <v>120001</v>
      </c>
      <c r="H353" s="23">
        <v>120001</v>
      </c>
      <c r="I353" s="37">
        <v>44560</v>
      </c>
      <c r="J353" s="37">
        <f t="shared" si="42"/>
        <v>44590</v>
      </c>
      <c r="K353" s="38">
        <f t="shared" si="43"/>
        <v>30</v>
      </c>
      <c r="L353" s="38" t="str">
        <f t="shared" si="44"/>
        <v>Dejar al valor nominal</v>
      </c>
      <c r="M353" s="38">
        <f t="shared" si="45"/>
        <v>0</v>
      </c>
      <c r="N353" s="272" t="str">
        <f t="shared" si="46"/>
        <v>OK</v>
      </c>
      <c r="P353" s="23"/>
      <c r="Q353" s="23"/>
      <c r="R353" s="23"/>
    </row>
    <row r="354" spans="1:16384">
      <c r="A354" s="22">
        <v>23359500</v>
      </c>
      <c r="B354" s="23" t="s">
        <v>36</v>
      </c>
      <c r="C354" s="34" t="s">
        <v>1008</v>
      </c>
      <c r="D354" s="34"/>
      <c r="F354" s="36" t="s">
        <v>204</v>
      </c>
      <c r="G354" s="23">
        <v>12138000</v>
      </c>
      <c r="H354" s="23">
        <v>12138000</v>
      </c>
      <c r="I354" s="37">
        <v>44473</v>
      </c>
      <c r="J354" s="37">
        <f t="shared" si="42"/>
        <v>44503</v>
      </c>
      <c r="K354" s="38">
        <f t="shared" si="43"/>
        <v>30</v>
      </c>
      <c r="L354" s="38" t="str">
        <f t="shared" si="44"/>
        <v>Dejar al valor nominal</v>
      </c>
      <c r="M354" s="38">
        <f t="shared" si="45"/>
        <v>0</v>
      </c>
      <c r="N354" s="272" t="str">
        <f t="shared" si="46"/>
        <v>OK</v>
      </c>
      <c r="P354" s="23"/>
      <c r="Q354" s="23"/>
      <c r="R354" s="23"/>
    </row>
    <row r="355" spans="1:16384">
      <c r="A355" s="22">
        <v>23359500</v>
      </c>
      <c r="B355" s="23" t="s">
        <v>36</v>
      </c>
      <c r="C355" s="34" t="s">
        <v>1008</v>
      </c>
      <c r="D355" s="34"/>
      <c r="F355" s="36" t="s">
        <v>204</v>
      </c>
      <c r="G355" s="23">
        <v>17533891</v>
      </c>
      <c r="H355" s="23">
        <v>17533891</v>
      </c>
      <c r="I355" s="37">
        <v>44473</v>
      </c>
      <c r="J355" s="37">
        <f t="shared" si="42"/>
        <v>44503</v>
      </c>
      <c r="K355" s="38">
        <f t="shared" si="43"/>
        <v>30</v>
      </c>
      <c r="L355" s="38" t="str">
        <f t="shared" si="44"/>
        <v>Dejar al valor nominal</v>
      </c>
      <c r="M355" s="38">
        <f t="shared" si="45"/>
        <v>0</v>
      </c>
      <c r="N355" s="272" t="str">
        <f t="shared" si="46"/>
        <v>OK</v>
      </c>
      <c r="P355" s="23"/>
      <c r="Q355" s="23"/>
      <c r="R355" s="23"/>
    </row>
    <row r="356" spans="1:16384">
      <c r="A356" s="22">
        <v>23359500</v>
      </c>
      <c r="B356" s="23" t="s">
        <v>36</v>
      </c>
      <c r="C356" s="34" t="s">
        <v>1008</v>
      </c>
      <c r="D356" s="34"/>
      <c r="F356" s="36" t="s">
        <v>204</v>
      </c>
      <c r="G356" s="23">
        <v>17607835</v>
      </c>
      <c r="H356" s="23">
        <v>17607835</v>
      </c>
      <c r="I356" s="37">
        <v>44473</v>
      </c>
      <c r="J356" s="37">
        <f t="shared" si="42"/>
        <v>44503</v>
      </c>
      <c r="K356" s="38">
        <f t="shared" si="43"/>
        <v>30</v>
      </c>
      <c r="L356" s="38" t="str">
        <f t="shared" si="44"/>
        <v>Dejar al valor nominal</v>
      </c>
      <c r="M356" s="38">
        <f t="shared" si="45"/>
        <v>0</v>
      </c>
      <c r="N356" s="272" t="str">
        <f t="shared" si="46"/>
        <v>OK</v>
      </c>
      <c r="P356" s="23"/>
      <c r="Q356" s="23"/>
      <c r="R356" s="23"/>
    </row>
    <row r="357" spans="1:16384"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80"/>
      <c r="Q357" s="23"/>
      <c r="R357" s="23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U357" s="22"/>
      <c r="BV357" s="22"/>
      <c r="BW357" s="22"/>
      <c r="BX357" s="22"/>
      <c r="BY357" s="22"/>
      <c r="BZ357" s="22"/>
      <c r="CA357" s="22"/>
      <c r="CB357" s="22"/>
      <c r="CC357" s="22"/>
      <c r="CD357" s="22"/>
      <c r="CE357" s="22"/>
      <c r="CF357" s="22"/>
      <c r="CG357" s="22"/>
      <c r="CH357" s="22"/>
      <c r="CI357" s="22"/>
      <c r="CJ357" s="22"/>
      <c r="CK357" s="22"/>
      <c r="CL357" s="22"/>
      <c r="CM357" s="22"/>
      <c r="CN357" s="22"/>
      <c r="CO357" s="22"/>
      <c r="CP357" s="22"/>
      <c r="CQ357" s="22"/>
      <c r="CR357" s="22"/>
      <c r="CS357" s="22"/>
      <c r="CT357" s="22"/>
      <c r="CU357" s="22"/>
      <c r="CV357" s="22"/>
      <c r="CW357" s="22"/>
      <c r="CX357" s="22"/>
      <c r="CY357" s="22"/>
      <c r="CZ357" s="22"/>
      <c r="DA357" s="22"/>
      <c r="DB357" s="22"/>
      <c r="DC357" s="22"/>
      <c r="DD357" s="22"/>
      <c r="DE357" s="22"/>
      <c r="DF357" s="22"/>
      <c r="DG357" s="22"/>
      <c r="DH357" s="22"/>
      <c r="DI357" s="22"/>
      <c r="DJ357" s="22"/>
      <c r="DK357" s="22"/>
      <c r="DL357" s="22"/>
      <c r="DM357" s="22"/>
      <c r="DN357" s="22"/>
      <c r="DO357" s="22"/>
      <c r="DP357" s="22"/>
      <c r="DQ357" s="22"/>
      <c r="DR357" s="22"/>
      <c r="DS357" s="22"/>
      <c r="DT357" s="22"/>
      <c r="DU357" s="22"/>
      <c r="DV357" s="22"/>
      <c r="DW357" s="22"/>
      <c r="DX357" s="22"/>
      <c r="DY357" s="22"/>
      <c r="DZ357" s="22"/>
      <c r="EA357" s="22"/>
      <c r="EB357" s="22"/>
      <c r="EC357" s="22"/>
      <c r="ED357" s="22"/>
      <c r="EE357" s="22"/>
      <c r="EF357" s="22"/>
      <c r="EG357" s="22"/>
      <c r="EH357" s="22"/>
      <c r="EI357" s="22"/>
      <c r="EJ357" s="22"/>
      <c r="EK357" s="22"/>
      <c r="EL357" s="22"/>
      <c r="EM357" s="22"/>
      <c r="EN357" s="22"/>
      <c r="EO357" s="22"/>
      <c r="EP357" s="22"/>
      <c r="EQ357" s="22"/>
      <c r="ER357" s="22"/>
      <c r="ES357" s="22"/>
      <c r="ET357" s="22"/>
      <c r="EU357" s="22"/>
      <c r="EV357" s="22"/>
      <c r="EW357" s="22"/>
      <c r="EX357" s="22"/>
      <c r="EY357" s="22"/>
      <c r="EZ357" s="22"/>
      <c r="FA357" s="22"/>
      <c r="FB357" s="22"/>
      <c r="FC357" s="22"/>
      <c r="FD357" s="22"/>
      <c r="FE357" s="22"/>
      <c r="FF357" s="22"/>
      <c r="FG357" s="22"/>
      <c r="FH357" s="22"/>
      <c r="FI357" s="22"/>
      <c r="FJ357" s="22"/>
      <c r="FK357" s="22"/>
      <c r="FL357" s="22"/>
      <c r="FM357" s="22"/>
      <c r="FN357" s="22"/>
      <c r="FO357" s="22"/>
      <c r="FP357" s="22"/>
      <c r="FQ357" s="22"/>
      <c r="FR357" s="22"/>
      <c r="FS357" s="22"/>
      <c r="FT357" s="22"/>
      <c r="FU357" s="22"/>
      <c r="FV357" s="22"/>
      <c r="FW357" s="22"/>
      <c r="FX357" s="22"/>
      <c r="FY357" s="22"/>
      <c r="FZ357" s="22"/>
      <c r="GA357" s="22"/>
      <c r="GB357" s="22"/>
      <c r="GC357" s="22"/>
      <c r="GD357" s="22"/>
      <c r="GE357" s="22"/>
      <c r="GF357" s="22"/>
      <c r="GG357" s="22"/>
      <c r="GH357" s="22"/>
      <c r="GI357" s="22"/>
      <c r="GJ357" s="22"/>
      <c r="GK357" s="22"/>
      <c r="GL357" s="22"/>
      <c r="GM357" s="22"/>
      <c r="GN357" s="22"/>
      <c r="GO357" s="22"/>
      <c r="GP357" s="22"/>
      <c r="GQ357" s="22"/>
      <c r="GR357" s="22"/>
      <c r="GS357" s="22"/>
      <c r="GT357" s="22"/>
      <c r="GU357" s="22"/>
      <c r="GV357" s="22"/>
      <c r="GW357" s="22"/>
      <c r="GX357" s="22"/>
      <c r="GY357" s="22"/>
      <c r="GZ357" s="22"/>
      <c r="HA357" s="22"/>
      <c r="HB357" s="22"/>
      <c r="HC357" s="22"/>
      <c r="HD357" s="22"/>
      <c r="HE357" s="22"/>
      <c r="HF357" s="22"/>
      <c r="HG357" s="22"/>
      <c r="HH357" s="22"/>
      <c r="HI357" s="22"/>
      <c r="HJ357" s="22"/>
      <c r="HK357" s="22"/>
      <c r="HL357" s="22"/>
      <c r="HM357" s="22"/>
      <c r="HN357" s="22"/>
      <c r="HO357" s="22"/>
      <c r="HP357" s="22"/>
      <c r="HQ357" s="22"/>
      <c r="HR357" s="22"/>
      <c r="HS357" s="22"/>
      <c r="HT357" s="22"/>
      <c r="HU357" s="22"/>
      <c r="HV357" s="22"/>
      <c r="HW357" s="22"/>
      <c r="HX357" s="22"/>
      <c r="HY357" s="22"/>
      <c r="HZ357" s="22"/>
      <c r="IA357" s="22"/>
      <c r="IB357" s="22"/>
      <c r="IC357" s="22"/>
      <c r="ID357" s="22"/>
      <c r="IE357" s="22"/>
      <c r="IF357" s="22"/>
      <c r="IG357" s="22"/>
      <c r="IH357" s="22"/>
      <c r="II357" s="22"/>
      <c r="IJ357" s="22"/>
      <c r="IK357" s="22"/>
      <c r="IL357" s="22"/>
      <c r="IM357" s="22"/>
      <c r="IN357" s="22"/>
      <c r="IO357" s="22"/>
      <c r="IP357" s="22"/>
      <c r="IQ357" s="22"/>
      <c r="IR357" s="22"/>
      <c r="IS357" s="22"/>
      <c r="IT357" s="22"/>
      <c r="IU357" s="22"/>
      <c r="IV357" s="22"/>
      <c r="IW357" s="22"/>
      <c r="IX357" s="22"/>
      <c r="IY357" s="22"/>
      <c r="IZ357" s="22"/>
      <c r="JA357" s="22"/>
      <c r="JB357" s="22"/>
      <c r="JC357" s="22"/>
      <c r="JD357" s="22"/>
      <c r="JE357" s="22"/>
      <c r="JF357" s="22"/>
      <c r="JG357" s="22"/>
      <c r="JH357" s="22"/>
      <c r="JI357" s="22"/>
      <c r="JJ357" s="22"/>
      <c r="JK357" s="22"/>
      <c r="JL357" s="22"/>
      <c r="JM357" s="22"/>
      <c r="JN357" s="22"/>
      <c r="JO357" s="22"/>
      <c r="JP357" s="22"/>
      <c r="JQ357" s="22"/>
      <c r="JR357" s="22"/>
      <c r="JS357" s="22"/>
      <c r="JT357" s="22"/>
      <c r="JU357" s="22"/>
      <c r="JV357" s="22"/>
      <c r="JW357" s="22"/>
      <c r="JX357" s="22"/>
      <c r="JY357" s="22"/>
      <c r="JZ357" s="22"/>
      <c r="KA357" s="22"/>
      <c r="KB357" s="22"/>
      <c r="KC357" s="22"/>
      <c r="KD357" s="22"/>
      <c r="KE357" s="22"/>
      <c r="KF357" s="22"/>
      <c r="KG357" s="22"/>
      <c r="KH357" s="22"/>
      <c r="KI357" s="22"/>
      <c r="KJ357" s="22"/>
      <c r="KK357" s="22"/>
      <c r="KL357" s="22"/>
      <c r="KM357" s="22"/>
      <c r="KN357" s="22"/>
      <c r="KO357" s="22"/>
      <c r="KP357" s="22"/>
      <c r="KQ357" s="22"/>
      <c r="KR357" s="22"/>
      <c r="KS357" s="22"/>
      <c r="KT357" s="22"/>
      <c r="KU357" s="22"/>
      <c r="KV357" s="22"/>
      <c r="KW357" s="22"/>
      <c r="KX357" s="22"/>
      <c r="KY357" s="22"/>
      <c r="KZ357" s="22"/>
      <c r="LA357" s="22"/>
      <c r="LB357" s="22"/>
      <c r="LC357" s="22"/>
      <c r="LD357" s="22"/>
      <c r="LE357" s="22"/>
      <c r="LF357" s="22"/>
      <c r="LG357" s="22"/>
      <c r="LH357" s="22"/>
      <c r="LI357" s="22"/>
      <c r="LJ357" s="22"/>
      <c r="LK357" s="22"/>
      <c r="LL357" s="22"/>
      <c r="LM357" s="22"/>
      <c r="LN357" s="22"/>
      <c r="LO357" s="22"/>
      <c r="LP357" s="22"/>
      <c r="LQ357" s="22"/>
      <c r="LR357" s="22"/>
      <c r="LS357" s="22"/>
      <c r="LT357" s="22"/>
      <c r="LU357" s="22"/>
      <c r="LV357" s="22"/>
      <c r="LW357" s="22"/>
      <c r="LX357" s="22"/>
      <c r="LY357" s="22"/>
      <c r="LZ357" s="22"/>
      <c r="MA357" s="22"/>
      <c r="MB357" s="22"/>
      <c r="MC357" s="22"/>
      <c r="MD357" s="22"/>
      <c r="ME357" s="22"/>
      <c r="MF357" s="22"/>
      <c r="MG357" s="22"/>
      <c r="MH357" s="22"/>
      <c r="MI357" s="22"/>
      <c r="MJ357" s="22"/>
      <c r="MK357" s="22"/>
      <c r="ML357" s="22"/>
      <c r="MM357" s="22"/>
      <c r="MN357" s="22"/>
      <c r="MO357" s="22"/>
      <c r="MP357" s="22"/>
      <c r="MQ357" s="22"/>
      <c r="MR357" s="22"/>
      <c r="MS357" s="22"/>
      <c r="MT357" s="22"/>
      <c r="MU357" s="22"/>
      <c r="MV357" s="22"/>
      <c r="MW357" s="22"/>
      <c r="MX357" s="22"/>
      <c r="MY357" s="22"/>
      <c r="MZ357" s="22"/>
      <c r="NA357" s="22"/>
      <c r="NB357" s="22"/>
      <c r="NC357" s="22"/>
      <c r="ND357" s="22"/>
      <c r="NE357" s="22"/>
      <c r="NF357" s="22"/>
      <c r="NG357" s="22"/>
      <c r="NH357" s="22"/>
      <c r="NI357" s="22"/>
      <c r="NJ357" s="22"/>
      <c r="NK357" s="22"/>
      <c r="NL357" s="22"/>
      <c r="NM357" s="22"/>
      <c r="NN357" s="22"/>
      <c r="NO357" s="22"/>
      <c r="NP357" s="22"/>
      <c r="NQ357" s="22"/>
      <c r="NR357" s="22"/>
      <c r="NS357" s="22"/>
      <c r="NT357" s="22"/>
      <c r="NU357" s="22"/>
      <c r="NV357" s="22"/>
      <c r="NW357" s="22"/>
      <c r="NX357" s="22"/>
      <c r="NY357" s="22"/>
      <c r="NZ357" s="22"/>
      <c r="OA357" s="22"/>
      <c r="OB357" s="22"/>
      <c r="OC357" s="22"/>
      <c r="OD357" s="22"/>
      <c r="OE357" s="22"/>
      <c r="OF357" s="22"/>
      <c r="OG357" s="22"/>
      <c r="OH357" s="22"/>
      <c r="OI357" s="22"/>
      <c r="OJ357" s="22"/>
      <c r="OK357" s="22"/>
      <c r="OL357" s="22"/>
      <c r="OM357" s="22"/>
      <c r="ON357" s="22"/>
      <c r="OO357" s="22"/>
      <c r="OP357" s="22"/>
      <c r="OQ357" s="22"/>
      <c r="OR357" s="22"/>
      <c r="OS357" s="22"/>
      <c r="OT357" s="22"/>
      <c r="OU357" s="22"/>
      <c r="OV357" s="22"/>
      <c r="OW357" s="22"/>
      <c r="OX357" s="22"/>
      <c r="OY357" s="22"/>
      <c r="OZ357" s="22"/>
      <c r="PA357" s="22"/>
      <c r="PB357" s="22"/>
      <c r="PC357" s="22"/>
      <c r="PD357" s="22"/>
      <c r="PE357" s="22"/>
      <c r="PF357" s="22"/>
      <c r="PG357" s="22"/>
      <c r="PH357" s="22"/>
      <c r="PI357" s="22"/>
      <c r="PJ357" s="22"/>
      <c r="PK357" s="22"/>
      <c r="PL357" s="22"/>
      <c r="PM357" s="22"/>
      <c r="PN357" s="22"/>
      <c r="PO357" s="22"/>
      <c r="PP357" s="22"/>
      <c r="PQ357" s="22"/>
      <c r="PR357" s="22"/>
      <c r="PS357" s="22"/>
      <c r="PT357" s="22"/>
      <c r="PU357" s="22"/>
      <c r="PV357" s="22"/>
      <c r="PW357" s="22"/>
      <c r="PX357" s="22"/>
      <c r="PY357" s="22"/>
      <c r="PZ357" s="22"/>
      <c r="QA357" s="22"/>
      <c r="QB357" s="22"/>
      <c r="QC357" s="22"/>
      <c r="QD357" s="22"/>
      <c r="QE357" s="22"/>
      <c r="QF357" s="22"/>
      <c r="QG357" s="22"/>
      <c r="QH357" s="22"/>
      <c r="QI357" s="22"/>
      <c r="QJ357" s="22"/>
      <c r="QK357" s="22"/>
      <c r="QL357" s="22"/>
      <c r="QM357" s="22"/>
      <c r="QN357" s="22"/>
      <c r="QO357" s="22"/>
      <c r="QP357" s="22"/>
      <c r="QQ357" s="22"/>
      <c r="QR357" s="22"/>
      <c r="QS357" s="22"/>
      <c r="QT357" s="22"/>
      <c r="QU357" s="22"/>
      <c r="QV357" s="22"/>
      <c r="QW357" s="22"/>
      <c r="QX357" s="22"/>
      <c r="QY357" s="22"/>
      <c r="QZ357" s="22"/>
      <c r="RA357" s="22"/>
      <c r="RB357" s="22"/>
      <c r="RC357" s="22"/>
      <c r="RD357" s="22"/>
      <c r="RE357" s="22"/>
      <c r="RF357" s="22"/>
      <c r="RG357" s="22"/>
      <c r="RH357" s="22"/>
      <c r="RI357" s="22"/>
      <c r="RJ357" s="22"/>
      <c r="RK357" s="22"/>
      <c r="RL357" s="22"/>
      <c r="RM357" s="22"/>
      <c r="RN357" s="22"/>
      <c r="RO357" s="22"/>
      <c r="RP357" s="22"/>
      <c r="RQ357" s="22"/>
      <c r="RR357" s="22"/>
      <c r="RS357" s="22"/>
      <c r="RT357" s="22"/>
      <c r="RU357" s="22"/>
      <c r="RV357" s="22"/>
      <c r="RW357" s="22"/>
      <c r="RX357" s="22"/>
      <c r="RY357" s="22"/>
      <c r="RZ357" s="22"/>
      <c r="SA357" s="22"/>
      <c r="SB357" s="22"/>
      <c r="SC357" s="22"/>
      <c r="SD357" s="22"/>
      <c r="SE357" s="22"/>
      <c r="SF357" s="22"/>
      <c r="SG357" s="22"/>
      <c r="SH357" s="22"/>
      <c r="SI357" s="22"/>
      <c r="SJ357" s="22"/>
      <c r="SK357" s="22"/>
      <c r="SL357" s="22"/>
      <c r="SM357" s="22"/>
      <c r="SN357" s="22"/>
      <c r="SO357" s="22"/>
      <c r="SP357" s="22"/>
      <c r="SQ357" s="22"/>
      <c r="SR357" s="22"/>
      <c r="SS357" s="22"/>
      <c r="ST357" s="22"/>
      <c r="SU357" s="22"/>
      <c r="SV357" s="22"/>
      <c r="SW357" s="22"/>
      <c r="SX357" s="22"/>
      <c r="SY357" s="22"/>
      <c r="SZ357" s="22"/>
      <c r="TA357" s="22"/>
      <c r="TB357" s="22"/>
      <c r="TC357" s="22"/>
      <c r="TD357" s="22"/>
      <c r="TE357" s="22"/>
      <c r="TF357" s="22"/>
      <c r="TG357" s="22"/>
      <c r="TH357" s="22"/>
      <c r="TI357" s="22"/>
      <c r="TJ357" s="22"/>
      <c r="TK357" s="22"/>
      <c r="TL357" s="22"/>
      <c r="TM357" s="22"/>
      <c r="TN357" s="22"/>
      <c r="TO357" s="22"/>
      <c r="TP357" s="22"/>
      <c r="TQ357" s="22"/>
      <c r="TR357" s="22"/>
      <c r="TS357" s="22"/>
      <c r="TT357" s="22"/>
      <c r="TU357" s="22"/>
      <c r="TV357" s="22"/>
      <c r="TW357" s="22"/>
      <c r="TX357" s="22"/>
      <c r="TY357" s="22"/>
      <c r="TZ357" s="22"/>
      <c r="UA357" s="22"/>
      <c r="UB357" s="22"/>
      <c r="UC357" s="22"/>
      <c r="UD357" s="22"/>
      <c r="UE357" s="22"/>
      <c r="UF357" s="22"/>
      <c r="UG357" s="22"/>
      <c r="UH357" s="22"/>
      <c r="UI357" s="22"/>
      <c r="UJ357" s="22"/>
      <c r="UK357" s="22"/>
      <c r="UL357" s="22"/>
      <c r="UM357" s="22"/>
      <c r="UN357" s="22"/>
      <c r="UO357" s="22"/>
      <c r="UP357" s="22"/>
      <c r="UQ357" s="22"/>
      <c r="UR357" s="22"/>
      <c r="US357" s="22"/>
      <c r="UT357" s="22"/>
      <c r="UU357" s="22"/>
      <c r="UV357" s="22"/>
      <c r="UW357" s="22"/>
      <c r="UX357" s="22"/>
      <c r="UY357" s="22"/>
      <c r="UZ357" s="22"/>
      <c r="VA357" s="22"/>
      <c r="VB357" s="22"/>
      <c r="VC357" s="22"/>
      <c r="VD357" s="22"/>
      <c r="VE357" s="22"/>
      <c r="VF357" s="22"/>
      <c r="VG357" s="22"/>
      <c r="VH357" s="22"/>
      <c r="VI357" s="22"/>
      <c r="VJ357" s="22"/>
      <c r="VK357" s="22"/>
      <c r="VL357" s="22"/>
      <c r="VM357" s="22"/>
      <c r="VN357" s="22"/>
      <c r="VO357" s="22"/>
      <c r="VP357" s="22"/>
      <c r="VQ357" s="22"/>
      <c r="VR357" s="22"/>
      <c r="VS357" s="22"/>
      <c r="VT357" s="22"/>
      <c r="VU357" s="22"/>
      <c r="VV357" s="22"/>
      <c r="VW357" s="22"/>
      <c r="VX357" s="22"/>
      <c r="VY357" s="22"/>
      <c r="VZ357" s="22"/>
      <c r="WA357" s="22"/>
      <c r="WB357" s="22"/>
      <c r="WC357" s="22"/>
      <c r="WD357" s="22"/>
      <c r="WE357" s="22"/>
      <c r="WF357" s="22"/>
      <c r="WG357" s="22"/>
      <c r="WH357" s="22"/>
      <c r="WI357" s="22"/>
      <c r="WJ357" s="22"/>
      <c r="WK357" s="22"/>
      <c r="WL357" s="22"/>
      <c r="WM357" s="22"/>
      <c r="WN357" s="22"/>
      <c r="WO357" s="22"/>
      <c r="WP357" s="22"/>
      <c r="WQ357" s="22"/>
      <c r="WR357" s="22"/>
      <c r="WS357" s="22"/>
      <c r="WT357" s="22"/>
      <c r="WU357" s="22"/>
      <c r="WV357" s="22"/>
      <c r="WW357" s="22"/>
      <c r="WX357" s="22"/>
      <c r="WY357" s="22"/>
      <c r="WZ357" s="22"/>
      <c r="XA357" s="22"/>
      <c r="XB357" s="22"/>
      <c r="XC357" s="22"/>
      <c r="XD357" s="22"/>
      <c r="XE357" s="22"/>
      <c r="XF357" s="22"/>
      <c r="XG357" s="22"/>
      <c r="XH357" s="22"/>
      <c r="XI357" s="22"/>
      <c r="XJ357" s="22"/>
      <c r="XK357" s="22"/>
      <c r="XL357" s="22"/>
      <c r="XM357" s="22"/>
      <c r="XN357" s="22"/>
      <c r="XO357" s="22"/>
      <c r="XP357" s="22"/>
      <c r="XQ357" s="22"/>
      <c r="XR357" s="22"/>
      <c r="XS357" s="22"/>
      <c r="XT357" s="22"/>
      <c r="XU357" s="22"/>
      <c r="XV357" s="22"/>
      <c r="XW357" s="22"/>
      <c r="XX357" s="22"/>
      <c r="XY357" s="22"/>
      <c r="XZ357" s="22"/>
      <c r="YA357" s="22"/>
      <c r="YB357" s="22"/>
      <c r="YC357" s="22"/>
      <c r="YD357" s="22"/>
      <c r="YE357" s="22"/>
      <c r="YF357" s="22"/>
      <c r="YG357" s="22"/>
      <c r="YH357" s="22"/>
      <c r="YI357" s="22"/>
      <c r="YJ357" s="22"/>
      <c r="YK357" s="22"/>
      <c r="YL357" s="22"/>
      <c r="YM357" s="22"/>
      <c r="YN357" s="22"/>
      <c r="YO357" s="22"/>
      <c r="YP357" s="22"/>
      <c r="YQ357" s="22"/>
      <c r="YR357" s="22"/>
      <c r="YS357" s="22"/>
      <c r="YT357" s="22"/>
      <c r="YU357" s="22"/>
      <c r="YV357" s="22"/>
      <c r="YW357" s="22"/>
      <c r="YX357" s="22"/>
      <c r="YY357" s="22"/>
      <c r="YZ357" s="22"/>
      <c r="ZA357" s="22"/>
      <c r="ZB357" s="22"/>
      <c r="ZC357" s="22"/>
      <c r="ZD357" s="22"/>
      <c r="ZE357" s="22"/>
      <c r="ZF357" s="22"/>
      <c r="ZG357" s="22"/>
      <c r="ZH357" s="22"/>
      <c r="ZI357" s="22"/>
      <c r="ZJ357" s="22"/>
      <c r="ZK357" s="22"/>
      <c r="ZL357" s="22"/>
      <c r="ZM357" s="22"/>
      <c r="ZN357" s="22"/>
      <c r="ZO357" s="22"/>
      <c r="ZP357" s="22"/>
      <c r="ZQ357" s="22"/>
      <c r="ZR357" s="22"/>
      <c r="ZS357" s="22"/>
      <c r="ZT357" s="22"/>
      <c r="ZU357" s="22"/>
      <c r="ZV357" s="22"/>
      <c r="ZW357" s="22"/>
      <c r="ZX357" s="22"/>
      <c r="ZY357" s="22"/>
      <c r="ZZ357" s="22"/>
      <c r="AAA357" s="22"/>
      <c r="AAB357" s="22"/>
      <c r="AAC357" s="22"/>
      <c r="AAD357" s="22"/>
      <c r="AAE357" s="22"/>
      <c r="AAF357" s="22"/>
      <c r="AAG357" s="22"/>
      <c r="AAH357" s="22"/>
      <c r="AAI357" s="22"/>
      <c r="AAJ357" s="22"/>
      <c r="AAK357" s="22"/>
      <c r="AAL357" s="22"/>
      <c r="AAM357" s="22"/>
      <c r="AAN357" s="22"/>
      <c r="AAO357" s="22"/>
      <c r="AAP357" s="22"/>
      <c r="AAQ357" s="22"/>
      <c r="AAR357" s="22"/>
      <c r="AAS357" s="22"/>
      <c r="AAT357" s="22"/>
      <c r="AAU357" s="22"/>
      <c r="AAV357" s="22"/>
      <c r="AAW357" s="22"/>
      <c r="AAX357" s="22"/>
      <c r="AAY357" s="22"/>
      <c r="AAZ357" s="22"/>
      <c r="ABA357" s="22"/>
      <c r="ABB357" s="22"/>
      <c r="ABC357" s="22"/>
      <c r="ABD357" s="22"/>
      <c r="ABE357" s="22"/>
      <c r="ABF357" s="22"/>
      <c r="ABG357" s="22"/>
      <c r="ABH357" s="22"/>
      <c r="ABI357" s="22"/>
      <c r="ABJ357" s="22"/>
      <c r="ABK357" s="22"/>
      <c r="ABL357" s="22"/>
      <c r="ABM357" s="22"/>
      <c r="ABN357" s="22"/>
      <c r="ABO357" s="22"/>
      <c r="ABP357" s="22"/>
      <c r="ABQ357" s="22"/>
      <c r="ABR357" s="22"/>
      <c r="ABS357" s="22"/>
      <c r="ABT357" s="22"/>
      <c r="ABU357" s="22"/>
      <c r="ABV357" s="22"/>
      <c r="ABW357" s="22"/>
      <c r="ABX357" s="22"/>
      <c r="ABY357" s="22"/>
      <c r="ABZ357" s="22"/>
      <c r="ACA357" s="22"/>
      <c r="ACB357" s="22"/>
      <c r="ACC357" s="22"/>
      <c r="ACD357" s="22"/>
      <c r="ACE357" s="22"/>
      <c r="ACF357" s="22"/>
      <c r="ACG357" s="22"/>
      <c r="ACH357" s="22"/>
      <c r="ACI357" s="22"/>
      <c r="ACJ357" s="22"/>
      <c r="ACK357" s="22"/>
      <c r="ACL357" s="22"/>
      <c r="ACM357" s="22"/>
      <c r="ACN357" s="22"/>
      <c r="ACO357" s="22"/>
      <c r="ACP357" s="22"/>
      <c r="ACQ357" s="22"/>
      <c r="ACR357" s="22"/>
      <c r="ACS357" s="22"/>
      <c r="ACT357" s="22"/>
      <c r="ACU357" s="22"/>
      <c r="ACV357" s="22"/>
      <c r="ACW357" s="22"/>
      <c r="ACX357" s="22"/>
      <c r="ACY357" s="22"/>
      <c r="ACZ357" s="22"/>
      <c r="ADA357" s="22"/>
      <c r="ADB357" s="22"/>
      <c r="ADC357" s="22"/>
      <c r="ADD357" s="22"/>
      <c r="ADE357" s="22"/>
      <c r="ADF357" s="22"/>
      <c r="ADG357" s="22"/>
      <c r="ADH357" s="22"/>
      <c r="ADI357" s="22"/>
      <c r="ADJ357" s="22"/>
      <c r="ADK357" s="22"/>
      <c r="ADL357" s="22"/>
      <c r="ADM357" s="22"/>
      <c r="ADN357" s="22"/>
      <c r="ADO357" s="22"/>
      <c r="ADP357" s="22"/>
      <c r="ADQ357" s="22"/>
      <c r="ADR357" s="22"/>
      <c r="ADS357" s="22"/>
      <c r="ADT357" s="22"/>
      <c r="ADU357" s="22"/>
      <c r="ADV357" s="22"/>
      <c r="ADW357" s="22"/>
      <c r="ADX357" s="22"/>
      <c r="ADY357" s="22"/>
      <c r="ADZ357" s="22"/>
      <c r="AEA357" s="22"/>
      <c r="AEB357" s="22"/>
      <c r="AEC357" s="22"/>
      <c r="AED357" s="22"/>
      <c r="AEE357" s="22"/>
      <c r="AEF357" s="22"/>
      <c r="AEG357" s="22"/>
      <c r="AEH357" s="22"/>
      <c r="AEI357" s="22"/>
      <c r="AEJ357" s="22"/>
      <c r="AEK357" s="22"/>
      <c r="AEL357" s="22"/>
      <c r="AEM357" s="22"/>
      <c r="AEN357" s="22"/>
      <c r="AEO357" s="22"/>
      <c r="AEP357" s="22"/>
      <c r="AEQ357" s="22"/>
      <c r="AER357" s="22"/>
      <c r="AES357" s="22"/>
      <c r="AET357" s="22"/>
      <c r="AEU357" s="22"/>
      <c r="AEV357" s="22"/>
      <c r="AEW357" s="22"/>
      <c r="AEX357" s="22"/>
      <c r="AEY357" s="22"/>
      <c r="AEZ357" s="22"/>
      <c r="AFA357" s="22"/>
      <c r="AFB357" s="22"/>
      <c r="AFC357" s="22"/>
      <c r="AFD357" s="22"/>
      <c r="AFE357" s="22"/>
      <c r="AFF357" s="22"/>
      <c r="AFG357" s="22"/>
      <c r="AFH357" s="22"/>
      <c r="AFI357" s="22"/>
      <c r="AFJ357" s="22"/>
      <c r="AFK357" s="22"/>
      <c r="AFL357" s="22"/>
      <c r="AFM357" s="22"/>
      <c r="AFN357" s="22"/>
      <c r="AFO357" s="22"/>
      <c r="AFP357" s="22"/>
      <c r="AFQ357" s="22"/>
      <c r="AFR357" s="22"/>
      <c r="AFS357" s="22"/>
      <c r="AFT357" s="22"/>
      <c r="AFU357" s="22"/>
      <c r="AFV357" s="22"/>
      <c r="AFW357" s="22"/>
      <c r="AFX357" s="22"/>
      <c r="AFY357" s="22"/>
      <c r="AFZ357" s="22"/>
      <c r="AGA357" s="22"/>
      <c r="AGB357" s="22"/>
      <c r="AGC357" s="22"/>
      <c r="AGD357" s="22"/>
      <c r="AGE357" s="22"/>
      <c r="AGF357" s="22"/>
      <c r="AGG357" s="22"/>
      <c r="AGH357" s="22"/>
      <c r="AGI357" s="22"/>
      <c r="AGJ357" s="22"/>
      <c r="AGK357" s="22"/>
      <c r="AGL357" s="22"/>
      <c r="AGM357" s="22"/>
      <c r="AGN357" s="22"/>
      <c r="AGO357" s="22"/>
      <c r="AGP357" s="22"/>
      <c r="AGQ357" s="22"/>
      <c r="AGR357" s="22"/>
      <c r="AGS357" s="22"/>
      <c r="AGT357" s="22"/>
      <c r="AGU357" s="22"/>
      <c r="AGV357" s="22"/>
      <c r="AGW357" s="22"/>
      <c r="AGX357" s="22"/>
      <c r="AGY357" s="22"/>
      <c r="AGZ357" s="22"/>
      <c r="AHA357" s="22"/>
      <c r="AHB357" s="22"/>
      <c r="AHC357" s="22"/>
      <c r="AHD357" s="22"/>
      <c r="AHE357" s="22"/>
      <c r="AHF357" s="22"/>
      <c r="AHG357" s="22"/>
      <c r="AHH357" s="22"/>
      <c r="AHI357" s="22"/>
      <c r="AHJ357" s="22"/>
      <c r="AHK357" s="22"/>
      <c r="AHL357" s="22"/>
      <c r="AHM357" s="22"/>
      <c r="AHN357" s="22"/>
      <c r="AHO357" s="22"/>
      <c r="AHP357" s="22"/>
      <c r="AHQ357" s="22"/>
      <c r="AHR357" s="22"/>
      <c r="AHS357" s="22"/>
      <c r="AHT357" s="22"/>
      <c r="AHU357" s="22"/>
      <c r="AHV357" s="22"/>
      <c r="AHW357" s="22"/>
      <c r="AHX357" s="22"/>
      <c r="AHY357" s="22"/>
      <c r="AHZ357" s="22"/>
      <c r="AIA357" s="22"/>
      <c r="AIB357" s="22"/>
      <c r="AIC357" s="22"/>
      <c r="AID357" s="22"/>
      <c r="AIE357" s="22"/>
      <c r="AIF357" s="22"/>
      <c r="AIG357" s="22"/>
      <c r="AIH357" s="22"/>
      <c r="AII357" s="22"/>
      <c r="AIJ357" s="22"/>
      <c r="AIK357" s="22"/>
      <c r="AIL357" s="22"/>
      <c r="AIM357" s="22"/>
      <c r="AIN357" s="22"/>
      <c r="AIO357" s="22"/>
      <c r="AIP357" s="22"/>
      <c r="AIQ357" s="22"/>
      <c r="AIR357" s="22"/>
      <c r="AIS357" s="22"/>
      <c r="AIT357" s="22"/>
      <c r="AIU357" s="22"/>
      <c r="AIV357" s="22"/>
      <c r="AIW357" s="22"/>
      <c r="AIX357" s="22"/>
      <c r="AIY357" s="22"/>
      <c r="AIZ357" s="22"/>
      <c r="AJA357" s="22"/>
      <c r="AJB357" s="22"/>
      <c r="AJC357" s="22"/>
      <c r="AJD357" s="22"/>
      <c r="AJE357" s="22"/>
      <c r="AJF357" s="22"/>
      <c r="AJG357" s="22"/>
      <c r="AJH357" s="22"/>
      <c r="AJI357" s="22"/>
      <c r="AJJ357" s="22"/>
      <c r="AJK357" s="22"/>
      <c r="AJL357" s="22"/>
      <c r="AJM357" s="22"/>
      <c r="AJN357" s="22"/>
      <c r="AJO357" s="22"/>
      <c r="AJP357" s="22"/>
      <c r="AJQ357" s="22"/>
      <c r="AJR357" s="22"/>
      <c r="AJS357" s="22"/>
      <c r="AJT357" s="22"/>
      <c r="AJU357" s="22"/>
      <c r="AJV357" s="22"/>
      <c r="AJW357" s="22"/>
      <c r="AJX357" s="22"/>
      <c r="AJY357" s="22"/>
      <c r="AJZ357" s="22"/>
      <c r="AKA357" s="22"/>
      <c r="AKB357" s="22"/>
      <c r="AKC357" s="22"/>
      <c r="AKD357" s="22"/>
      <c r="AKE357" s="22"/>
      <c r="AKF357" s="22"/>
      <c r="AKG357" s="22"/>
      <c r="AKH357" s="22"/>
      <c r="AKI357" s="22"/>
      <c r="AKJ357" s="22"/>
      <c r="AKK357" s="22"/>
      <c r="AKL357" s="22"/>
      <c r="AKM357" s="22"/>
      <c r="AKN357" s="22"/>
      <c r="AKO357" s="22"/>
      <c r="AKP357" s="22"/>
      <c r="AKQ357" s="22"/>
      <c r="AKR357" s="22"/>
      <c r="AKS357" s="22"/>
      <c r="AKT357" s="22"/>
      <c r="AKU357" s="22"/>
      <c r="AKV357" s="22"/>
      <c r="AKW357" s="22"/>
      <c r="AKX357" s="22"/>
      <c r="AKY357" s="22"/>
      <c r="AKZ357" s="22"/>
      <c r="ALA357" s="22"/>
      <c r="ALB357" s="22"/>
      <c r="ALC357" s="22"/>
      <c r="ALD357" s="22"/>
      <c r="ALE357" s="22"/>
      <c r="ALF357" s="22"/>
      <c r="ALG357" s="22"/>
      <c r="ALH357" s="22"/>
      <c r="ALI357" s="22"/>
      <c r="ALJ357" s="22"/>
      <c r="ALK357" s="22"/>
      <c r="ALL357" s="22"/>
      <c r="ALM357" s="22"/>
      <c r="ALN357" s="22"/>
      <c r="ALO357" s="22"/>
      <c r="ALP357" s="22"/>
      <c r="ALQ357" s="22"/>
      <c r="ALR357" s="22"/>
      <c r="ALS357" s="22"/>
      <c r="ALT357" s="22"/>
      <c r="ALU357" s="22"/>
      <c r="ALV357" s="22"/>
      <c r="ALW357" s="22"/>
      <c r="ALX357" s="22"/>
      <c r="ALY357" s="22"/>
      <c r="ALZ357" s="22"/>
      <c r="AMA357" s="22"/>
      <c r="AMB357" s="22"/>
      <c r="AMC357" s="22"/>
      <c r="AMD357" s="22"/>
      <c r="AME357" s="22"/>
      <c r="AMF357" s="22"/>
      <c r="AMG357" s="22"/>
      <c r="AMH357" s="22"/>
      <c r="AMI357" s="22"/>
      <c r="AMJ357" s="22"/>
      <c r="AMK357" s="22"/>
      <c r="AML357" s="22"/>
      <c r="AMM357" s="22"/>
      <c r="AMN357" s="22"/>
      <c r="AMO357" s="22"/>
      <c r="AMP357" s="22"/>
      <c r="AMQ357" s="22"/>
      <c r="AMR357" s="22"/>
      <c r="AMS357" s="22"/>
      <c r="AMT357" s="22"/>
      <c r="AMU357" s="22"/>
      <c r="AMV357" s="22"/>
      <c r="AMW357" s="22"/>
      <c r="AMX357" s="22"/>
      <c r="AMY357" s="22"/>
      <c r="AMZ357" s="22"/>
      <c r="ANA357" s="22"/>
      <c r="ANB357" s="22"/>
      <c r="ANC357" s="22"/>
      <c r="AND357" s="22"/>
      <c r="ANE357" s="22"/>
      <c r="ANF357" s="22"/>
      <c r="ANG357" s="22"/>
      <c r="ANH357" s="22"/>
      <c r="ANI357" s="22"/>
      <c r="ANJ357" s="22"/>
      <c r="ANK357" s="22"/>
      <c r="ANL357" s="22"/>
      <c r="ANM357" s="22"/>
      <c r="ANN357" s="22"/>
      <c r="ANO357" s="22"/>
      <c r="ANP357" s="22"/>
      <c r="ANQ357" s="22"/>
      <c r="ANR357" s="22"/>
      <c r="ANS357" s="22"/>
      <c r="ANT357" s="22"/>
      <c r="ANU357" s="22"/>
      <c r="ANV357" s="22"/>
      <c r="ANW357" s="22"/>
      <c r="ANX357" s="22"/>
      <c r="ANY357" s="22"/>
      <c r="ANZ357" s="22"/>
      <c r="AOA357" s="22"/>
      <c r="AOB357" s="22"/>
      <c r="AOC357" s="22"/>
      <c r="AOD357" s="22"/>
      <c r="AOE357" s="22"/>
      <c r="AOF357" s="22"/>
      <c r="AOG357" s="22"/>
      <c r="AOH357" s="22"/>
      <c r="AOI357" s="22"/>
      <c r="AOJ357" s="22"/>
      <c r="AOK357" s="22"/>
      <c r="AOL357" s="22"/>
      <c r="AOM357" s="22"/>
      <c r="AON357" s="22"/>
      <c r="AOO357" s="22"/>
      <c r="AOP357" s="22"/>
      <c r="AOQ357" s="22"/>
      <c r="AOR357" s="22"/>
      <c r="AOS357" s="22"/>
      <c r="AOT357" s="22"/>
      <c r="AOU357" s="22"/>
      <c r="AOV357" s="22"/>
      <c r="AOW357" s="22"/>
      <c r="AOX357" s="22"/>
      <c r="AOY357" s="22"/>
      <c r="AOZ357" s="22"/>
      <c r="APA357" s="22"/>
      <c r="APB357" s="22"/>
      <c r="APC357" s="22"/>
      <c r="APD357" s="22"/>
      <c r="APE357" s="22"/>
      <c r="APF357" s="22"/>
      <c r="APG357" s="22"/>
      <c r="APH357" s="22"/>
      <c r="API357" s="22"/>
      <c r="APJ357" s="22"/>
      <c r="APK357" s="22"/>
      <c r="APL357" s="22"/>
      <c r="APM357" s="22"/>
      <c r="APN357" s="22"/>
      <c r="APO357" s="22"/>
      <c r="APP357" s="22"/>
      <c r="APQ357" s="22"/>
      <c r="APR357" s="22"/>
      <c r="APS357" s="22"/>
      <c r="APT357" s="22"/>
      <c r="APU357" s="22"/>
      <c r="APV357" s="22"/>
      <c r="APW357" s="22"/>
      <c r="APX357" s="22"/>
      <c r="APY357" s="22"/>
      <c r="APZ357" s="22"/>
      <c r="AQA357" s="22"/>
      <c r="AQB357" s="22"/>
      <c r="AQC357" s="22"/>
      <c r="AQD357" s="22"/>
      <c r="AQE357" s="22"/>
      <c r="AQF357" s="22"/>
      <c r="AQG357" s="22"/>
      <c r="AQH357" s="22"/>
      <c r="AQI357" s="22"/>
      <c r="AQJ357" s="22"/>
      <c r="AQK357" s="22"/>
      <c r="AQL357" s="22"/>
      <c r="AQM357" s="22"/>
      <c r="AQN357" s="22"/>
      <c r="AQO357" s="22"/>
      <c r="AQP357" s="22"/>
      <c r="AQQ357" s="22"/>
      <c r="AQR357" s="22"/>
      <c r="AQS357" s="22"/>
      <c r="AQT357" s="22"/>
      <c r="AQU357" s="22"/>
      <c r="AQV357" s="22"/>
      <c r="AQW357" s="22"/>
      <c r="AQX357" s="22"/>
      <c r="AQY357" s="22"/>
      <c r="AQZ357" s="22"/>
      <c r="ARA357" s="22"/>
      <c r="ARB357" s="22"/>
      <c r="ARC357" s="22"/>
      <c r="ARD357" s="22"/>
      <c r="ARE357" s="22"/>
      <c r="ARF357" s="22"/>
      <c r="ARG357" s="22"/>
      <c r="ARH357" s="22"/>
      <c r="ARI357" s="22"/>
      <c r="ARJ357" s="22"/>
      <c r="ARK357" s="22"/>
      <c r="ARL357" s="22"/>
      <c r="ARM357" s="22"/>
      <c r="ARN357" s="22"/>
      <c r="ARO357" s="22"/>
      <c r="ARP357" s="22"/>
      <c r="ARQ357" s="22"/>
      <c r="ARR357" s="22"/>
      <c r="ARS357" s="22"/>
      <c r="ART357" s="22"/>
      <c r="ARU357" s="22"/>
      <c r="ARV357" s="22"/>
      <c r="ARW357" s="22"/>
      <c r="ARX357" s="22"/>
      <c r="ARY357" s="22"/>
      <c r="ARZ357" s="22"/>
      <c r="ASA357" s="22"/>
      <c r="ASB357" s="22"/>
      <c r="ASC357" s="22"/>
      <c r="ASD357" s="22"/>
      <c r="ASE357" s="22"/>
      <c r="ASF357" s="22"/>
      <c r="ASG357" s="22"/>
      <c r="ASH357" s="22"/>
      <c r="ASI357" s="22"/>
      <c r="ASJ357" s="22"/>
      <c r="ASK357" s="22"/>
      <c r="ASL357" s="22"/>
      <c r="ASM357" s="22"/>
      <c r="ASN357" s="22"/>
      <c r="ASO357" s="22"/>
      <c r="ASP357" s="22"/>
      <c r="ASQ357" s="22"/>
      <c r="ASR357" s="22"/>
      <c r="ASS357" s="22"/>
      <c r="AST357" s="22"/>
      <c r="ASU357" s="22"/>
      <c r="ASV357" s="22"/>
      <c r="ASW357" s="22"/>
      <c r="ASX357" s="22"/>
      <c r="ASY357" s="22"/>
      <c r="ASZ357" s="22"/>
      <c r="ATA357" s="22"/>
      <c r="ATB357" s="22"/>
      <c r="ATC357" s="22"/>
      <c r="ATD357" s="22"/>
      <c r="ATE357" s="22"/>
      <c r="ATF357" s="22"/>
      <c r="ATG357" s="22"/>
      <c r="ATH357" s="22"/>
      <c r="ATI357" s="22"/>
      <c r="ATJ357" s="22"/>
      <c r="ATK357" s="22"/>
      <c r="ATL357" s="22"/>
      <c r="ATM357" s="22"/>
      <c r="ATN357" s="22"/>
      <c r="ATO357" s="22"/>
      <c r="ATP357" s="22"/>
      <c r="ATQ357" s="22"/>
      <c r="ATR357" s="22"/>
      <c r="ATS357" s="22"/>
      <c r="ATT357" s="22"/>
      <c r="ATU357" s="22"/>
      <c r="ATV357" s="22"/>
      <c r="ATW357" s="22"/>
      <c r="ATX357" s="22"/>
      <c r="ATY357" s="22"/>
      <c r="ATZ357" s="22"/>
      <c r="AUA357" s="22"/>
      <c r="AUB357" s="22"/>
      <c r="AUC357" s="22"/>
      <c r="AUD357" s="22"/>
      <c r="AUE357" s="22"/>
      <c r="AUF357" s="22"/>
      <c r="AUG357" s="22"/>
      <c r="AUH357" s="22"/>
      <c r="AUI357" s="22"/>
      <c r="AUJ357" s="22"/>
      <c r="AUK357" s="22"/>
      <c r="AUL357" s="22"/>
      <c r="AUM357" s="22"/>
      <c r="AUN357" s="22"/>
      <c r="AUO357" s="22"/>
      <c r="AUP357" s="22"/>
      <c r="AUQ357" s="22"/>
      <c r="AUR357" s="22"/>
      <c r="AUS357" s="22"/>
      <c r="AUT357" s="22"/>
      <c r="AUU357" s="22"/>
      <c r="AUV357" s="22"/>
      <c r="AUW357" s="22"/>
      <c r="AUX357" s="22"/>
      <c r="AUY357" s="22"/>
      <c r="AUZ357" s="22"/>
      <c r="AVA357" s="22"/>
      <c r="AVB357" s="22"/>
      <c r="AVC357" s="22"/>
      <c r="AVD357" s="22"/>
      <c r="AVE357" s="22"/>
      <c r="AVF357" s="22"/>
      <c r="AVG357" s="22"/>
      <c r="AVH357" s="22"/>
      <c r="AVI357" s="22"/>
      <c r="AVJ357" s="22"/>
      <c r="AVK357" s="22"/>
      <c r="AVL357" s="22"/>
      <c r="AVM357" s="22"/>
      <c r="AVN357" s="22"/>
      <c r="AVO357" s="22"/>
      <c r="AVP357" s="22"/>
      <c r="AVQ357" s="22"/>
      <c r="AVR357" s="22"/>
      <c r="AVS357" s="22"/>
      <c r="AVT357" s="22"/>
      <c r="AVU357" s="22"/>
      <c r="AVV357" s="22"/>
      <c r="AVW357" s="22"/>
      <c r="AVX357" s="22"/>
      <c r="AVY357" s="22"/>
      <c r="AVZ357" s="22"/>
      <c r="AWA357" s="22"/>
      <c r="AWB357" s="22"/>
      <c r="AWC357" s="22"/>
      <c r="AWD357" s="22"/>
      <c r="AWE357" s="22"/>
      <c r="AWF357" s="22"/>
      <c r="AWG357" s="22"/>
      <c r="AWH357" s="22"/>
      <c r="AWI357" s="22"/>
      <c r="AWJ357" s="22"/>
      <c r="AWK357" s="22"/>
      <c r="AWL357" s="22"/>
      <c r="AWM357" s="22"/>
      <c r="AWN357" s="22"/>
      <c r="AWO357" s="22"/>
      <c r="AWP357" s="22"/>
      <c r="AWQ357" s="22"/>
      <c r="AWR357" s="22"/>
      <c r="AWS357" s="22"/>
      <c r="AWT357" s="22"/>
      <c r="AWU357" s="22"/>
      <c r="AWV357" s="22"/>
      <c r="AWW357" s="22"/>
      <c r="AWX357" s="22"/>
      <c r="AWY357" s="22"/>
      <c r="AWZ357" s="22"/>
      <c r="AXA357" s="22"/>
      <c r="AXB357" s="22"/>
      <c r="AXC357" s="22"/>
      <c r="AXD357" s="22"/>
      <c r="AXE357" s="22"/>
      <c r="AXF357" s="22"/>
      <c r="AXG357" s="22"/>
      <c r="AXH357" s="22"/>
      <c r="AXI357" s="22"/>
      <c r="AXJ357" s="22"/>
      <c r="AXK357" s="22"/>
      <c r="AXL357" s="22"/>
      <c r="AXM357" s="22"/>
      <c r="AXN357" s="22"/>
      <c r="AXO357" s="22"/>
      <c r="AXP357" s="22"/>
      <c r="AXQ357" s="22"/>
      <c r="AXR357" s="22"/>
      <c r="AXS357" s="22"/>
      <c r="AXT357" s="22"/>
      <c r="AXU357" s="22"/>
      <c r="AXV357" s="22"/>
      <c r="AXW357" s="22"/>
      <c r="AXX357" s="22"/>
      <c r="AXY357" s="22"/>
      <c r="AXZ357" s="22"/>
      <c r="AYA357" s="22"/>
      <c r="AYB357" s="22"/>
      <c r="AYC357" s="22"/>
      <c r="AYD357" s="22"/>
      <c r="AYE357" s="22"/>
      <c r="AYF357" s="22"/>
      <c r="AYG357" s="22"/>
      <c r="AYH357" s="22"/>
      <c r="AYI357" s="22"/>
      <c r="AYJ357" s="22"/>
      <c r="AYK357" s="22"/>
      <c r="AYL357" s="22"/>
      <c r="AYM357" s="22"/>
      <c r="AYN357" s="22"/>
      <c r="AYO357" s="22"/>
      <c r="AYP357" s="22"/>
      <c r="AYQ357" s="22"/>
      <c r="AYR357" s="22"/>
      <c r="AYS357" s="22"/>
      <c r="AYT357" s="22"/>
      <c r="AYU357" s="22"/>
      <c r="AYV357" s="22"/>
      <c r="AYW357" s="22"/>
      <c r="AYX357" s="22"/>
      <c r="AYY357" s="22"/>
      <c r="AYZ357" s="22"/>
      <c r="AZA357" s="22"/>
      <c r="AZB357" s="22"/>
      <c r="AZC357" s="22"/>
      <c r="AZD357" s="22"/>
      <c r="AZE357" s="22"/>
      <c r="AZF357" s="22"/>
      <c r="AZG357" s="22"/>
      <c r="AZH357" s="22"/>
      <c r="AZI357" s="22"/>
      <c r="AZJ357" s="22"/>
      <c r="AZK357" s="22"/>
      <c r="AZL357" s="22"/>
      <c r="AZM357" s="22"/>
      <c r="AZN357" s="22"/>
      <c r="AZO357" s="22"/>
      <c r="AZP357" s="22"/>
      <c r="AZQ357" s="22"/>
      <c r="AZR357" s="22"/>
      <c r="AZS357" s="22"/>
      <c r="AZT357" s="22"/>
      <c r="AZU357" s="22"/>
      <c r="AZV357" s="22"/>
      <c r="AZW357" s="22"/>
      <c r="AZX357" s="22"/>
      <c r="AZY357" s="22"/>
      <c r="AZZ357" s="22"/>
      <c r="BAA357" s="22"/>
      <c r="BAB357" s="22"/>
      <c r="BAC357" s="22"/>
      <c r="BAD357" s="22"/>
      <c r="BAE357" s="22"/>
      <c r="BAF357" s="22"/>
      <c r="BAG357" s="22"/>
      <c r="BAH357" s="22"/>
      <c r="BAI357" s="22"/>
      <c r="BAJ357" s="22"/>
      <c r="BAK357" s="22"/>
      <c r="BAL357" s="22"/>
      <c r="BAM357" s="22"/>
      <c r="BAN357" s="22"/>
      <c r="BAO357" s="22"/>
      <c r="BAP357" s="22"/>
      <c r="BAQ357" s="22"/>
      <c r="BAR357" s="22"/>
      <c r="BAS357" s="22"/>
      <c r="BAT357" s="22"/>
      <c r="BAU357" s="22"/>
      <c r="BAV357" s="22"/>
      <c r="BAW357" s="22"/>
      <c r="BAX357" s="22"/>
      <c r="BAY357" s="22"/>
      <c r="BAZ357" s="22"/>
      <c r="BBA357" s="22"/>
      <c r="BBB357" s="22"/>
      <c r="BBC357" s="22"/>
      <c r="BBD357" s="22"/>
      <c r="BBE357" s="22"/>
      <c r="BBF357" s="22"/>
      <c r="BBG357" s="22"/>
      <c r="BBH357" s="22"/>
      <c r="BBI357" s="22"/>
      <c r="BBJ357" s="22"/>
      <c r="BBK357" s="22"/>
      <c r="BBL357" s="22"/>
      <c r="BBM357" s="22"/>
      <c r="BBN357" s="22"/>
      <c r="BBO357" s="22"/>
      <c r="BBP357" s="22"/>
      <c r="BBQ357" s="22"/>
      <c r="BBR357" s="22"/>
      <c r="BBS357" s="22"/>
      <c r="BBT357" s="22"/>
      <c r="BBU357" s="22"/>
      <c r="BBV357" s="22"/>
      <c r="BBW357" s="22"/>
      <c r="BBX357" s="22"/>
      <c r="BBY357" s="22"/>
      <c r="BBZ357" s="22"/>
      <c r="BCA357" s="22"/>
      <c r="BCB357" s="22"/>
      <c r="BCC357" s="22"/>
      <c r="BCD357" s="22"/>
      <c r="BCE357" s="22"/>
      <c r="BCF357" s="22"/>
      <c r="BCG357" s="22"/>
      <c r="BCH357" s="22"/>
      <c r="BCI357" s="22"/>
      <c r="BCJ357" s="22"/>
      <c r="BCK357" s="22"/>
      <c r="BCL357" s="22"/>
      <c r="BCM357" s="22"/>
      <c r="BCN357" s="22"/>
      <c r="BCO357" s="22"/>
      <c r="BCP357" s="22"/>
      <c r="BCQ357" s="22"/>
      <c r="BCR357" s="22"/>
      <c r="BCS357" s="22"/>
      <c r="BCT357" s="22"/>
      <c r="BCU357" s="22"/>
      <c r="BCV357" s="22"/>
      <c r="BCW357" s="22"/>
      <c r="BCX357" s="22"/>
      <c r="BCY357" s="22"/>
      <c r="BCZ357" s="22"/>
      <c r="BDA357" s="22"/>
      <c r="BDB357" s="22"/>
      <c r="BDC357" s="22"/>
      <c r="BDD357" s="22"/>
      <c r="BDE357" s="22"/>
      <c r="BDF357" s="22"/>
      <c r="BDG357" s="22"/>
      <c r="BDH357" s="22"/>
      <c r="BDI357" s="22"/>
      <c r="BDJ357" s="22"/>
      <c r="BDK357" s="22"/>
      <c r="BDL357" s="22"/>
      <c r="BDM357" s="22"/>
      <c r="BDN357" s="22"/>
      <c r="BDO357" s="22"/>
      <c r="BDP357" s="22"/>
      <c r="BDQ357" s="22"/>
      <c r="BDR357" s="22"/>
      <c r="BDS357" s="22"/>
      <c r="BDT357" s="22"/>
      <c r="BDU357" s="22"/>
      <c r="BDV357" s="22"/>
      <c r="BDW357" s="22"/>
      <c r="BDX357" s="22"/>
      <c r="BDY357" s="22"/>
      <c r="BDZ357" s="22"/>
      <c r="BEA357" s="22"/>
      <c r="BEB357" s="22"/>
      <c r="BEC357" s="22"/>
      <c r="BED357" s="22"/>
      <c r="BEE357" s="22"/>
      <c r="BEF357" s="22"/>
      <c r="BEG357" s="22"/>
      <c r="BEH357" s="22"/>
      <c r="BEI357" s="22"/>
      <c r="BEJ357" s="22"/>
      <c r="BEK357" s="22"/>
      <c r="BEL357" s="22"/>
      <c r="BEM357" s="22"/>
      <c r="BEN357" s="22"/>
      <c r="BEO357" s="22"/>
      <c r="BEP357" s="22"/>
      <c r="BEQ357" s="22"/>
      <c r="BER357" s="22"/>
      <c r="BES357" s="22"/>
      <c r="BET357" s="22"/>
      <c r="BEU357" s="22"/>
      <c r="BEV357" s="22"/>
      <c r="BEW357" s="22"/>
      <c r="BEX357" s="22"/>
      <c r="BEY357" s="22"/>
      <c r="BEZ357" s="22"/>
      <c r="BFA357" s="22"/>
      <c r="BFB357" s="22"/>
      <c r="BFC357" s="22"/>
      <c r="BFD357" s="22"/>
      <c r="BFE357" s="22"/>
      <c r="BFF357" s="22"/>
      <c r="BFG357" s="22"/>
      <c r="BFH357" s="22"/>
      <c r="BFI357" s="22"/>
      <c r="BFJ357" s="22"/>
      <c r="BFK357" s="22"/>
      <c r="BFL357" s="22"/>
      <c r="BFM357" s="22"/>
      <c r="BFN357" s="22"/>
      <c r="BFO357" s="22"/>
      <c r="BFP357" s="22"/>
      <c r="BFQ357" s="22"/>
      <c r="BFR357" s="22"/>
      <c r="BFS357" s="22"/>
      <c r="BFT357" s="22"/>
      <c r="BFU357" s="22"/>
      <c r="BFV357" s="22"/>
      <c r="BFW357" s="22"/>
      <c r="BFX357" s="22"/>
      <c r="BFY357" s="22"/>
      <c r="BFZ357" s="22"/>
      <c r="BGA357" s="22"/>
      <c r="BGB357" s="22"/>
      <c r="BGC357" s="22"/>
      <c r="BGD357" s="22"/>
      <c r="BGE357" s="22"/>
      <c r="BGF357" s="22"/>
      <c r="BGG357" s="22"/>
      <c r="BGH357" s="22"/>
      <c r="BGI357" s="22"/>
      <c r="BGJ357" s="22"/>
      <c r="BGK357" s="22"/>
      <c r="BGL357" s="22"/>
      <c r="BGM357" s="22"/>
      <c r="BGN357" s="22"/>
      <c r="BGO357" s="22"/>
      <c r="BGP357" s="22"/>
      <c r="BGQ357" s="22"/>
      <c r="BGR357" s="22"/>
      <c r="BGS357" s="22"/>
      <c r="BGT357" s="22"/>
      <c r="BGU357" s="22"/>
      <c r="BGV357" s="22"/>
      <c r="BGW357" s="22"/>
      <c r="BGX357" s="22"/>
      <c r="BGY357" s="22"/>
      <c r="BGZ357" s="22"/>
      <c r="BHA357" s="22"/>
      <c r="BHB357" s="22"/>
      <c r="BHC357" s="22"/>
      <c r="BHD357" s="22"/>
      <c r="BHE357" s="22"/>
      <c r="BHF357" s="22"/>
      <c r="BHG357" s="22"/>
      <c r="BHH357" s="22"/>
      <c r="BHI357" s="22"/>
      <c r="BHJ357" s="22"/>
      <c r="BHK357" s="22"/>
      <c r="BHL357" s="22"/>
      <c r="BHM357" s="22"/>
      <c r="BHN357" s="22"/>
      <c r="BHO357" s="22"/>
      <c r="BHP357" s="22"/>
      <c r="BHQ357" s="22"/>
      <c r="BHR357" s="22"/>
      <c r="BHS357" s="22"/>
      <c r="BHT357" s="22"/>
      <c r="BHU357" s="22"/>
      <c r="BHV357" s="22"/>
      <c r="BHW357" s="22"/>
      <c r="BHX357" s="22"/>
      <c r="BHY357" s="22"/>
      <c r="BHZ357" s="22"/>
      <c r="BIA357" s="22"/>
      <c r="BIB357" s="22"/>
      <c r="BIC357" s="22"/>
      <c r="BID357" s="22"/>
      <c r="BIE357" s="22"/>
      <c r="BIF357" s="22"/>
      <c r="BIG357" s="22"/>
      <c r="BIH357" s="22"/>
      <c r="BII357" s="22"/>
      <c r="BIJ357" s="22"/>
      <c r="BIK357" s="22"/>
      <c r="BIL357" s="22"/>
      <c r="BIM357" s="22"/>
      <c r="BIN357" s="22"/>
      <c r="BIO357" s="22"/>
      <c r="BIP357" s="22"/>
      <c r="BIQ357" s="22"/>
      <c r="BIR357" s="22"/>
      <c r="BIS357" s="22"/>
      <c r="BIT357" s="22"/>
      <c r="BIU357" s="22"/>
      <c r="BIV357" s="22"/>
      <c r="BIW357" s="22"/>
      <c r="BIX357" s="22"/>
      <c r="BIY357" s="22"/>
      <c r="BIZ357" s="22"/>
      <c r="BJA357" s="22"/>
      <c r="BJB357" s="22"/>
      <c r="BJC357" s="22"/>
      <c r="BJD357" s="22"/>
      <c r="BJE357" s="22"/>
      <c r="BJF357" s="22"/>
      <c r="BJG357" s="22"/>
      <c r="BJH357" s="22"/>
      <c r="BJI357" s="22"/>
      <c r="BJJ357" s="22"/>
      <c r="BJK357" s="22"/>
      <c r="BJL357" s="22"/>
      <c r="BJM357" s="22"/>
      <c r="BJN357" s="22"/>
      <c r="BJO357" s="22"/>
      <c r="BJP357" s="22"/>
      <c r="BJQ357" s="22"/>
      <c r="BJR357" s="22"/>
      <c r="BJS357" s="22"/>
      <c r="BJT357" s="22"/>
      <c r="BJU357" s="22"/>
      <c r="BJV357" s="22"/>
      <c r="BJW357" s="22"/>
      <c r="BJX357" s="22"/>
      <c r="BJY357" s="22"/>
      <c r="BJZ357" s="22"/>
      <c r="BKA357" s="22"/>
      <c r="BKB357" s="22"/>
      <c r="BKC357" s="22"/>
      <c r="BKD357" s="22"/>
      <c r="BKE357" s="22"/>
      <c r="BKF357" s="22"/>
      <c r="BKG357" s="22"/>
      <c r="BKH357" s="22"/>
      <c r="BKI357" s="22"/>
      <c r="BKJ357" s="22"/>
      <c r="BKK357" s="22"/>
      <c r="BKL357" s="22"/>
      <c r="BKM357" s="22"/>
      <c r="BKN357" s="22"/>
      <c r="BKO357" s="22"/>
      <c r="BKP357" s="22"/>
      <c r="BKQ357" s="22"/>
      <c r="BKR357" s="22"/>
      <c r="BKS357" s="22"/>
      <c r="BKT357" s="22"/>
      <c r="BKU357" s="22"/>
      <c r="BKV357" s="22"/>
      <c r="BKW357" s="22"/>
      <c r="BKX357" s="22"/>
      <c r="BKY357" s="22"/>
      <c r="BKZ357" s="22"/>
      <c r="BLA357" s="22"/>
      <c r="BLB357" s="22"/>
      <c r="BLC357" s="22"/>
      <c r="BLD357" s="22"/>
      <c r="BLE357" s="22"/>
      <c r="BLF357" s="22"/>
      <c r="BLG357" s="22"/>
      <c r="BLH357" s="22"/>
      <c r="BLI357" s="22"/>
      <c r="BLJ357" s="22"/>
      <c r="BLK357" s="22"/>
      <c r="BLL357" s="22"/>
      <c r="BLM357" s="22"/>
      <c r="BLN357" s="22"/>
      <c r="BLO357" s="22"/>
      <c r="BLP357" s="22"/>
      <c r="BLQ357" s="22"/>
      <c r="BLR357" s="22"/>
      <c r="BLS357" s="22"/>
      <c r="BLT357" s="22"/>
      <c r="BLU357" s="22"/>
      <c r="BLV357" s="22"/>
      <c r="BLW357" s="22"/>
      <c r="BLX357" s="22"/>
      <c r="BLY357" s="22"/>
      <c r="BLZ357" s="22"/>
      <c r="BMA357" s="22"/>
      <c r="BMB357" s="22"/>
      <c r="BMC357" s="22"/>
      <c r="BMD357" s="22"/>
      <c r="BME357" s="22"/>
      <c r="BMF357" s="22"/>
      <c r="BMG357" s="22"/>
      <c r="BMH357" s="22"/>
      <c r="BMI357" s="22"/>
      <c r="BMJ357" s="22"/>
      <c r="BMK357" s="22"/>
      <c r="BML357" s="22"/>
      <c r="BMM357" s="22"/>
      <c r="BMN357" s="22"/>
      <c r="BMO357" s="22"/>
      <c r="BMP357" s="22"/>
      <c r="BMQ357" s="22"/>
      <c r="BMR357" s="22"/>
      <c r="BMS357" s="22"/>
      <c r="BMT357" s="22"/>
      <c r="BMU357" s="22"/>
      <c r="BMV357" s="22"/>
      <c r="BMW357" s="22"/>
      <c r="BMX357" s="22"/>
      <c r="BMY357" s="22"/>
      <c r="BMZ357" s="22"/>
      <c r="BNA357" s="22"/>
      <c r="BNB357" s="22"/>
      <c r="BNC357" s="22"/>
      <c r="BND357" s="22"/>
      <c r="BNE357" s="22"/>
      <c r="BNF357" s="22"/>
      <c r="BNG357" s="22"/>
      <c r="BNH357" s="22"/>
      <c r="BNI357" s="22"/>
      <c r="BNJ357" s="22"/>
      <c r="BNK357" s="22"/>
      <c r="BNL357" s="22"/>
      <c r="BNM357" s="22"/>
      <c r="BNN357" s="22"/>
      <c r="BNO357" s="22"/>
      <c r="BNP357" s="22"/>
      <c r="BNQ357" s="22"/>
      <c r="BNR357" s="22"/>
      <c r="BNS357" s="22"/>
      <c r="BNT357" s="22"/>
      <c r="BNU357" s="22"/>
      <c r="BNV357" s="22"/>
      <c r="BNW357" s="22"/>
      <c r="BNX357" s="22"/>
      <c r="BNY357" s="22"/>
      <c r="BNZ357" s="22"/>
      <c r="BOA357" s="22"/>
      <c r="BOB357" s="22"/>
      <c r="BOC357" s="22"/>
      <c r="BOD357" s="22"/>
      <c r="BOE357" s="22"/>
      <c r="BOF357" s="22"/>
      <c r="BOG357" s="22"/>
      <c r="BOH357" s="22"/>
      <c r="BOI357" s="22"/>
      <c r="BOJ357" s="22"/>
      <c r="BOK357" s="22"/>
      <c r="BOL357" s="22"/>
      <c r="BOM357" s="22"/>
      <c r="BON357" s="22"/>
      <c r="BOO357" s="22"/>
      <c r="BOP357" s="22"/>
      <c r="BOQ357" s="22"/>
      <c r="BOR357" s="22"/>
      <c r="BOS357" s="22"/>
      <c r="BOT357" s="22"/>
      <c r="BOU357" s="22"/>
      <c r="BOV357" s="22"/>
      <c r="BOW357" s="22"/>
      <c r="BOX357" s="22"/>
      <c r="BOY357" s="22"/>
      <c r="BOZ357" s="22"/>
      <c r="BPA357" s="22"/>
      <c r="BPB357" s="22"/>
      <c r="BPC357" s="22"/>
      <c r="BPD357" s="22"/>
      <c r="BPE357" s="22"/>
      <c r="BPF357" s="22"/>
      <c r="BPG357" s="22"/>
      <c r="BPH357" s="22"/>
      <c r="BPI357" s="22"/>
      <c r="BPJ357" s="22"/>
      <c r="BPK357" s="22"/>
      <c r="BPL357" s="22"/>
      <c r="BPM357" s="22"/>
      <c r="BPN357" s="22"/>
      <c r="BPO357" s="22"/>
      <c r="BPP357" s="22"/>
      <c r="BPQ357" s="22"/>
      <c r="BPR357" s="22"/>
      <c r="BPS357" s="22"/>
      <c r="BPT357" s="22"/>
      <c r="BPU357" s="22"/>
      <c r="BPV357" s="22"/>
      <c r="BPW357" s="22"/>
      <c r="BPX357" s="22"/>
      <c r="BPY357" s="22"/>
      <c r="BPZ357" s="22"/>
      <c r="BQA357" s="22"/>
      <c r="BQB357" s="22"/>
      <c r="BQC357" s="22"/>
      <c r="BQD357" s="22"/>
      <c r="BQE357" s="22"/>
      <c r="BQF357" s="22"/>
      <c r="BQG357" s="22"/>
      <c r="BQH357" s="22"/>
      <c r="BQI357" s="22"/>
      <c r="BQJ357" s="22"/>
      <c r="BQK357" s="22"/>
      <c r="BQL357" s="22"/>
      <c r="BQM357" s="22"/>
      <c r="BQN357" s="22"/>
      <c r="BQO357" s="22"/>
      <c r="BQP357" s="22"/>
      <c r="BQQ357" s="22"/>
      <c r="BQR357" s="22"/>
      <c r="BQS357" s="22"/>
      <c r="BQT357" s="22"/>
      <c r="BQU357" s="22"/>
      <c r="BQV357" s="22"/>
      <c r="BQW357" s="22"/>
      <c r="BQX357" s="22"/>
      <c r="BQY357" s="22"/>
      <c r="BQZ357" s="22"/>
      <c r="BRA357" s="22"/>
      <c r="BRB357" s="22"/>
      <c r="BRC357" s="22"/>
      <c r="BRD357" s="22"/>
      <c r="BRE357" s="22"/>
      <c r="BRF357" s="22"/>
      <c r="BRG357" s="22"/>
      <c r="BRH357" s="22"/>
      <c r="BRI357" s="22"/>
      <c r="BRJ357" s="22"/>
      <c r="BRK357" s="22"/>
      <c r="BRL357" s="22"/>
      <c r="BRM357" s="22"/>
      <c r="BRN357" s="22"/>
      <c r="BRO357" s="22"/>
      <c r="BRP357" s="22"/>
      <c r="BRQ357" s="22"/>
      <c r="BRR357" s="22"/>
      <c r="BRS357" s="22"/>
      <c r="BRT357" s="22"/>
      <c r="BRU357" s="22"/>
      <c r="BRV357" s="22"/>
      <c r="BRW357" s="22"/>
      <c r="BRX357" s="22"/>
      <c r="BRY357" s="22"/>
      <c r="BRZ357" s="22"/>
      <c r="BSA357" s="22"/>
      <c r="BSB357" s="22"/>
      <c r="BSC357" s="22"/>
      <c r="BSD357" s="22"/>
      <c r="BSE357" s="22"/>
      <c r="BSF357" s="22"/>
      <c r="BSG357" s="22"/>
      <c r="BSH357" s="22"/>
      <c r="BSI357" s="22"/>
      <c r="BSJ357" s="22"/>
      <c r="BSK357" s="22"/>
      <c r="BSL357" s="22"/>
      <c r="BSM357" s="22"/>
      <c r="BSN357" s="22"/>
      <c r="BSO357" s="22"/>
      <c r="BSP357" s="22"/>
      <c r="BSQ357" s="22"/>
      <c r="BSR357" s="22"/>
      <c r="BSS357" s="22"/>
      <c r="BST357" s="22"/>
      <c r="BSU357" s="22"/>
      <c r="BSV357" s="22"/>
      <c r="BSW357" s="22"/>
      <c r="BSX357" s="22"/>
      <c r="BSY357" s="22"/>
      <c r="BSZ357" s="22"/>
      <c r="BTA357" s="22"/>
      <c r="BTB357" s="22"/>
      <c r="BTC357" s="22"/>
      <c r="BTD357" s="22"/>
      <c r="BTE357" s="22"/>
      <c r="BTF357" s="22"/>
      <c r="BTG357" s="22"/>
      <c r="BTH357" s="22"/>
      <c r="BTI357" s="22"/>
      <c r="BTJ357" s="22"/>
      <c r="BTK357" s="22"/>
      <c r="BTL357" s="22"/>
      <c r="BTM357" s="22"/>
      <c r="BTN357" s="22"/>
      <c r="BTO357" s="22"/>
      <c r="BTP357" s="22"/>
      <c r="BTQ357" s="22"/>
      <c r="BTR357" s="22"/>
      <c r="BTS357" s="22"/>
      <c r="BTT357" s="22"/>
      <c r="BTU357" s="22"/>
      <c r="BTV357" s="22"/>
      <c r="BTW357" s="22"/>
      <c r="BTX357" s="22"/>
      <c r="BTY357" s="22"/>
      <c r="BTZ357" s="22"/>
      <c r="BUA357" s="22"/>
      <c r="BUB357" s="22"/>
      <c r="BUC357" s="22"/>
      <c r="BUD357" s="22"/>
      <c r="BUE357" s="22"/>
      <c r="BUF357" s="22"/>
      <c r="BUG357" s="22"/>
      <c r="BUH357" s="22"/>
      <c r="BUI357" s="22"/>
      <c r="BUJ357" s="22"/>
      <c r="BUK357" s="22"/>
      <c r="BUL357" s="22"/>
      <c r="BUM357" s="22"/>
      <c r="BUN357" s="22"/>
      <c r="BUO357" s="22"/>
      <c r="BUP357" s="22"/>
      <c r="BUQ357" s="22"/>
      <c r="BUR357" s="22"/>
      <c r="BUS357" s="22"/>
      <c r="BUT357" s="22"/>
      <c r="BUU357" s="22"/>
      <c r="BUV357" s="22"/>
      <c r="BUW357" s="22"/>
      <c r="BUX357" s="22"/>
      <c r="BUY357" s="22"/>
      <c r="BUZ357" s="22"/>
      <c r="BVA357" s="22"/>
      <c r="BVB357" s="22"/>
      <c r="BVC357" s="22"/>
      <c r="BVD357" s="22"/>
      <c r="BVE357" s="22"/>
      <c r="BVF357" s="22"/>
      <c r="BVG357" s="22"/>
      <c r="BVH357" s="22"/>
      <c r="BVI357" s="22"/>
      <c r="BVJ357" s="22"/>
      <c r="BVK357" s="22"/>
      <c r="BVL357" s="22"/>
      <c r="BVM357" s="22"/>
      <c r="BVN357" s="22"/>
      <c r="BVO357" s="22"/>
      <c r="BVP357" s="22"/>
      <c r="BVQ357" s="22"/>
      <c r="BVR357" s="22"/>
      <c r="BVS357" s="22"/>
      <c r="BVT357" s="22"/>
      <c r="BVU357" s="22"/>
      <c r="BVV357" s="22"/>
      <c r="BVW357" s="22"/>
      <c r="BVX357" s="22"/>
      <c r="BVY357" s="22"/>
      <c r="BVZ357" s="22"/>
      <c r="BWA357" s="22"/>
      <c r="BWB357" s="22"/>
      <c r="BWC357" s="22"/>
      <c r="BWD357" s="22"/>
      <c r="BWE357" s="22"/>
      <c r="BWF357" s="22"/>
      <c r="BWG357" s="22"/>
      <c r="BWH357" s="22"/>
      <c r="BWI357" s="22"/>
      <c r="BWJ357" s="22"/>
      <c r="BWK357" s="22"/>
      <c r="BWL357" s="22"/>
      <c r="BWM357" s="22"/>
      <c r="BWN357" s="22"/>
      <c r="BWO357" s="22"/>
      <c r="BWP357" s="22"/>
      <c r="BWQ357" s="22"/>
      <c r="BWR357" s="22"/>
      <c r="BWS357" s="22"/>
      <c r="BWT357" s="22"/>
      <c r="BWU357" s="22"/>
      <c r="BWV357" s="22"/>
      <c r="BWW357" s="22"/>
      <c r="BWX357" s="22"/>
      <c r="BWY357" s="22"/>
      <c r="BWZ357" s="22"/>
      <c r="BXA357" s="22"/>
      <c r="BXB357" s="22"/>
      <c r="BXC357" s="22"/>
      <c r="BXD357" s="22"/>
      <c r="BXE357" s="22"/>
      <c r="BXF357" s="22"/>
      <c r="BXG357" s="22"/>
      <c r="BXH357" s="22"/>
      <c r="BXI357" s="22"/>
      <c r="BXJ357" s="22"/>
      <c r="BXK357" s="22"/>
      <c r="BXL357" s="22"/>
      <c r="BXM357" s="22"/>
      <c r="BXN357" s="22"/>
      <c r="BXO357" s="22"/>
      <c r="BXP357" s="22"/>
      <c r="BXQ357" s="22"/>
      <c r="BXR357" s="22"/>
      <c r="BXS357" s="22"/>
      <c r="BXT357" s="22"/>
      <c r="BXU357" s="22"/>
      <c r="BXV357" s="22"/>
      <c r="BXW357" s="22"/>
      <c r="BXX357" s="22"/>
      <c r="BXY357" s="22"/>
      <c r="BXZ357" s="22"/>
      <c r="BYA357" s="22"/>
      <c r="BYB357" s="22"/>
      <c r="BYC357" s="22"/>
      <c r="BYD357" s="22"/>
      <c r="BYE357" s="22"/>
      <c r="BYF357" s="22"/>
      <c r="BYG357" s="22"/>
      <c r="BYH357" s="22"/>
      <c r="BYI357" s="22"/>
      <c r="BYJ357" s="22"/>
      <c r="BYK357" s="22"/>
      <c r="BYL357" s="22"/>
      <c r="BYM357" s="22"/>
      <c r="BYN357" s="22"/>
      <c r="BYO357" s="22"/>
      <c r="BYP357" s="22"/>
      <c r="BYQ357" s="22"/>
      <c r="BYR357" s="22"/>
      <c r="BYS357" s="22"/>
      <c r="BYT357" s="22"/>
      <c r="BYU357" s="22"/>
      <c r="BYV357" s="22"/>
      <c r="BYW357" s="22"/>
      <c r="BYX357" s="22"/>
      <c r="BYY357" s="22"/>
      <c r="BYZ357" s="22"/>
      <c r="BZA357" s="22"/>
      <c r="BZB357" s="22"/>
      <c r="BZC357" s="22"/>
      <c r="BZD357" s="22"/>
      <c r="BZE357" s="22"/>
      <c r="BZF357" s="22"/>
      <c r="BZG357" s="22"/>
      <c r="BZH357" s="22"/>
      <c r="BZI357" s="22"/>
      <c r="BZJ357" s="22"/>
      <c r="BZK357" s="22"/>
      <c r="BZL357" s="22"/>
      <c r="BZM357" s="22"/>
      <c r="BZN357" s="22"/>
      <c r="BZO357" s="22"/>
      <c r="BZP357" s="22"/>
      <c r="BZQ357" s="22"/>
      <c r="BZR357" s="22"/>
      <c r="BZS357" s="22"/>
      <c r="BZT357" s="22"/>
      <c r="BZU357" s="22"/>
      <c r="BZV357" s="22"/>
      <c r="BZW357" s="22"/>
      <c r="BZX357" s="22"/>
      <c r="BZY357" s="22"/>
      <c r="BZZ357" s="22"/>
      <c r="CAA357" s="22"/>
      <c r="CAB357" s="22"/>
      <c r="CAC357" s="22"/>
      <c r="CAD357" s="22"/>
      <c r="CAE357" s="22"/>
      <c r="CAF357" s="22"/>
      <c r="CAG357" s="22"/>
      <c r="CAH357" s="22"/>
      <c r="CAI357" s="22"/>
      <c r="CAJ357" s="22"/>
      <c r="CAK357" s="22"/>
      <c r="CAL357" s="22"/>
      <c r="CAM357" s="22"/>
      <c r="CAN357" s="22"/>
      <c r="CAO357" s="22"/>
      <c r="CAP357" s="22"/>
      <c r="CAQ357" s="22"/>
      <c r="CAR357" s="22"/>
      <c r="CAS357" s="22"/>
      <c r="CAT357" s="22"/>
      <c r="CAU357" s="22"/>
      <c r="CAV357" s="22"/>
      <c r="CAW357" s="22"/>
      <c r="CAX357" s="22"/>
      <c r="CAY357" s="22"/>
      <c r="CAZ357" s="22"/>
      <c r="CBA357" s="22"/>
      <c r="CBB357" s="22"/>
      <c r="CBC357" s="22"/>
      <c r="CBD357" s="22"/>
      <c r="CBE357" s="22"/>
      <c r="CBF357" s="22"/>
      <c r="CBG357" s="22"/>
      <c r="CBH357" s="22"/>
      <c r="CBI357" s="22"/>
      <c r="CBJ357" s="22"/>
      <c r="CBK357" s="22"/>
      <c r="CBL357" s="22"/>
      <c r="CBM357" s="22"/>
      <c r="CBN357" s="22"/>
      <c r="CBO357" s="22"/>
      <c r="CBP357" s="22"/>
      <c r="CBQ357" s="22"/>
      <c r="CBR357" s="22"/>
      <c r="CBS357" s="22"/>
      <c r="CBT357" s="22"/>
      <c r="CBU357" s="22"/>
      <c r="CBV357" s="22"/>
      <c r="CBW357" s="22"/>
      <c r="CBX357" s="22"/>
      <c r="CBY357" s="22"/>
      <c r="CBZ357" s="22"/>
      <c r="CCA357" s="22"/>
      <c r="CCB357" s="22"/>
      <c r="CCC357" s="22"/>
      <c r="CCD357" s="22"/>
      <c r="CCE357" s="22"/>
      <c r="CCF357" s="22"/>
      <c r="CCG357" s="22"/>
      <c r="CCH357" s="22"/>
      <c r="CCI357" s="22"/>
      <c r="CCJ357" s="22"/>
      <c r="CCK357" s="22"/>
      <c r="CCL357" s="22"/>
      <c r="CCM357" s="22"/>
      <c r="CCN357" s="22"/>
      <c r="CCO357" s="22"/>
      <c r="CCP357" s="22"/>
      <c r="CCQ357" s="22"/>
      <c r="CCR357" s="22"/>
      <c r="CCS357" s="22"/>
      <c r="CCT357" s="22"/>
      <c r="CCU357" s="22"/>
      <c r="CCV357" s="22"/>
      <c r="CCW357" s="22"/>
      <c r="CCX357" s="22"/>
      <c r="CCY357" s="22"/>
      <c r="CCZ357" s="22"/>
      <c r="CDA357" s="22"/>
      <c r="CDB357" s="22"/>
      <c r="CDC357" s="22"/>
      <c r="CDD357" s="22"/>
      <c r="CDE357" s="22"/>
      <c r="CDF357" s="22"/>
      <c r="CDG357" s="22"/>
      <c r="CDH357" s="22"/>
      <c r="CDI357" s="22"/>
      <c r="CDJ357" s="22"/>
      <c r="CDK357" s="22"/>
      <c r="CDL357" s="22"/>
      <c r="CDM357" s="22"/>
      <c r="CDN357" s="22"/>
      <c r="CDO357" s="22"/>
      <c r="CDP357" s="22"/>
      <c r="CDQ357" s="22"/>
      <c r="CDR357" s="22"/>
      <c r="CDS357" s="22"/>
      <c r="CDT357" s="22"/>
      <c r="CDU357" s="22"/>
      <c r="CDV357" s="22"/>
      <c r="CDW357" s="22"/>
      <c r="CDX357" s="22"/>
      <c r="CDY357" s="22"/>
      <c r="CDZ357" s="22"/>
      <c r="CEA357" s="22"/>
      <c r="CEB357" s="22"/>
      <c r="CEC357" s="22"/>
      <c r="CED357" s="22"/>
      <c r="CEE357" s="22"/>
      <c r="CEF357" s="22"/>
      <c r="CEG357" s="22"/>
      <c r="CEH357" s="22"/>
      <c r="CEI357" s="22"/>
      <c r="CEJ357" s="22"/>
      <c r="CEK357" s="22"/>
      <c r="CEL357" s="22"/>
      <c r="CEM357" s="22"/>
      <c r="CEN357" s="22"/>
      <c r="CEO357" s="22"/>
      <c r="CEP357" s="22"/>
      <c r="CEQ357" s="22"/>
      <c r="CER357" s="22"/>
      <c r="CES357" s="22"/>
      <c r="CET357" s="22"/>
      <c r="CEU357" s="22"/>
      <c r="CEV357" s="22"/>
      <c r="CEW357" s="22"/>
      <c r="CEX357" s="22"/>
      <c r="CEY357" s="22"/>
      <c r="CEZ357" s="22"/>
      <c r="CFA357" s="22"/>
      <c r="CFB357" s="22"/>
      <c r="CFC357" s="22"/>
      <c r="CFD357" s="22"/>
      <c r="CFE357" s="22"/>
      <c r="CFF357" s="22"/>
      <c r="CFG357" s="22"/>
      <c r="CFH357" s="22"/>
      <c r="CFI357" s="22"/>
      <c r="CFJ357" s="22"/>
      <c r="CFK357" s="22"/>
      <c r="CFL357" s="22"/>
      <c r="CFM357" s="22"/>
      <c r="CFN357" s="22"/>
      <c r="CFO357" s="22"/>
      <c r="CFP357" s="22"/>
      <c r="CFQ357" s="22"/>
      <c r="CFR357" s="22"/>
      <c r="CFS357" s="22"/>
      <c r="CFT357" s="22"/>
      <c r="CFU357" s="22"/>
      <c r="CFV357" s="22"/>
      <c r="CFW357" s="22"/>
      <c r="CFX357" s="22"/>
      <c r="CFY357" s="22"/>
      <c r="CFZ357" s="22"/>
      <c r="CGA357" s="22"/>
      <c r="CGB357" s="22"/>
      <c r="CGC357" s="22"/>
      <c r="CGD357" s="22"/>
      <c r="CGE357" s="22"/>
      <c r="CGF357" s="22"/>
      <c r="CGG357" s="22"/>
      <c r="CGH357" s="22"/>
      <c r="CGI357" s="22"/>
      <c r="CGJ357" s="22"/>
      <c r="CGK357" s="22"/>
      <c r="CGL357" s="22"/>
      <c r="CGM357" s="22"/>
      <c r="CGN357" s="22"/>
      <c r="CGO357" s="22"/>
      <c r="CGP357" s="22"/>
      <c r="CGQ357" s="22"/>
      <c r="CGR357" s="22"/>
      <c r="CGS357" s="22"/>
      <c r="CGT357" s="22"/>
      <c r="CGU357" s="22"/>
      <c r="CGV357" s="22"/>
      <c r="CGW357" s="22"/>
      <c r="CGX357" s="22"/>
      <c r="CGY357" s="22"/>
      <c r="CGZ357" s="22"/>
      <c r="CHA357" s="22"/>
      <c r="CHB357" s="22"/>
      <c r="CHC357" s="22"/>
      <c r="CHD357" s="22"/>
      <c r="CHE357" s="22"/>
      <c r="CHF357" s="22"/>
      <c r="CHG357" s="22"/>
      <c r="CHH357" s="22"/>
      <c r="CHI357" s="22"/>
      <c r="CHJ357" s="22"/>
      <c r="CHK357" s="22"/>
      <c r="CHL357" s="22"/>
      <c r="CHM357" s="22"/>
      <c r="CHN357" s="22"/>
      <c r="CHO357" s="22"/>
      <c r="CHP357" s="22"/>
      <c r="CHQ357" s="22"/>
      <c r="CHR357" s="22"/>
      <c r="CHS357" s="22"/>
      <c r="CHT357" s="22"/>
      <c r="CHU357" s="22"/>
      <c r="CHV357" s="22"/>
      <c r="CHW357" s="22"/>
      <c r="CHX357" s="22"/>
      <c r="CHY357" s="22"/>
      <c r="CHZ357" s="22"/>
      <c r="CIA357" s="22"/>
      <c r="CIB357" s="22"/>
      <c r="CIC357" s="22"/>
      <c r="CID357" s="22"/>
      <c r="CIE357" s="22"/>
      <c r="CIF357" s="22"/>
      <c r="CIG357" s="22"/>
      <c r="CIH357" s="22"/>
      <c r="CII357" s="22"/>
      <c r="CIJ357" s="22"/>
      <c r="CIK357" s="22"/>
      <c r="CIL357" s="22"/>
      <c r="CIM357" s="22"/>
      <c r="CIN357" s="22"/>
      <c r="CIO357" s="22"/>
      <c r="CIP357" s="22"/>
      <c r="CIQ357" s="22"/>
      <c r="CIR357" s="22"/>
      <c r="CIS357" s="22"/>
      <c r="CIT357" s="22"/>
      <c r="CIU357" s="22"/>
      <c r="CIV357" s="22"/>
      <c r="CIW357" s="22"/>
      <c r="CIX357" s="22"/>
      <c r="CIY357" s="22"/>
      <c r="CIZ357" s="22"/>
      <c r="CJA357" s="22"/>
      <c r="CJB357" s="22"/>
      <c r="CJC357" s="22"/>
      <c r="CJD357" s="22"/>
      <c r="CJE357" s="22"/>
      <c r="CJF357" s="22"/>
      <c r="CJG357" s="22"/>
      <c r="CJH357" s="22"/>
      <c r="CJI357" s="22"/>
      <c r="CJJ357" s="22"/>
      <c r="CJK357" s="22"/>
      <c r="CJL357" s="22"/>
      <c r="CJM357" s="22"/>
      <c r="CJN357" s="22"/>
      <c r="CJO357" s="22"/>
      <c r="CJP357" s="22"/>
      <c r="CJQ357" s="22"/>
      <c r="CJR357" s="22"/>
      <c r="CJS357" s="22"/>
      <c r="CJT357" s="22"/>
      <c r="CJU357" s="22"/>
      <c r="CJV357" s="22"/>
      <c r="CJW357" s="22"/>
      <c r="CJX357" s="22"/>
      <c r="CJY357" s="22"/>
      <c r="CJZ357" s="22"/>
      <c r="CKA357" s="22"/>
      <c r="CKB357" s="22"/>
      <c r="CKC357" s="22"/>
      <c r="CKD357" s="22"/>
      <c r="CKE357" s="22"/>
      <c r="CKF357" s="22"/>
      <c r="CKG357" s="22"/>
      <c r="CKH357" s="22"/>
      <c r="CKI357" s="22"/>
      <c r="CKJ357" s="22"/>
      <c r="CKK357" s="22"/>
      <c r="CKL357" s="22"/>
      <c r="CKM357" s="22"/>
      <c r="CKN357" s="22"/>
      <c r="CKO357" s="22"/>
      <c r="CKP357" s="22"/>
      <c r="CKQ357" s="22"/>
      <c r="CKR357" s="22"/>
      <c r="CKS357" s="22"/>
      <c r="CKT357" s="22"/>
      <c r="CKU357" s="22"/>
      <c r="CKV357" s="22"/>
      <c r="CKW357" s="22"/>
      <c r="CKX357" s="22"/>
      <c r="CKY357" s="22"/>
      <c r="CKZ357" s="22"/>
      <c r="CLA357" s="22"/>
      <c r="CLB357" s="22"/>
      <c r="CLC357" s="22"/>
      <c r="CLD357" s="22"/>
      <c r="CLE357" s="22"/>
      <c r="CLF357" s="22"/>
      <c r="CLG357" s="22"/>
      <c r="CLH357" s="22"/>
      <c r="CLI357" s="22"/>
      <c r="CLJ357" s="22"/>
      <c r="CLK357" s="22"/>
      <c r="CLL357" s="22"/>
      <c r="CLM357" s="22"/>
      <c r="CLN357" s="22"/>
      <c r="CLO357" s="22"/>
      <c r="CLP357" s="22"/>
      <c r="CLQ357" s="22"/>
      <c r="CLR357" s="22"/>
      <c r="CLS357" s="22"/>
      <c r="CLT357" s="22"/>
      <c r="CLU357" s="22"/>
      <c r="CLV357" s="22"/>
      <c r="CLW357" s="22"/>
      <c r="CLX357" s="22"/>
      <c r="CLY357" s="22"/>
      <c r="CLZ357" s="22"/>
      <c r="CMA357" s="22"/>
      <c r="CMB357" s="22"/>
      <c r="CMC357" s="22"/>
      <c r="CMD357" s="22"/>
      <c r="CME357" s="22"/>
      <c r="CMF357" s="22"/>
      <c r="CMG357" s="22"/>
      <c r="CMH357" s="22"/>
      <c r="CMI357" s="22"/>
      <c r="CMJ357" s="22"/>
      <c r="CMK357" s="22"/>
      <c r="CML357" s="22"/>
      <c r="CMM357" s="22"/>
      <c r="CMN357" s="22"/>
      <c r="CMO357" s="22"/>
      <c r="CMP357" s="22"/>
      <c r="CMQ357" s="22"/>
      <c r="CMR357" s="22"/>
      <c r="CMS357" s="22"/>
      <c r="CMT357" s="22"/>
      <c r="CMU357" s="22"/>
      <c r="CMV357" s="22"/>
      <c r="CMW357" s="22"/>
      <c r="CMX357" s="22"/>
      <c r="CMY357" s="22"/>
      <c r="CMZ357" s="22"/>
      <c r="CNA357" s="22"/>
      <c r="CNB357" s="22"/>
      <c r="CNC357" s="22"/>
      <c r="CND357" s="22"/>
      <c r="CNE357" s="22"/>
      <c r="CNF357" s="22"/>
      <c r="CNG357" s="22"/>
      <c r="CNH357" s="22"/>
      <c r="CNI357" s="22"/>
      <c r="CNJ357" s="22"/>
      <c r="CNK357" s="22"/>
      <c r="CNL357" s="22"/>
      <c r="CNM357" s="22"/>
      <c r="CNN357" s="22"/>
      <c r="CNO357" s="22"/>
      <c r="CNP357" s="22"/>
      <c r="CNQ357" s="22"/>
      <c r="CNR357" s="22"/>
      <c r="CNS357" s="22"/>
      <c r="CNT357" s="22"/>
      <c r="CNU357" s="22"/>
      <c r="CNV357" s="22"/>
      <c r="CNW357" s="22"/>
      <c r="CNX357" s="22"/>
      <c r="CNY357" s="22"/>
      <c r="CNZ357" s="22"/>
      <c r="COA357" s="22"/>
      <c r="COB357" s="22"/>
      <c r="COC357" s="22"/>
      <c r="COD357" s="22"/>
      <c r="COE357" s="22"/>
      <c r="COF357" s="22"/>
      <c r="COG357" s="22"/>
      <c r="COH357" s="22"/>
      <c r="COI357" s="22"/>
      <c r="COJ357" s="22"/>
      <c r="COK357" s="22"/>
      <c r="COL357" s="22"/>
      <c r="COM357" s="22"/>
      <c r="CON357" s="22"/>
      <c r="COO357" s="22"/>
      <c r="COP357" s="22"/>
      <c r="COQ357" s="22"/>
      <c r="COR357" s="22"/>
      <c r="COS357" s="22"/>
      <c r="COT357" s="22"/>
      <c r="COU357" s="22"/>
      <c r="COV357" s="22"/>
      <c r="COW357" s="22"/>
      <c r="COX357" s="22"/>
      <c r="COY357" s="22"/>
      <c r="COZ357" s="22"/>
      <c r="CPA357" s="22"/>
      <c r="CPB357" s="22"/>
      <c r="CPC357" s="22"/>
      <c r="CPD357" s="22"/>
      <c r="CPE357" s="22"/>
      <c r="CPF357" s="22"/>
      <c r="CPG357" s="22"/>
      <c r="CPH357" s="22"/>
      <c r="CPI357" s="22"/>
      <c r="CPJ357" s="22"/>
      <c r="CPK357" s="22"/>
      <c r="CPL357" s="22"/>
      <c r="CPM357" s="22"/>
      <c r="CPN357" s="22"/>
      <c r="CPO357" s="22"/>
      <c r="CPP357" s="22"/>
      <c r="CPQ357" s="22"/>
      <c r="CPR357" s="22"/>
      <c r="CPS357" s="22"/>
      <c r="CPT357" s="22"/>
      <c r="CPU357" s="22"/>
      <c r="CPV357" s="22"/>
      <c r="CPW357" s="22"/>
      <c r="CPX357" s="22"/>
      <c r="CPY357" s="22"/>
      <c r="CPZ357" s="22"/>
      <c r="CQA357" s="22"/>
      <c r="CQB357" s="22"/>
      <c r="CQC357" s="22"/>
      <c r="CQD357" s="22"/>
      <c r="CQE357" s="22"/>
      <c r="CQF357" s="22"/>
      <c r="CQG357" s="22"/>
      <c r="CQH357" s="22"/>
      <c r="CQI357" s="22"/>
      <c r="CQJ357" s="22"/>
      <c r="CQK357" s="22"/>
      <c r="CQL357" s="22"/>
      <c r="CQM357" s="22"/>
      <c r="CQN357" s="22"/>
      <c r="CQO357" s="22"/>
      <c r="CQP357" s="22"/>
      <c r="CQQ357" s="22"/>
      <c r="CQR357" s="22"/>
      <c r="CQS357" s="22"/>
      <c r="CQT357" s="22"/>
      <c r="CQU357" s="22"/>
      <c r="CQV357" s="22"/>
      <c r="CQW357" s="22"/>
      <c r="CQX357" s="22"/>
      <c r="CQY357" s="22"/>
      <c r="CQZ357" s="22"/>
      <c r="CRA357" s="22"/>
      <c r="CRB357" s="22"/>
      <c r="CRC357" s="22"/>
      <c r="CRD357" s="22"/>
      <c r="CRE357" s="22"/>
      <c r="CRF357" s="22"/>
      <c r="CRG357" s="22"/>
      <c r="CRH357" s="22"/>
      <c r="CRI357" s="22"/>
      <c r="CRJ357" s="22"/>
      <c r="CRK357" s="22"/>
      <c r="CRL357" s="22"/>
      <c r="CRM357" s="22"/>
      <c r="CRN357" s="22"/>
      <c r="CRO357" s="22"/>
      <c r="CRP357" s="22"/>
      <c r="CRQ357" s="22"/>
      <c r="CRR357" s="22"/>
      <c r="CRS357" s="22"/>
      <c r="CRT357" s="22"/>
      <c r="CRU357" s="22"/>
      <c r="CRV357" s="22"/>
      <c r="CRW357" s="22"/>
      <c r="CRX357" s="22"/>
      <c r="CRY357" s="22"/>
      <c r="CRZ357" s="22"/>
      <c r="CSA357" s="22"/>
      <c r="CSB357" s="22"/>
      <c r="CSC357" s="22"/>
      <c r="CSD357" s="22"/>
      <c r="CSE357" s="22"/>
      <c r="CSF357" s="22"/>
      <c r="CSG357" s="22"/>
      <c r="CSH357" s="22"/>
      <c r="CSI357" s="22"/>
      <c r="CSJ357" s="22"/>
      <c r="CSK357" s="22"/>
      <c r="CSL357" s="22"/>
      <c r="CSM357" s="22"/>
      <c r="CSN357" s="22"/>
      <c r="CSO357" s="22"/>
      <c r="CSP357" s="22"/>
      <c r="CSQ357" s="22"/>
      <c r="CSR357" s="22"/>
      <c r="CSS357" s="22"/>
      <c r="CST357" s="22"/>
      <c r="CSU357" s="22"/>
      <c r="CSV357" s="22"/>
      <c r="CSW357" s="22"/>
      <c r="CSX357" s="22"/>
      <c r="CSY357" s="22"/>
      <c r="CSZ357" s="22"/>
      <c r="CTA357" s="22"/>
      <c r="CTB357" s="22"/>
      <c r="CTC357" s="22"/>
      <c r="CTD357" s="22"/>
      <c r="CTE357" s="22"/>
      <c r="CTF357" s="22"/>
      <c r="CTG357" s="22"/>
      <c r="CTH357" s="22"/>
      <c r="CTI357" s="22"/>
      <c r="CTJ357" s="22"/>
      <c r="CTK357" s="22"/>
      <c r="CTL357" s="22"/>
      <c r="CTM357" s="22"/>
      <c r="CTN357" s="22"/>
      <c r="CTO357" s="22"/>
      <c r="CTP357" s="22"/>
      <c r="CTQ357" s="22"/>
      <c r="CTR357" s="22"/>
      <c r="CTS357" s="22"/>
      <c r="CTT357" s="22"/>
      <c r="CTU357" s="22"/>
      <c r="CTV357" s="22"/>
      <c r="CTW357" s="22"/>
      <c r="CTX357" s="22"/>
      <c r="CTY357" s="22"/>
      <c r="CTZ357" s="22"/>
      <c r="CUA357" s="22"/>
      <c r="CUB357" s="22"/>
      <c r="CUC357" s="22"/>
      <c r="CUD357" s="22"/>
      <c r="CUE357" s="22"/>
      <c r="CUF357" s="22"/>
      <c r="CUG357" s="22"/>
      <c r="CUH357" s="22"/>
      <c r="CUI357" s="22"/>
      <c r="CUJ357" s="22"/>
      <c r="CUK357" s="22"/>
      <c r="CUL357" s="22"/>
      <c r="CUM357" s="22"/>
      <c r="CUN357" s="22"/>
      <c r="CUO357" s="22"/>
      <c r="CUP357" s="22"/>
      <c r="CUQ357" s="22"/>
      <c r="CUR357" s="22"/>
      <c r="CUS357" s="22"/>
      <c r="CUT357" s="22"/>
      <c r="CUU357" s="22"/>
      <c r="CUV357" s="22"/>
      <c r="CUW357" s="22"/>
      <c r="CUX357" s="22"/>
      <c r="CUY357" s="22"/>
      <c r="CUZ357" s="22"/>
      <c r="CVA357" s="22"/>
      <c r="CVB357" s="22"/>
      <c r="CVC357" s="22"/>
      <c r="CVD357" s="22"/>
      <c r="CVE357" s="22"/>
      <c r="CVF357" s="22"/>
      <c r="CVG357" s="22"/>
      <c r="CVH357" s="22"/>
      <c r="CVI357" s="22"/>
      <c r="CVJ357" s="22"/>
      <c r="CVK357" s="22"/>
      <c r="CVL357" s="22"/>
      <c r="CVM357" s="22"/>
      <c r="CVN357" s="22"/>
      <c r="CVO357" s="22"/>
      <c r="CVP357" s="22"/>
      <c r="CVQ357" s="22"/>
      <c r="CVR357" s="22"/>
      <c r="CVS357" s="22"/>
      <c r="CVT357" s="22"/>
      <c r="CVU357" s="22"/>
      <c r="CVV357" s="22"/>
      <c r="CVW357" s="22"/>
      <c r="CVX357" s="22"/>
      <c r="CVY357" s="22"/>
      <c r="CVZ357" s="22"/>
      <c r="CWA357" s="22"/>
      <c r="CWB357" s="22"/>
      <c r="CWC357" s="22"/>
      <c r="CWD357" s="22"/>
      <c r="CWE357" s="22"/>
      <c r="CWF357" s="22"/>
      <c r="CWG357" s="22"/>
      <c r="CWH357" s="22"/>
      <c r="CWI357" s="22"/>
      <c r="CWJ357" s="22"/>
      <c r="CWK357" s="22"/>
      <c r="CWL357" s="22"/>
      <c r="CWM357" s="22"/>
      <c r="CWN357" s="22"/>
      <c r="CWO357" s="22"/>
      <c r="CWP357" s="22"/>
      <c r="CWQ357" s="22"/>
      <c r="CWR357" s="22"/>
      <c r="CWS357" s="22"/>
      <c r="CWT357" s="22"/>
      <c r="CWU357" s="22"/>
      <c r="CWV357" s="22"/>
      <c r="CWW357" s="22"/>
      <c r="CWX357" s="22"/>
      <c r="CWY357" s="22"/>
      <c r="CWZ357" s="22"/>
      <c r="CXA357" s="22"/>
      <c r="CXB357" s="22"/>
      <c r="CXC357" s="22"/>
      <c r="CXD357" s="22"/>
      <c r="CXE357" s="22"/>
      <c r="CXF357" s="22"/>
      <c r="CXG357" s="22"/>
      <c r="CXH357" s="22"/>
      <c r="CXI357" s="22"/>
      <c r="CXJ357" s="22"/>
      <c r="CXK357" s="22"/>
      <c r="CXL357" s="22"/>
      <c r="CXM357" s="22"/>
      <c r="CXN357" s="22"/>
      <c r="CXO357" s="22"/>
      <c r="CXP357" s="22"/>
      <c r="CXQ357" s="22"/>
      <c r="CXR357" s="22"/>
      <c r="CXS357" s="22"/>
      <c r="CXT357" s="22"/>
      <c r="CXU357" s="22"/>
      <c r="CXV357" s="22"/>
      <c r="CXW357" s="22"/>
      <c r="CXX357" s="22"/>
      <c r="CXY357" s="22"/>
      <c r="CXZ357" s="22"/>
      <c r="CYA357" s="22"/>
      <c r="CYB357" s="22"/>
      <c r="CYC357" s="22"/>
      <c r="CYD357" s="22"/>
      <c r="CYE357" s="22"/>
      <c r="CYF357" s="22"/>
      <c r="CYG357" s="22"/>
      <c r="CYH357" s="22"/>
      <c r="CYI357" s="22"/>
      <c r="CYJ357" s="22"/>
      <c r="CYK357" s="22"/>
      <c r="CYL357" s="22"/>
      <c r="CYM357" s="22"/>
      <c r="CYN357" s="22"/>
      <c r="CYO357" s="22"/>
      <c r="CYP357" s="22"/>
      <c r="CYQ357" s="22"/>
      <c r="CYR357" s="22"/>
      <c r="CYS357" s="22"/>
      <c r="CYT357" s="22"/>
      <c r="CYU357" s="22"/>
      <c r="CYV357" s="22"/>
      <c r="CYW357" s="22"/>
      <c r="CYX357" s="22"/>
      <c r="CYY357" s="22"/>
      <c r="CYZ357" s="22"/>
      <c r="CZA357" s="22"/>
      <c r="CZB357" s="22"/>
      <c r="CZC357" s="22"/>
      <c r="CZD357" s="22"/>
      <c r="CZE357" s="22"/>
      <c r="CZF357" s="22"/>
      <c r="CZG357" s="22"/>
      <c r="CZH357" s="22"/>
      <c r="CZI357" s="22"/>
      <c r="CZJ357" s="22"/>
      <c r="CZK357" s="22"/>
      <c r="CZL357" s="22"/>
      <c r="CZM357" s="22"/>
      <c r="CZN357" s="22"/>
      <c r="CZO357" s="22"/>
      <c r="CZP357" s="22"/>
      <c r="CZQ357" s="22"/>
      <c r="CZR357" s="22"/>
      <c r="CZS357" s="22"/>
      <c r="CZT357" s="22"/>
      <c r="CZU357" s="22"/>
      <c r="CZV357" s="22"/>
      <c r="CZW357" s="22"/>
      <c r="CZX357" s="22"/>
      <c r="CZY357" s="22"/>
      <c r="CZZ357" s="22"/>
      <c r="DAA357" s="22"/>
      <c r="DAB357" s="22"/>
      <c r="DAC357" s="22"/>
      <c r="DAD357" s="22"/>
      <c r="DAE357" s="22"/>
      <c r="DAF357" s="22"/>
      <c r="DAG357" s="22"/>
      <c r="DAH357" s="22"/>
      <c r="DAI357" s="22"/>
      <c r="DAJ357" s="22"/>
      <c r="DAK357" s="22"/>
      <c r="DAL357" s="22"/>
      <c r="DAM357" s="22"/>
      <c r="DAN357" s="22"/>
      <c r="DAO357" s="22"/>
      <c r="DAP357" s="22"/>
      <c r="DAQ357" s="22"/>
      <c r="DAR357" s="22"/>
      <c r="DAS357" s="22"/>
      <c r="DAT357" s="22"/>
      <c r="DAU357" s="22"/>
      <c r="DAV357" s="22"/>
      <c r="DAW357" s="22"/>
      <c r="DAX357" s="22"/>
      <c r="DAY357" s="22"/>
      <c r="DAZ357" s="22"/>
      <c r="DBA357" s="22"/>
      <c r="DBB357" s="22"/>
      <c r="DBC357" s="22"/>
      <c r="DBD357" s="22"/>
      <c r="DBE357" s="22"/>
      <c r="DBF357" s="22"/>
      <c r="DBG357" s="22"/>
      <c r="DBH357" s="22"/>
      <c r="DBI357" s="22"/>
      <c r="DBJ357" s="22"/>
      <c r="DBK357" s="22"/>
      <c r="DBL357" s="22"/>
      <c r="DBM357" s="22"/>
      <c r="DBN357" s="22"/>
      <c r="DBO357" s="22"/>
      <c r="DBP357" s="22"/>
      <c r="DBQ357" s="22"/>
      <c r="DBR357" s="22"/>
      <c r="DBS357" s="22"/>
      <c r="DBT357" s="22"/>
      <c r="DBU357" s="22"/>
      <c r="DBV357" s="22"/>
      <c r="DBW357" s="22"/>
      <c r="DBX357" s="22"/>
      <c r="DBY357" s="22"/>
      <c r="DBZ357" s="22"/>
      <c r="DCA357" s="22"/>
      <c r="DCB357" s="22"/>
      <c r="DCC357" s="22"/>
      <c r="DCD357" s="22"/>
      <c r="DCE357" s="22"/>
      <c r="DCF357" s="22"/>
      <c r="DCG357" s="22"/>
      <c r="DCH357" s="22"/>
      <c r="DCI357" s="22"/>
      <c r="DCJ357" s="22"/>
      <c r="DCK357" s="22"/>
      <c r="DCL357" s="22"/>
      <c r="DCM357" s="22"/>
      <c r="DCN357" s="22"/>
      <c r="DCO357" s="22"/>
      <c r="DCP357" s="22"/>
      <c r="DCQ357" s="22"/>
      <c r="DCR357" s="22"/>
      <c r="DCS357" s="22"/>
      <c r="DCT357" s="22"/>
      <c r="DCU357" s="22"/>
      <c r="DCV357" s="22"/>
      <c r="DCW357" s="22"/>
      <c r="DCX357" s="22"/>
      <c r="DCY357" s="22"/>
      <c r="DCZ357" s="22"/>
      <c r="DDA357" s="22"/>
      <c r="DDB357" s="22"/>
      <c r="DDC357" s="22"/>
      <c r="DDD357" s="22"/>
      <c r="DDE357" s="22"/>
      <c r="DDF357" s="22"/>
      <c r="DDG357" s="22"/>
      <c r="DDH357" s="22"/>
      <c r="DDI357" s="22"/>
      <c r="DDJ357" s="22"/>
      <c r="DDK357" s="22"/>
      <c r="DDL357" s="22"/>
      <c r="DDM357" s="22"/>
      <c r="DDN357" s="22"/>
      <c r="DDO357" s="22"/>
      <c r="DDP357" s="22"/>
      <c r="DDQ357" s="22"/>
      <c r="DDR357" s="22"/>
      <c r="DDS357" s="22"/>
      <c r="DDT357" s="22"/>
      <c r="DDU357" s="22"/>
      <c r="DDV357" s="22"/>
      <c r="DDW357" s="22"/>
      <c r="DDX357" s="22"/>
      <c r="DDY357" s="22"/>
      <c r="DDZ357" s="22"/>
      <c r="DEA357" s="22"/>
      <c r="DEB357" s="22"/>
      <c r="DEC357" s="22"/>
      <c r="DED357" s="22"/>
      <c r="DEE357" s="22"/>
      <c r="DEF357" s="22"/>
      <c r="DEG357" s="22"/>
      <c r="DEH357" s="22"/>
      <c r="DEI357" s="22"/>
      <c r="DEJ357" s="22"/>
      <c r="DEK357" s="22"/>
      <c r="DEL357" s="22"/>
      <c r="DEM357" s="22"/>
      <c r="DEN357" s="22"/>
      <c r="DEO357" s="22"/>
      <c r="DEP357" s="22"/>
      <c r="DEQ357" s="22"/>
      <c r="DER357" s="22"/>
      <c r="DES357" s="22"/>
      <c r="DET357" s="22"/>
      <c r="DEU357" s="22"/>
      <c r="DEV357" s="22"/>
      <c r="DEW357" s="22"/>
      <c r="DEX357" s="22"/>
      <c r="DEY357" s="22"/>
      <c r="DEZ357" s="22"/>
      <c r="DFA357" s="22"/>
      <c r="DFB357" s="22"/>
      <c r="DFC357" s="22"/>
      <c r="DFD357" s="22"/>
      <c r="DFE357" s="22"/>
      <c r="DFF357" s="22"/>
      <c r="DFG357" s="22"/>
      <c r="DFH357" s="22"/>
      <c r="DFI357" s="22"/>
      <c r="DFJ357" s="22"/>
      <c r="DFK357" s="22"/>
      <c r="DFL357" s="22"/>
      <c r="DFM357" s="22"/>
      <c r="DFN357" s="22"/>
      <c r="DFO357" s="22"/>
      <c r="DFP357" s="22"/>
      <c r="DFQ357" s="22"/>
      <c r="DFR357" s="22"/>
      <c r="DFS357" s="22"/>
      <c r="DFT357" s="22"/>
      <c r="DFU357" s="22"/>
      <c r="DFV357" s="22"/>
      <c r="DFW357" s="22"/>
      <c r="DFX357" s="22"/>
      <c r="DFY357" s="22"/>
      <c r="DFZ357" s="22"/>
      <c r="DGA357" s="22"/>
      <c r="DGB357" s="22"/>
      <c r="DGC357" s="22"/>
      <c r="DGD357" s="22"/>
      <c r="DGE357" s="22"/>
      <c r="DGF357" s="22"/>
      <c r="DGG357" s="22"/>
      <c r="DGH357" s="22"/>
      <c r="DGI357" s="22"/>
      <c r="DGJ357" s="22"/>
      <c r="DGK357" s="22"/>
      <c r="DGL357" s="22"/>
      <c r="DGM357" s="22"/>
      <c r="DGN357" s="22"/>
      <c r="DGO357" s="22"/>
      <c r="DGP357" s="22"/>
      <c r="DGQ357" s="22"/>
      <c r="DGR357" s="22"/>
      <c r="DGS357" s="22"/>
      <c r="DGT357" s="22"/>
      <c r="DGU357" s="22"/>
      <c r="DGV357" s="22"/>
      <c r="DGW357" s="22"/>
      <c r="DGX357" s="22"/>
      <c r="DGY357" s="22"/>
      <c r="DGZ357" s="22"/>
      <c r="DHA357" s="22"/>
      <c r="DHB357" s="22"/>
      <c r="DHC357" s="22"/>
      <c r="DHD357" s="22"/>
      <c r="DHE357" s="22"/>
      <c r="DHF357" s="22"/>
      <c r="DHG357" s="22"/>
      <c r="DHH357" s="22"/>
      <c r="DHI357" s="22"/>
      <c r="DHJ357" s="22"/>
      <c r="DHK357" s="22"/>
      <c r="DHL357" s="22"/>
      <c r="DHM357" s="22"/>
      <c r="DHN357" s="22"/>
      <c r="DHO357" s="22"/>
      <c r="DHP357" s="22"/>
      <c r="DHQ357" s="22"/>
      <c r="DHR357" s="22"/>
      <c r="DHS357" s="22"/>
      <c r="DHT357" s="22"/>
      <c r="DHU357" s="22"/>
      <c r="DHV357" s="22"/>
      <c r="DHW357" s="22"/>
      <c r="DHX357" s="22"/>
      <c r="DHY357" s="22"/>
      <c r="DHZ357" s="22"/>
      <c r="DIA357" s="22"/>
      <c r="DIB357" s="22"/>
      <c r="DIC357" s="22"/>
      <c r="DID357" s="22"/>
      <c r="DIE357" s="22"/>
      <c r="DIF357" s="22"/>
      <c r="DIG357" s="22"/>
      <c r="DIH357" s="22"/>
      <c r="DII357" s="22"/>
      <c r="DIJ357" s="22"/>
      <c r="DIK357" s="22"/>
      <c r="DIL357" s="22"/>
      <c r="DIM357" s="22"/>
      <c r="DIN357" s="22"/>
      <c r="DIO357" s="22"/>
      <c r="DIP357" s="22"/>
      <c r="DIQ357" s="22"/>
      <c r="DIR357" s="22"/>
      <c r="DIS357" s="22"/>
      <c r="DIT357" s="22"/>
      <c r="DIU357" s="22"/>
      <c r="DIV357" s="22"/>
      <c r="DIW357" s="22"/>
      <c r="DIX357" s="22"/>
      <c r="DIY357" s="22"/>
      <c r="DIZ357" s="22"/>
      <c r="DJA357" s="22"/>
      <c r="DJB357" s="22"/>
      <c r="DJC357" s="22"/>
      <c r="DJD357" s="22"/>
      <c r="DJE357" s="22"/>
      <c r="DJF357" s="22"/>
      <c r="DJG357" s="22"/>
      <c r="DJH357" s="22"/>
      <c r="DJI357" s="22"/>
      <c r="DJJ357" s="22"/>
      <c r="DJK357" s="22"/>
      <c r="DJL357" s="22"/>
      <c r="DJM357" s="22"/>
      <c r="DJN357" s="22"/>
      <c r="DJO357" s="22"/>
      <c r="DJP357" s="22"/>
      <c r="DJQ357" s="22"/>
      <c r="DJR357" s="22"/>
      <c r="DJS357" s="22"/>
      <c r="DJT357" s="22"/>
      <c r="DJU357" s="22"/>
      <c r="DJV357" s="22"/>
      <c r="DJW357" s="22"/>
      <c r="DJX357" s="22"/>
      <c r="DJY357" s="22"/>
      <c r="DJZ357" s="22"/>
      <c r="DKA357" s="22"/>
      <c r="DKB357" s="22"/>
      <c r="DKC357" s="22"/>
      <c r="DKD357" s="22"/>
      <c r="DKE357" s="22"/>
      <c r="DKF357" s="22"/>
      <c r="DKG357" s="22"/>
      <c r="DKH357" s="22"/>
      <c r="DKI357" s="22"/>
      <c r="DKJ357" s="22"/>
      <c r="DKK357" s="22"/>
      <c r="DKL357" s="22"/>
      <c r="DKM357" s="22"/>
      <c r="DKN357" s="22"/>
      <c r="DKO357" s="22"/>
      <c r="DKP357" s="22"/>
      <c r="DKQ357" s="22"/>
      <c r="DKR357" s="22"/>
      <c r="DKS357" s="22"/>
      <c r="DKT357" s="22"/>
      <c r="DKU357" s="22"/>
      <c r="DKV357" s="22"/>
      <c r="DKW357" s="22"/>
      <c r="DKX357" s="22"/>
      <c r="DKY357" s="22"/>
      <c r="DKZ357" s="22"/>
      <c r="DLA357" s="22"/>
      <c r="DLB357" s="22"/>
      <c r="DLC357" s="22"/>
      <c r="DLD357" s="22"/>
      <c r="DLE357" s="22"/>
      <c r="DLF357" s="22"/>
      <c r="DLG357" s="22"/>
      <c r="DLH357" s="22"/>
      <c r="DLI357" s="22"/>
      <c r="DLJ357" s="22"/>
      <c r="DLK357" s="22"/>
      <c r="DLL357" s="22"/>
      <c r="DLM357" s="22"/>
      <c r="DLN357" s="22"/>
      <c r="DLO357" s="22"/>
      <c r="DLP357" s="22"/>
      <c r="DLQ357" s="22"/>
      <c r="DLR357" s="22"/>
      <c r="DLS357" s="22"/>
      <c r="DLT357" s="22"/>
      <c r="DLU357" s="22"/>
      <c r="DLV357" s="22"/>
      <c r="DLW357" s="22"/>
      <c r="DLX357" s="22"/>
      <c r="DLY357" s="22"/>
      <c r="DLZ357" s="22"/>
      <c r="DMA357" s="22"/>
      <c r="DMB357" s="22"/>
      <c r="DMC357" s="22"/>
      <c r="DMD357" s="22"/>
      <c r="DME357" s="22"/>
      <c r="DMF357" s="22"/>
      <c r="DMG357" s="22"/>
      <c r="DMH357" s="22"/>
      <c r="DMI357" s="22"/>
      <c r="DMJ357" s="22"/>
      <c r="DMK357" s="22"/>
      <c r="DML357" s="22"/>
      <c r="DMM357" s="22"/>
      <c r="DMN357" s="22"/>
      <c r="DMO357" s="22"/>
      <c r="DMP357" s="22"/>
      <c r="DMQ357" s="22"/>
      <c r="DMR357" s="22"/>
      <c r="DMS357" s="22"/>
      <c r="DMT357" s="22"/>
      <c r="DMU357" s="22"/>
      <c r="DMV357" s="22"/>
      <c r="DMW357" s="22"/>
      <c r="DMX357" s="22"/>
      <c r="DMY357" s="22"/>
      <c r="DMZ357" s="22"/>
      <c r="DNA357" s="22"/>
      <c r="DNB357" s="22"/>
      <c r="DNC357" s="22"/>
      <c r="DND357" s="22"/>
      <c r="DNE357" s="22"/>
      <c r="DNF357" s="22"/>
      <c r="DNG357" s="22"/>
      <c r="DNH357" s="22"/>
      <c r="DNI357" s="22"/>
      <c r="DNJ357" s="22"/>
      <c r="DNK357" s="22"/>
      <c r="DNL357" s="22"/>
      <c r="DNM357" s="22"/>
      <c r="DNN357" s="22"/>
      <c r="DNO357" s="22"/>
      <c r="DNP357" s="22"/>
      <c r="DNQ357" s="22"/>
      <c r="DNR357" s="22"/>
      <c r="DNS357" s="22"/>
      <c r="DNT357" s="22"/>
      <c r="DNU357" s="22"/>
      <c r="DNV357" s="22"/>
      <c r="DNW357" s="22"/>
      <c r="DNX357" s="22"/>
      <c r="DNY357" s="22"/>
      <c r="DNZ357" s="22"/>
      <c r="DOA357" s="22"/>
      <c r="DOB357" s="22"/>
      <c r="DOC357" s="22"/>
      <c r="DOD357" s="22"/>
      <c r="DOE357" s="22"/>
      <c r="DOF357" s="22"/>
      <c r="DOG357" s="22"/>
      <c r="DOH357" s="22"/>
      <c r="DOI357" s="22"/>
      <c r="DOJ357" s="22"/>
      <c r="DOK357" s="22"/>
      <c r="DOL357" s="22"/>
      <c r="DOM357" s="22"/>
      <c r="DON357" s="22"/>
      <c r="DOO357" s="22"/>
      <c r="DOP357" s="22"/>
      <c r="DOQ357" s="22"/>
      <c r="DOR357" s="22"/>
      <c r="DOS357" s="22"/>
      <c r="DOT357" s="22"/>
      <c r="DOU357" s="22"/>
      <c r="DOV357" s="22"/>
      <c r="DOW357" s="22"/>
      <c r="DOX357" s="22"/>
      <c r="DOY357" s="22"/>
      <c r="DOZ357" s="22"/>
      <c r="DPA357" s="22"/>
      <c r="DPB357" s="22"/>
      <c r="DPC357" s="22"/>
      <c r="DPD357" s="22"/>
      <c r="DPE357" s="22"/>
      <c r="DPF357" s="22"/>
      <c r="DPG357" s="22"/>
      <c r="DPH357" s="22"/>
      <c r="DPI357" s="22"/>
      <c r="DPJ357" s="22"/>
      <c r="DPK357" s="22"/>
      <c r="DPL357" s="22"/>
      <c r="DPM357" s="22"/>
      <c r="DPN357" s="22"/>
      <c r="DPO357" s="22"/>
      <c r="DPP357" s="22"/>
      <c r="DPQ357" s="22"/>
      <c r="DPR357" s="22"/>
      <c r="DPS357" s="22"/>
      <c r="DPT357" s="22"/>
      <c r="DPU357" s="22"/>
      <c r="DPV357" s="22"/>
      <c r="DPW357" s="22"/>
      <c r="DPX357" s="22"/>
      <c r="DPY357" s="22"/>
      <c r="DPZ357" s="22"/>
      <c r="DQA357" s="22"/>
      <c r="DQB357" s="22"/>
      <c r="DQC357" s="22"/>
      <c r="DQD357" s="22"/>
      <c r="DQE357" s="22"/>
      <c r="DQF357" s="22"/>
      <c r="DQG357" s="22"/>
      <c r="DQH357" s="22"/>
      <c r="DQI357" s="22"/>
      <c r="DQJ357" s="22"/>
      <c r="DQK357" s="22"/>
      <c r="DQL357" s="22"/>
      <c r="DQM357" s="22"/>
      <c r="DQN357" s="22"/>
      <c r="DQO357" s="22"/>
      <c r="DQP357" s="22"/>
      <c r="DQQ357" s="22"/>
      <c r="DQR357" s="22"/>
      <c r="DQS357" s="22"/>
      <c r="DQT357" s="22"/>
      <c r="DQU357" s="22"/>
      <c r="DQV357" s="22"/>
      <c r="DQW357" s="22"/>
      <c r="DQX357" s="22"/>
      <c r="DQY357" s="22"/>
      <c r="DQZ357" s="22"/>
      <c r="DRA357" s="22"/>
      <c r="DRB357" s="22"/>
      <c r="DRC357" s="22"/>
      <c r="DRD357" s="22"/>
      <c r="DRE357" s="22"/>
      <c r="DRF357" s="22"/>
      <c r="DRG357" s="22"/>
      <c r="DRH357" s="22"/>
      <c r="DRI357" s="22"/>
      <c r="DRJ357" s="22"/>
      <c r="DRK357" s="22"/>
      <c r="DRL357" s="22"/>
      <c r="DRM357" s="22"/>
      <c r="DRN357" s="22"/>
      <c r="DRO357" s="22"/>
      <c r="DRP357" s="22"/>
      <c r="DRQ357" s="22"/>
      <c r="DRR357" s="22"/>
      <c r="DRS357" s="22"/>
      <c r="DRT357" s="22"/>
      <c r="DRU357" s="22"/>
      <c r="DRV357" s="22"/>
      <c r="DRW357" s="22"/>
      <c r="DRX357" s="22"/>
      <c r="DRY357" s="22"/>
      <c r="DRZ357" s="22"/>
      <c r="DSA357" s="22"/>
      <c r="DSB357" s="22"/>
      <c r="DSC357" s="22"/>
      <c r="DSD357" s="22"/>
      <c r="DSE357" s="22"/>
      <c r="DSF357" s="22"/>
      <c r="DSG357" s="22"/>
      <c r="DSH357" s="22"/>
      <c r="DSI357" s="22"/>
      <c r="DSJ357" s="22"/>
      <c r="DSK357" s="22"/>
      <c r="DSL357" s="22"/>
      <c r="DSM357" s="22"/>
      <c r="DSN357" s="22"/>
      <c r="DSO357" s="22"/>
      <c r="DSP357" s="22"/>
      <c r="DSQ357" s="22"/>
      <c r="DSR357" s="22"/>
      <c r="DSS357" s="22"/>
      <c r="DST357" s="22"/>
      <c r="DSU357" s="22"/>
      <c r="DSV357" s="22"/>
      <c r="DSW357" s="22"/>
      <c r="DSX357" s="22"/>
      <c r="DSY357" s="22"/>
      <c r="DSZ357" s="22"/>
      <c r="DTA357" s="22"/>
      <c r="DTB357" s="22"/>
      <c r="DTC357" s="22"/>
      <c r="DTD357" s="22"/>
      <c r="DTE357" s="22"/>
      <c r="DTF357" s="22"/>
      <c r="DTG357" s="22"/>
      <c r="DTH357" s="22"/>
      <c r="DTI357" s="22"/>
      <c r="DTJ357" s="22"/>
      <c r="DTK357" s="22"/>
      <c r="DTL357" s="22"/>
      <c r="DTM357" s="22"/>
      <c r="DTN357" s="22"/>
      <c r="DTO357" s="22"/>
      <c r="DTP357" s="22"/>
      <c r="DTQ357" s="22"/>
      <c r="DTR357" s="22"/>
      <c r="DTS357" s="22"/>
      <c r="DTT357" s="22"/>
      <c r="DTU357" s="22"/>
      <c r="DTV357" s="22"/>
      <c r="DTW357" s="22"/>
      <c r="DTX357" s="22"/>
      <c r="DTY357" s="22"/>
      <c r="DTZ357" s="22"/>
      <c r="DUA357" s="22"/>
      <c r="DUB357" s="22"/>
      <c r="DUC357" s="22"/>
      <c r="DUD357" s="22"/>
      <c r="DUE357" s="22"/>
      <c r="DUF357" s="22"/>
      <c r="DUG357" s="22"/>
      <c r="DUH357" s="22"/>
      <c r="DUI357" s="22"/>
      <c r="DUJ357" s="22"/>
      <c r="DUK357" s="22"/>
      <c r="DUL357" s="22"/>
      <c r="DUM357" s="22"/>
      <c r="DUN357" s="22"/>
      <c r="DUO357" s="22"/>
      <c r="DUP357" s="22"/>
      <c r="DUQ357" s="22"/>
      <c r="DUR357" s="22"/>
      <c r="DUS357" s="22"/>
      <c r="DUT357" s="22"/>
      <c r="DUU357" s="22"/>
      <c r="DUV357" s="22"/>
      <c r="DUW357" s="22"/>
      <c r="DUX357" s="22"/>
      <c r="DUY357" s="22"/>
      <c r="DUZ357" s="22"/>
      <c r="DVA357" s="22"/>
      <c r="DVB357" s="22"/>
      <c r="DVC357" s="22"/>
      <c r="DVD357" s="22"/>
      <c r="DVE357" s="22"/>
      <c r="DVF357" s="22"/>
      <c r="DVG357" s="22"/>
      <c r="DVH357" s="22"/>
      <c r="DVI357" s="22"/>
      <c r="DVJ357" s="22"/>
      <c r="DVK357" s="22"/>
      <c r="DVL357" s="22"/>
      <c r="DVM357" s="22"/>
      <c r="DVN357" s="22"/>
      <c r="DVO357" s="22"/>
      <c r="DVP357" s="22"/>
      <c r="DVQ357" s="22"/>
      <c r="DVR357" s="22"/>
      <c r="DVS357" s="22"/>
      <c r="DVT357" s="22"/>
      <c r="DVU357" s="22"/>
      <c r="DVV357" s="22"/>
      <c r="DVW357" s="22"/>
      <c r="DVX357" s="22"/>
      <c r="DVY357" s="22"/>
      <c r="DVZ357" s="22"/>
      <c r="DWA357" s="22"/>
      <c r="DWB357" s="22"/>
      <c r="DWC357" s="22"/>
      <c r="DWD357" s="22"/>
      <c r="DWE357" s="22"/>
      <c r="DWF357" s="22"/>
      <c r="DWG357" s="22"/>
      <c r="DWH357" s="22"/>
      <c r="DWI357" s="22"/>
      <c r="DWJ357" s="22"/>
      <c r="DWK357" s="22"/>
      <c r="DWL357" s="22"/>
      <c r="DWM357" s="22"/>
      <c r="DWN357" s="22"/>
      <c r="DWO357" s="22"/>
      <c r="DWP357" s="22"/>
      <c r="DWQ357" s="22"/>
      <c r="DWR357" s="22"/>
      <c r="DWS357" s="22"/>
      <c r="DWT357" s="22"/>
      <c r="DWU357" s="22"/>
      <c r="DWV357" s="22"/>
      <c r="DWW357" s="22"/>
      <c r="DWX357" s="22"/>
      <c r="DWY357" s="22"/>
      <c r="DWZ357" s="22"/>
      <c r="DXA357" s="22"/>
      <c r="DXB357" s="22"/>
      <c r="DXC357" s="22"/>
      <c r="DXD357" s="22"/>
      <c r="DXE357" s="22"/>
      <c r="DXF357" s="22"/>
      <c r="DXG357" s="22"/>
      <c r="DXH357" s="22"/>
      <c r="DXI357" s="22"/>
      <c r="DXJ357" s="22"/>
      <c r="DXK357" s="22"/>
      <c r="DXL357" s="22"/>
      <c r="DXM357" s="22"/>
      <c r="DXN357" s="22"/>
      <c r="DXO357" s="22"/>
      <c r="DXP357" s="22"/>
      <c r="DXQ357" s="22"/>
      <c r="DXR357" s="22"/>
      <c r="DXS357" s="22"/>
      <c r="DXT357" s="22"/>
      <c r="DXU357" s="22"/>
      <c r="DXV357" s="22"/>
      <c r="DXW357" s="22"/>
      <c r="DXX357" s="22"/>
      <c r="DXY357" s="22"/>
      <c r="DXZ357" s="22"/>
      <c r="DYA357" s="22"/>
      <c r="DYB357" s="22"/>
      <c r="DYC357" s="22"/>
      <c r="DYD357" s="22"/>
      <c r="DYE357" s="22"/>
      <c r="DYF357" s="22"/>
      <c r="DYG357" s="22"/>
      <c r="DYH357" s="22"/>
      <c r="DYI357" s="22"/>
      <c r="DYJ357" s="22"/>
      <c r="DYK357" s="22"/>
      <c r="DYL357" s="22"/>
      <c r="DYM357" s="22"/>
      <c r="DYN357" s="22"/>
      <c r="DYO357" s="22"/>
      <c r="DYP357" s="22"/>
      <c r="DYQ357" s="22"/>
      <c r="DYR357" s="22"/>
      <c r="DYS357" s="22"/>
      <c r="DYT357" s="22"/>
      <c r="DYU357" s="22"/>
      <c r="DYV357" s="22"/>
      <c r="DYW357" s="22"/>
      <c r="DYX357" s="22"/>
      <c r="DYY357" s="22"/>
      <c r="DYZ357" s="22"/>
      <c r="DZA357" s="22"/>
      <c r="DZB357" s="22"/>
      <c r="DZC357" s="22"/>
      <c r="DZD357" s="22"/>
      <c r="DZE357" s="22"/>
      <c r="DZF357" s="22"/>
      <c r="DZG357" s="22"/>
      <c r="DZH357" s="22"/>
      <c r="DZI357" s="22"/>
      <c r="DZJ357" s="22"/>
      <c r="DZK357" s="22"/>
      <c r="DZL357" s="22"/>
      <c r="DZM357" s="22"/>
      <c r="DZN357" s="22"/>
      <c r="DZO357" s="22"/>
      <c r="DZP357" s="22"/>
      <c r="DZQ357" s="22"/>
      <c r="DZR357" s="22"/>
      <c r="DZS357" s="22"/>
      <c r="DZT357" s="22"/>
      <c r="DZU357" s="22"/>
      <c r="DZV357" s="22"/>
      <c r="DZW357" s="22"/>
      <c r="DZX357" s="22"/>
      <c r="DZY357" s="22"/>
      <c r="DZZ357" s="22"/>
      <c r="EAA357" s="22"/>
      <c r="EAB357" s="22"/>
      <c r="EAC357" s="22"/>
      <c r="EAD357" s="22"/>
      <c r="EAE357" s="22"/>
      <c r="EAF357" s="22"/>
      <c r="EAG357" s="22"/>
      <c r="EAH357" s="22"/>
      <c r="EAI357" s="22"/>
      <c r="EAJ357" s="22"/>
      <c r="EAK357" s="22"/>
      <c r="EAL357" s="22"/>
      <c r="EAM357" s="22"/>
      <c r="EAN357" s="22"/>
      <c r="EAO357" s="22"/>
      <c r="EAP357" s="22"/>
      <c r="EAQ357" s="22"/>
      <c r="EAR357" s="22"/>
      <c r="EAS357" s="22"/>
      <c r="EAT357" s="22"/>
      <c r="EAU357" s="22"/>
      <c r="EAV357" s="22"/>
      <c r="EAW357" s="22"/>
      <c r="EAX357" s="22"/>
      <c r="EAY357" s="22"/>
      <c r="EAZ357" s="22"/>
      <c r="EBA357" s="22"/>
      <c r="EBB357" s="22"/>
      <c r="EBC357" s="22"/>
      <c r="EBD357" s="22"/>
      <c r="EBE357" s="22"/>
      <c r="EBF357" s="22"/>
      <c r="EBG357" s="22"/>
      <c r="EBH357" s="22"/>
      <c r="EBI357" s="22"/>
      <c r="EBJ357" s="22"/>
      <c r="EBK357" s="22"/>
      <c r="EBL357" s="22"/>
      <c r="EBM357" s="22"/>
      <c r="EBN357" s="22"/>
      <c r="EBO357" s="22"/>
      <c r="EBP357" s="22"/>
      <c r="EBQ357" s="22"/>
      <c r="EBR357" s="22"/>
      <c r="EBS357" s="22"/>
      <c r="EBT357" s="22"/>
      <c r="EBU357" s="22"/>
      <c r="EBV357" s="22"/>
      <c r="EBW357" s="22"/>
      <c r="EBX357" s="22"/>
      <c r="EBY357" s="22"/>
      <c r="EBZ357" s="22"/>
      <c r="ECA357" s="22"/>
      <c r="ECB357" s="22"/>
      <c r="ECC357" s="22"/>
      <c r="ECD357" s="22"/>
      <c r="ECE357" s="22"/>
      <c r="ECF357" s="22"/>
      <c r="ECG357" s="22"/>
      <c r="ECH357" s="22"/>
      <c r="ECI357" s="22"/>
      <c r="ECJ357" s="22"/>
      <c r="ECK357" s="22"/>
      <c r="ECL357" s="22"/>
      <c r="ECM357" s="22"/>
      <c r="ECN357" s="22"/>
      <c r="ECO357" s="22"/>
      <c r="ECP357" s="22"/>
      <c r="ECQ357" s="22"/>
      <c r="ECR357" s="22"/>
      <c r="ECS357" s="22"/>
      <c r="ECT357" s="22"/>
      <c r="ECU357" s="22"/>
      <c r="ECV357" s="22"/>
      <c r="ECW357" s="22"/>
      <c r="ECX357" s="22"/>
      <c r="ECY357" s="22"/>
      <c r="ECZ357" s="22"/>
      <c r="EDA357" s="22"/>
      <c r="EDB357" s="22"/>
      <c r="EDC357" s="22"/>
      <c r="EDD357" s="22"/>
      <c r="EDE357" s="22"/>
      <c r="EDF357" s="22"/>
      <c r="EDG357" s="22"/>
      <c r="EDH357" s="22"/>
      <c r="EDI357" s="22"/>
      <c r="EDJ357" s="22"/>
      <c r="EDK357" s="22"/>
      <c r="EDL357" s="22"/>
      <c r="EDM357" s="22"/>
      <c r="EDN357" s="22"/>
      <c r="EDO357" s="22"/>
      <c r="EDP357" s="22"/>
      <c r="EDQ357" s="22"/>
      <c r="EDR357" s="22"/>
      <c r="EDS357" s="22"/>
      <c r="EDT357" s="22"/>
      <c r="EDU357" s="22"/>
      <c r="EDV357" s="22"/>
      <c r="EDW357" s="22"/>
      <c r="EDX357" s="22"/>
      <c r="EDY357" s="22"/>
      <c r="EDZ357" s="22"/>
      <c r="EEA357" s="22"/>
      <c r="EEB357" s="22"/>
      <c r="EEC357" s="22"/>
      <c r="EED357" s="22"/>
      <c r="EEE357" s="22"/>
      <c r="EEF357" s="22"/>
      <c r="EEG357" s="22"/>
      <c r="EEH357" s="22"/>
      <c r="EEI357" s="22"/>
      <c r="EEJ357" s="22"/>
      <c r="EEK357" s="22"/>
      <c r="EEL357" s="22"/>
      <c r="EEM357" s="22"/>
      <c r="EEN357" s="22"/>
      <c r="EEO357" s="22"/>
      <c r="EEP357" s="22"/>
      <c r="EEQ357" s="22"/>
      <c r="EER357" s="22"/>
      <c r="EES357" s="22"/>
      <c r="EET357" s="22"/>
      <c r="EEU357" s="22"/>
      <c r="EEV357" s="22"/>
      <c r="EEW357" s="22"/>
      <c r="EEX357" s="22"/>
      <c r="EEY357" s="22"/>
      <c r="EEZ357" s="22"/>
      <c r="EFA357" s="22"/>
      <c r="EFB357" s="22"/>
      <c r="EFC357" s="22"/>
      <c r="EFD357" s="22"/>
      <c r="EFE357" s="22"/>
      <c r="EFF357" s="22"/>
      <c r="EFG357" s="22"/>
      <c r="EFH357" s="22"/>
      <c r="EFI357" s="22"/>
      <c r="EFJ357" s="22"/>
      <c r="EFK357" s="22"/>
      <c r="EFL357" s="22"/>
      <c r="EFM357" s="22"/>
      <c r="EFN357" s="22"/>
      <c r="EFO357" s="22"/>
      <c r="EFP357" s="22"/>
      <c r="EFQ357" s="22"/>
      <c r="EFR357" s="22"/>
      <c r="EFS357" s="22"/>
      <c r="EFT357" s="22"/>
      <c r="EFU357" s="22"/>
      <c r="EFV357" s="22"/>
      <c r="EFW357" s="22"/>
      <c r="EFX357" s="22"/>
      <c r="EFY357" s="22"/>
      <c r="EFZ357" s="22"/>
      <c r="EGA357" s="22"/>
      <c r="EGB357" s="22"/>
      <c r="EGC357" s="22"/>
      <c r="EGD357" s="22"/>
      <c r="EGE357" s="22"/>
      <c r="EGF357" s="22"/>
      <c r="EGG357" s="22"/>
      <c r="EGH357" s="22"/>
      <c r="EGI357" s="22"/>
      <c r="EGJ357" s="22"/>
      <c r="EGK357" s="22"/>
      <c r="EGL357" s="22"/>
      <c r="EGM357" s="22"/>
      <c r="EGN357" s="22"/>
      <c r="EGO357" s="22"/>
      <c r="EGP357" s="22"/>
      <c r="EGQ357" s="22"/>
      <c r="EGR357" s="22"/>
      <c r="EGS357" s="22"/>
      <c r="EGT357" s="22"/>
      <c r="EGU357" s="22"/>
      <c r="EGV357" s="22"/>
      <c r="EGW357" s="22"/>
      <c r="EGX357" s="22"/>
      <c r="EGY357" s="22"/>
      <c r="EGZ357" s="22"/>
      <c r="EHA357" s="22"/>
      <c r="EHB357" s="22"/>
      <c r="EHC357" s="22"/>
      <c r="EHD357" s="22"/>
      <c r="EHE357" s="22"/>
      <c r="EHF357" s="22"/>
      <c r="EHG357" s="22"/>
      <c r="EHH357" s="22"/>
      <c r="EHI357" s="22"/>
      <c r="EHJ357" s="22"/>
      <c r="EHK357" s="22"/>
      <c r="EHL357" s="22"/>
      <c r="EHM357" s="22"/>
      <c r="EHN357" s="22"/>
      <c r="EHO357" s="22"/>
      <c r="EHP357" s="22"/>
      <c r="EHQ357" s="22"/>
      <c r="EHR357" s="22"/>
      <c r="EHS357" s="22"/>
      <c r="EHT357" s="22"/>
      <c r="EHU357" s="22"/>
      <c r="EHV357" s="22"/>
      <c r="EHW357" s="22"/>
      <c r="EHX357" s="22"/>
      <c r="EHY357" s="22"/>
      <c r="EHZ357" s="22"/>
      <c r="EIA357" s="22"/>
      <c r="EIB357" s="22"/>
      <c r="EIC357" s="22"/>
      <c r="EID357" s="22"/>
      <c r="EIE357" s="22"/>
      <c r="EIF357" s="22"/>
      <c r="EIG357" s="22"/>
      <c r="EIH357" s="22"/>
      <c r="EII357" s="22"/>
      <c r="EIJ357" s="22"/>
      <c r="EIK357" s="22"/>
      <c r="EIL357" s="22"/>
      <c r="EIM357" s="22"/>
      <c r="EIN357" s="22"/>
      <c r="EIO357" s="22"/>
      <c r="EIP357" s="22"/>
      <c r="EIQ357" s="22"/>
      <c r="EIR357" s="22"/>
      <c r="EIS357" s="22"/>
      <c r="EIT357" s="22"/>
      <c r="EIU357" s="22"/>
      <c r="EIV357" s="22"/>
      <c r="EIW357" s="22"/>
      <c r="EIX357" s="22"/>
      <c r="EIY357" s="22"/>
      <c r="EIZ357" s="22"/>
      <c r="EJA357" s="22"/>
      <c r="EJB357" s="22"/>
      <c r="EJC357" s="22"/>
      <c r="EJD357" s="22"/>
      <c r="EJE357" s="22"/>
      <c r="EJF357" s="22"/>
      <c r="EJG357" s="22"/>
      <c r="EJH357" s="22"/>
      <c r="EJI357" s="22"/>
      <c r="EJJ357" s="22"/>
      <c r="EJK357" s="22"/>
      <c r="EJL357" s="22"/>
      <c r="EJM357" s="22"/>
      <c r="EJN357" s="22"/>
      <c r="EJO357" s="22"/>
      <c r="EJP357" s="22"/>
      <c r="EJQ357" s="22"/>
      <c r="EJR357" s="22"/>
      <c r="EJS357" s="22"/>
      <c r="EJT357" s="22"/>
      <c r="EJU357" s="22"/>
      <c r="EJV357" s="22"/>
      <c r="EJW357" s="22"/>
      <c r="EJX357" s="22"/>
      <c r="EJY357" s="22"/>
      <c r="EJZ357" s="22"/>
      <c r="EKA357" s="22"/>
      <c r="EKB357" s="22"/>
      <c r="EKC357" s="22"/>
      <c r="EKD357" s="22"/>
      <c r="EKE357" s="22"/>
      <c r="EKF357" s="22"/>
      <c r="EKG357" s="22"/>
      <c r="EKH357" s="22"/>
      <c r="EKI357" s="22"/>
      <c r="EKJ357" s="22"/>
      <c r="EKK357" s="22"/>
      <c r="EKL357" s="22"/>
      <c r="EKM357" s="22"/>
      <c r="EKN357" s="22"/>
      <c r="EKO357" s="22"/>
      <c r="EKP357" s="22"/>
      <c r="EKQ357" s="22"/>
      <c r="EKR357" s="22"/>
      <c r="EKS357" s="22"/>
      <c r="EKT357" s="22"/>
      <c r="EKU357" s="22"/>
      <c r="EKV357" s="22"/>
      <c r="EKW357" s="22"/>
      <c r="EKX357" s="22"/>
      <c r="EKY357" s="22"/>
      <c r="EKZ357" s="22"/>
      <c r="ELA357" s="22"/>
      <c r="ELB357" s="22"/>
      <c r="ELC357" s="22"/>
      <c r="ELD357" s="22"/>
      <c r="ELE357" s="22"/>
      <c r="ELF357" s="22"/>
      <c r="ELG357" s="22"/>
      <c r="ELH357" s="22"/>
      <c r="ELI357" s="22"/>
      <c r="ELJ357" s="22"/>
      <c r="ELK357" s="22"/>
      <c r="ELL357" s="22"/>
      <c r="ELM357" s="22"/>
      <c r="ELN357" s="22"/>
      <c r="ELO357" s="22"/>
      <c r="ELP357" s="22"/>
      <c r="ELQ357" s="22"/>
      <c r="ELR357" s="22"/>
      <c r="ELS357" s="22"/>
      <c r="ELT357" s="22"/>
      <c r="ELU357" s="22"/>
      <c r="ELV357" s="22"/>
      <c r="ELW357" s="22"/>
      <c r="ELX357" s="22"/>
      <c r="ELY357" s="22"/>
      <c r="ELZ357" s="22"/>
      <c r="EMA357" s="22"/>
      <c r="EMB357" s="22"/>
      <c r="EMC357" s="22"/>
      <c r="EMD357" s="22"/>
      <c r="EME357" s="22"/>
      <c r="EMF357" s="22"/>
      <c r="EMG357" s="22"/>
      <c r="EMH357" s="22"/>
      <c r="EMI357" s="22"/>
      <c r="EMJ357" s="22"/>
      <c r="EMK357" s="22"/>
      <c r="EML357" s="22"/>
      <c r="EMM357" s="22"/>
      <c r="EMN357" s="22"/>
      <c r="EMO357" s="22"/>
      <c r="EMP357" s="22"/>
      <c r="EMQ357" s="22"/>
      <c r="EMR357" s="22"/>
      <c r="EMS357" s="22"/>
      <c r="EMT357" s="22"/>
      <c r="EMU357" s="22"/>
      <c r="EMV357" s="22"/>
      <c r="EMW357" s="22"/>
      <c r="EMX357" s="22"/>
      <c r="EMY357" s="22"/>
      <c r="EMZ357" s="22"/>
      <c r="ENA357" s="22"/>
      <c r="ENB357" s="22"/>
      <c r="ENC357" s="22"/>
      <c r="END357" s="22"/>
      <c r="ENE357" s="22"/>
      <c r="ENF357" s="22"/>
      <c r="ENG357" s="22"/>
      <c r="ENH357" s="22"/>
      <c r="ENI357" s="22"/>
      <c r="ENJ357" s="22"/>
      <c r="ENK357" s="22"/>
      <c r="ENL357" s="22"/>
      <c r="ENM357" s="22"/>
      <c r="ENN357" s="22"/>
      <c r="ENO357" s="22"/>
      <c r="ENP357" s="22"/>
      <c r="ENQ357" s="22"/>
      <c r="ENR357" s="22"/>
      <c r="ENS357" s="22"/>
      <c r="ENT357" s="22"/>
      <c r="ENU357" s="22"/>
      <c r="ENV357" s="22"/>
      <c r="ENW357" s="22"/>
      <c r="ENX357" s="22"/>
      <c r="ENY357" s="22"/>
      <c r="ENZ357" s="22"/>
      <c r="EOA357" s="22"/>
      <c r="EOB357" s="22"/>
      <c r="EOC357" s="22"/>
      <c r="EOD357" s="22"/>
      <c r="EOE357" s="22"/>
      <c r="EOF357" s="22"/>
      <c r="EOG357" s="22"/>
      <c r="EOH357" s="22"/>
      <c r="EOI357" s="22"/>
      <c r="EOJ357" s="22"/>
      <c r="EOK357" s="22"/>
      <c r="EOL357" s="22"/>
      <c r="EOM357" s="22"/>
      <c r="EON357" s="22"/>
      <c r="EOO357" s="22"/>
      <c r="EOP357" s="22"/>
      <c r="EOQ357" s="22"/>
      <c r="EOR357" s="22"/>
      <c r="EOS357" s="22"/>
      <c r="EOT357" s="22"/>
      <c r="EOU357" s="22"/>
      <c r="EOV357" s="22"/>
      <c r="EOW357" s="22"/>
      <c r="EOX357" s="22"/>
      <c r="EOY357" s="22"/>
      <c r="EOZ357" s="22"/>
      <c r="EPA357" s="22"/>
      <c r="EPB357" s="22"/>
      <c r="EPC357" s="22"/>
      <c r="EPD357" s="22"/>
      <c r="EPE357" s="22"/>
      <c r="EPF357" s="22"/>
      <c r="EPG357" s="22"/>
      <c r="EPH357" s="22"/>
      <c r="EPI357" s="22"/>
      <c r="EPJ357" s="22"/>
      <c r="EPK357" s="22"/>
      <c r="EPL357" s="22"/>
      <c r="EPM357" s="22"/>
      <c r="EPN357" s="22"/>
      <c r="EPO357" s="22"/>
      <c r="EPP357" s="22"/>
      <c r="EPQ357" s="22"/>
      <c r="EPR357" s="22"/>
      <c r="EPS357" s="22"/>
      <c r="EPT357" s="22"/>
      <c r="EPU357" s="22"/>
      <c r="EPV357" s="22"/>
      <c r="EPW357" s="22"/>
      <c r="EPX357" s="22"/>
      <c r="EPY357" s="22"/>
      <c r="EPZ357" s="22"/>
      <c r="EQA357" s="22"/>
      <c r="EQB357" s="22"/>
      <c r="EQC357" s="22"/>
      <c r="EQD357" s="22"/>
      <c r="EQE357" s="22"/>
      <c r="EQF357" s="22"/>
      <c r="EQG357" s="22"/>
      <c r="EQH357" s="22"/>
      <c r="EQI357" s="22"/>
      <c r="EQJ357" s="22"/>
      <c r="EQK357" s="22"/>
      <c r="EQL357" s="22"/>
      <c r="EQM357" s="22"/>
      <c r="EQN357" s="22"/>
      <c r="EQO357" s="22"/>
      <c r="EQP357" s="22"/>
      <c r="EQQ357" s="22"/>
      <c r="EQR357" s="22"/>
      <c r="EQS357" s="22"/>
      <c r="EQT357" s="22"/>
      <c r="EQU357" s="22"/>
      <c r="EQV357" s="22"/>
      <c r="EQW357" s="22"/>
      <c r="EQX357" s="22"/>
      <c r="EQY357" s="22"/>
      <c r="EQZ357" s="22"/>
      <c r="ERA357" s="22"/>
      <c r="ERB357" s="22"/>
      <c r="ERC357" s="22"/>
      <c r="ERD357" s="22"/>
      <c r="ERE357" s="22"/>
      <c r="ERF357" s="22"/>
      <c r="ERG357" s="22"/>
      <c r="ERH357" s="22"/>
      <c r="ERI357" s="22"/>
      <c r="ERJ357" s="22"/>
      <c r="ERK357" s="22"/>
      <c r="ERL357" s="22"/>
      <c r="ERM357" s="22"/>
      <c r="ERN357" s="22"/>
      <c r="ERO357" s="22"/>
      <c r="ERP357" s="22"/>
      <c r="ERQ357" s="22"/>
      <c r="ERR357" s="22"/>
      <c r="ERS357" s="22"/>
      <c r="ERT357" s="22"/>
      <c r="ERU357" s="22"/>
      <c r="ERV357" s="22"/>
      <c r="ERW357" s="22"/>
      <c r="ERX357" s="22"/>
      <c r="ERY357" s="22"/>
      <c r="ERZ357" s="22"/>
      <c r="ESA357" s="22"/>
      <c r="ESB357" s="22"/>
      <c r="ESC357" s="22"/>
      <c r="ESD357" s="22"/>
      <c r="ESE357" s="22"/>
      <c r="ESF357" s="22"/>
      <c r="ESG357" s="22"/>
      <c r="ESH357" s="22"/>
      <c r="ESI357" s="22"/>
      <c r="ESJ357" s="22"/>
      <c r="ESK357" s="22"/>
      <c r="ESL357" s="22"/>
      <c r="ESM357" s="22"/>
      <c r="ESN357" s="22"/>
      <c r="ESO357" s="22"/>
      <c r="ESP357" s="22"/>
      <c r="ESQ357" s="22"/>
      <c r="ESR357" s="22"/>
      <c r="ESS357" s="22"/>
      <c r="EST357" s="22"/>
      <c r="ESU357" s="22"/>
      <c r="ESV357" s="22"/>
      <c r="ESW357" s="22"/>
      <c r="ESX357" s="22"/>
      <c r="ESY357" s="22"/>
      <c r="ESZ357" s="22"/>
      <c r="ETA357" s="22"/>
      <c r="ETB357" s="22"/>
      <c r="ETC357" s="22"/>
      <c r="ETD357" s="22"/>
      <c r="ETE357" s="22"/>
      <c r="ETF357" s="22"/>
      <c r="ETG357" s="22"/>
      <c r="ETH357" s="22"/>
      <c r="ETI357" s="22"/>
      <c r="ETJ357" s="22"/>
      <c r="ETK357" s="22"/>
      <c r="ETL357" s="22"/>
      <c r="ETM357" s="22"/>
      <c r="ETN357" s="22"/>
      <c r="ETO357" s="22"/>
      <c r="ETP357" s="22"/>
      <c r="ETQ357" s="22"/>
      <c r="ETR357" s="22"/>
      <c r="ETS357" s="22"/>
      <c r="ETT357" s="22"/>
      <c r="ETU357" s="22"/>
      <c r="ETV357" s="22"/>
      <c r="ETW357" s="22"/>
      <c r="ETX357" s="22"/>
      <c r="ETY357" s="22"/>
      <c r="ETZ357" s="22"/>
      <c r="EUA357" s="22"/>
      <c r="EUB357" s="22"/>
      <c r="EUC357" s="22"/>
      <c r="EUD357" s="22"/>
      <c r="EUE357" s="22"/>
      <c r="EUF357" s="22"/>
      <c r="EUG357" s="22"/>
      <c r="EUH357" s="22"/>
      <c r="EUI357" s="22"/>
      <c r="EUJ357" s="22"/>
      <c r="EUK357" s="22"/>
      <c r="EUL357" s="22"/>
      <c r="EUM357" s="22"/>
      <c r="EUN357" s="22"/>
      <c r="EUO357" s="22"/>
      <c r="EUP357" s="22"/>
      <c r="EUQ357" s="22"/>
      <c r="EUR357" s="22"/>
      <c r="EUS357" s="22"/>
      <c r="EUT357" s="22"/>
      <c r="EUU357" s="22"/>
      <c r="EUV357" s="22"/>
      <c r="EUW357" s="22"/>
      <c r="EUX357" s="22"/>
      <c r="EUY357" s="22"/>
      <c r="EUZ357" s="22"/>
      <c r="EVA357" s="22"/>
      <c r="EVB357" s="22"/>
      <c r="EVC357" s="22"/>
      <c r="EVD357" s="22"/>
      <c r="EVE357" s="22"/>
      <c r="EVF357" s="22"/>
      <c r="EVG357" s="22"/>
      <c r="EVH357" s="22"/>
      <c r="EVI357" s="22"/>
      <c r="EVJ357" s="22"/>
      <c r="EVK357" s="22"/>
      <c r="EVL357" s="22"/>
      <c r="EVM357" s="22"/>
      <c r="EVN357" s="22"/>
      <c r="EVO357" s="22"/>
      <c r="EVP357" s="22"/>
      <c r="EVQ357" s="22"/>
      <c r="EVR357" s="22"/>
      <c r="EVS357" s="22"/>
      <c r="EVT357" s="22"/>
      <c r="EVU357" s="22"/>
      <c r="EVV357" s="22"/>
      <c r="EVW357" s="22"/>
      <c r="EVX357" s="22"/>
      <c r="EVY357" s="22"/>
      <c r="EVZ357" s="22"/>
      <c r="EWA357" s="22"/>
      <c r="EWB357" s="22"/>
      <c r="EWC357" s="22"/>
      <c r="EWD357" s="22"/>
      <c r="EWE357" s="22"/>
      <c r="EWF357" s="22"/>
      <c r="EWG357" s="22"/>
      <c r="EWH357" s="22"/>
      <c r="EWI357" s="22"/>
      <c r="EWJ357" s="22"/>
      <c r="EWK357" s="22"/>
      <c r="EWL357" s="22"/>
      <c r="EWM357" s="22"/>
      <c r="EWN357" s="22"/>
      <c r="EWO357" s="22"/>
      <c r="EWP357" s="22"/>
      <c r="EWQ357" s="22"/>
      <c r="EWR357" s="22"/>
      <c r="EWS357" s="22"/>
      <c r="EWT357" s="22"/>
      <c r="EWU357" s="22"/>
      <c r="EWV357" s="22"/>
      <c r="EWW357" s="22"/>
      <c r="EWX357" s="22"/>
      <c r="EWY357" s="22"/>
      <c r="EWZ357" s="22"/>
      <c r="EXA357" s="22"/>
      <c r="EXB357" s="22"/>
      <c r="EXC357" s="22"/>
      <c r="EXD357" s="22"/>
      <c r="EXE357" s="22"/>
      <c r="EXF357" s="22"/>
      <c r="EXG357" s="22"/>
      <c r="EXH357" s="22"/>
      <c r="EXI357" s="22"/>
      <c r="EXJ357" s="22"/>
      <c r="EXK357" s="22"/>
      <c r="EXL357" s="22"/>
      <c r="EXM357" s="22"/>
      <c r="EXN357" s="22"/>
      <c r="EXO357" s="22"/>
      <c r="EXP357" s="22"/>
      <c r="EXQ357" s="22"/>
      <c r="EXR357" s="22"/>
      <c r="EXS357" s="22"/>
      <c r="EXT357" s="22"/>
      <c r="EXU357" s="22"/>
      <c r="EXV357" s="22"/>
      <c r="EXW357" s="22"/>
      <c r="EXX357" s="22"/>
      <c r="EXY357" s="22"/>
      <c r="EXZ357" s="22"/>
      <c r="EYA357" s="22"/>
      <c r="EYB357" s="22"/>
      <c r="EYC357" s="22"/>
      <c r="EYD357" s="22"/>
      <c r="EYE357" s="22"/>
      <c r="EYF357" s="22"/>
      <c r="EYG357" s="22"/>
      <c r="EYH357" s="22"/>
      <c r="EYI357" s="22"/>
      <c r="EYJ357" s="22"/>
      <c r="EYK357" s="22"/>
      <c r="EYL357" s="22"/>
      <c r="EYM357" s="22"/>
      <c r="EYN357" s="22"/>
      <c r="EYO357" s="22"/>
      <c r="EYP357" s="22"/>
      <c r="EYQ357" s="22"/>
      <c r="EYR357" s="22"/>
      <c r="EYS357" s="22"/>
      <c r="EYT357" s="22"/>
      <c r="EYU357" s="22"/>
      <c r="EYV357" s="22"/>
      <c r="EYW357" s="22"/>
      <c r="EYX357" s="22"/>
      <c r="EYY357" s="22"/>
      <c r="EYZ357" s="22"/>
      <c r="EZA357" s="22"/>
      <c r="EZB357" s="22"/>
      <c r="EZC357" s="22"/>
      <c r="EZD357" s="22"/>
      <c r="EZE357" s="22"/>
      <c r="EZF357" s="22"/>
      <c r="EZG357" s="22"/>
      <c r="EZH357" s="22"/>
      <c r="EZI357" s="22"/>
      <c r="EZJ357" s="22"/>
      <c r="EZK357" s="22"/>
      <c r="EZL357" s="22"/>
      <c r="EZM357" s="22"/>
      <c r="EZN357" s="22"/>
      <c r="EZO357" s="22"/>
      <c r="EZP357" s="22"/>
      <c r="EZQ357" s="22"/>
      <c r="EZR357" s="22"/>
      <c r="EZS357" s="22"/>
      <c r="EZT357" s="22"/>
      <c r="EZU357" s="22"/>
      <c r="EZV357" s="22"/>
      <c r="EZW357" s="22"/>
      <c r="EZX357" s="22"/>
      <c r="EZY357" s="22"/>
      <c r="EZZ357" s="22"/>
      <c r="FAA357" s="22"/>
      <c r="FAB357" s="22"/>
      <c r="FAC357" s="22"/>
      <c r="FAD357" s="22"/>
      <c r="FAE357" s="22"/>
      <c r="FAF357" s="22"/>
      <c r="FAG357" s="22"/>
      <c r="FAH357" s="22"/>
      <c r="FAI357" s="22"/>
      <c r="FAJ357" s="22"/>
      <c r="FAK357" s="22"/>
      <c r="FAL357" s="22"/>
      <c r="FAM357" s="22"/>
      <c r="FAN357" s="22"/>
      <c r="FAO357" s="22"/>
      <c r="FAP357" s="22"/>
      <c r="FAQ357" s="22"/>
      <c r="FAR357" s="22"/>
      <c r="FAS357" s="22"/>
      <c r="FAT357" s="22"/>
      <c r="FAU357" s="22"/>
      <c r="FAV357" s="22"/>
      <c r="FAW357" s="22"/>
      <c r="FAX357" s="22"/>
      <c r="FAY357" s="22"/>
      <c r="FAZ357" s="22"/>
      <c r="FBA357" s="22"/>
      <c r="FBB357" s="22"/>
      <c r="FBC357" s="22"/>
      <c r="FBD357" s="22"/>
      <c r="FBE357" s="22"/>
      <c r="FBF357" s="22"/>
      <c r="FBG357" s="22"/>
      <c r="FBH357" s="22"/>
      <c r="FBI357" s="22"/>
      <c r="FBJ357" s="22"/>
      <c r="FBK357" s="22"/>
      <c r="FBL357" s="22"/>
      <c r="FBM357" s="22"/>
      <c r="FBN357" s="22"/>
      <c r="FBO357" s="22"/>
      <c r="FBP357" s="22"/>
      <c r="FBQ357" s="22"/>
      <c r="FBR357" s="22"/>
      <c r="FBS357" s="22"/>
      <c r="FBT357" s="22"/>
      <c r="FBU357" s="22"/>
      <c r="FBV357" s="22"/>
      <c r="FBW357" s="22"/>
      <c r="FBX357" s="22"/>
      <c r="FBY357" s="22"/>
      <c r="FBZ357" s="22"/>
      <c r="FCA357" s="22"/>
      <c r="FCB357" s="22"/>
      <c r="FCC357" s="22"/>
      <c r="FCD357" s="22"/>
      <c r="FCE357" s="22"/>
      <c r="FCF357" s="22"/>
      <c r="FCG357" s="22"/>
      <c r="FCH357" s="22"/>
      <c r="FCI357" s="22"/>
      <c r="FCJ357" s="22"/>
      <c r="FCK357" s="22"/>
      <c r="FCL357" s="22"/>
      <c r="FCM357" s="22"/>
      <c r="FCN357" s="22"/>
      <c r="FCO357" s="22"/>
      <c r="FCP357" s="22"/>
      <c r="FCQ357" s="22"/>
      <c r="FCR357" s="22"/>
      <c r="FCS357" s="22"/>
      <c r="FCT357" s="22"/>
      <c r="FCU357" s="22"/>
      <c r="FCV357" s="22"/>
      <c r="FCW357" s="22"/>
      <c r="FCX357" s="22"/>
      <c r="FCY357" s="22"/>
      <c r="FCZ357" s="22"/>
      <c r="FDA357" s="22"/>
      <c r="FDB357" s="22"/>
      <c r="FDC357" s="22"/>
      <c r="FDD357" s="22"/>
      <c r="FDE357" s="22"/>
      <c r="FDF357" s="22"/>
      <c r="FDG357" s="22"/>
      <c r="FDH357" s="22"/>
      <c r="FDI357" s="22"/>
      <c r="FDJ357" s="22"/>
      <c r="FDK357" s="22"/>
      <c r="FDL357" s="22"/>
      <c r="FDM357" s="22"/>
      <c r="FDN357" s="22"/>
      <c r="FDO357" s="22"/>
      <c r="FDP357" s="22"/>
      <c r="FDQ357" s="22"/>
      <c r="FDR357" s="22"/>
      <c r="FDS357" s="22"/>
      <c r="FDT357" s="22"/>
      <c r="FDU357" s="22"/>
      <c r="FDV357" s="22"/>
      <c r="FDW357" s="22"/>
      <c r="FDX357" s="22"/>
      <c r="FDY357" s="22"/>
      <c r="FDZ357" s="22"/>
      <c r="FEA357" s="22"/>
      <c r="FEB357" s="22"/>
      <c r="FEC357" s="22"/>
      <c r="FED357" s="22"/>
      <c r="FEE357" s="22"/>
      <c r="FEF357" s="22"/>
      <c r="FEG357" s="22"/>
      <c r="FEH357" s="22"/>
      <c r="FEI357" s="22"/>
      <c r="FEJ357" s="22"/>
      <c r="FEK357" s="22"/>
      <c r="FEL357" s="22"/>
      <c r="FEM357" s="22"/>
      <c r="FEN357" s="22"/>
      <c r="FEO357" s="22"/>
      <c r="FEP357" s="22"/>
      <c r="FEQ357" s="22"/>
      <c r="FER357" s="22"/>
      <c r="FES357" s="22"/>
      <c r="FET357" s="22"/>
      <c r="FEU357" s="22"/>
      <c r="FEV357" s="22"/>
      <c r="FEW357" s="22"/>
      <c r="FEX357" s="22"/>
      <c r="FEY357" s="22"/>
      <c r="FEZ357" s="22"/>
      <c r="FFA357" s="22"/>
      <c r="FFB357" s="22"/>
      <c r="FFC357" s="22"/>
      <c r="FFD357" s="22"/>
      <c r="FFE357" s="22"/>
      <c r="FFF357" s="22"/>
      <c r="FFG357" s="22"/>
      <c r="FFH357" s="22"/>
      <c r="FFI357" s="22"/>
      <c r="FFJ357" s="22"/>
      <c r="FFK357" s="22"/>
      <c r="FFL357" s="22"/>
      <c r="FFM357" s="22"/>
      <c r="FFN357" s="22"/>
      <c r="FFO357" s="22"/>
      <c r="FFP357" s="22"/>
      <c r="FFQ357" s="22"/>
      <c r="FFR357" s="22"/>
      <c r="FFS357" s="22"/>
      <c r="FFT357" s="22"/>
      <c r="FFU357" s="22"/>
      <c r="FFV357" s="22"/>
      <c r="FFW357" s="22"/>
      <c r="FFX357" s="22"/>
      <c r="FFY357" s="22"/>
      <c r="FFZ357" s="22"/>
      <c r="FGA357" s="22"/>
      <c r="FGB357" s="22"/>
      <c r="FGC357" s="22"/>
      <c r="FGD357" s="22"/>
      <c r="FGE357" s="22"/>
      <c r="FGF357" s="22"/>
      <c r="FGG357" s="22"/>
      <c r="FGH357" s="22"/>
      <c r="FGI357" s="22"/>
      <c r="FGJ357" s="22"/>
      <c r="FGK357" s="22"/>
      <c r="FGL357" s="22"/>
      <c r="FGM357" s="22"/>
      <c r="FGN357" s="22"/>
      <c r="FGO357" s="22"/>
      <c r="FGP357" s="22"/>
      <c r="FGQ357" s="22"/>
      <c r="FGR357" s="22"/>
      <c r="FGS357" s="22"/>
      <c r="FGT357" s="22"/>
      <c r="FGU357" s="22"/>
      <c r="FGV357" s="22"/>
      <c r="FGW357" s="22"/>
      <c r="FGX357" s="22"/>
      <c r="FGY357" s="22"/>
      <c r="FGZ357" s="22"/>
      <c r="FHA357" s="22"/>
      <c r="FHB357" s="22"/>
      <c r="FHC357" s="22"/>
      <c r="FHD357" s="22"/>
      <c r="FHE357" s="22"/>
      <c r="FHF357" s="22"/>
      <c r="FHG357" s="22"/>
      <c r="FHH357" s="22"/>
      <c r="FHI357" s="22"/>
      <c r="FHJ357" s="22"/>
      <c r="FHK357" s="22"/>
      <c r="FHL357" s="22"/>
      <c r="FHM357" s="22"/>
      <c r="FHN357" s="22"/>
      <c r="FHO357" s="22"/>
      <c r="FHP357" s="22"/>
      <c r="FHQ357" s="22"/>
      <c r="FHR357" s="22"/>
      <c r="FHS357" s="22"/>
      <c r="FHT357" s="22"/>
      <c r="FHU357" s="22"/>
      <c r="FHV357" s="22"/>
      <c r="FHW357" s="22"/>
      <c r="FHX357" s="22"/>
      <c r="FHY357" s="22"/>
      <c r="FHZ357" s="22"/>
      <c r="FIA357" s="22"/>
      <c r="FIB357" s="22"/>
      <c r="FIC357" s="22"/>
      <c r="FID357" s="22"/>
      <c r="FIE357" s="22"/>
      <c r="FIF357" s="22"/>
      <c r="FIG357" s="22"/>
      <c r="FIH357" s="22"/>
      <c r="FII357" s="22"/>
      <c r="FIJ357" s="22"/>
      <c r="FIK357" s="22"/>
      <c r="FIL357" s="22"/>
      <c r="FIM357" s="22"/>
      <c r="FIN357" s="22"/>
      <c r="FIO357" s="22"/>
      <c r="FIP357" s="22"/>
      <c r="FIQ357" s="22"/>
      <c r="FIR357" s="22"/>
      <c r="FIS357" s="22"/>
      <c r="FIT357" s="22"/>
      <c r="FIU357" s="22"/>
      <c r="FIV357" s="22"/>
      <c r="FIW357" s="22"/>
      <c r="FIX357" s="22"/>
      <c r="FIY357" s="22"/>
      <c r="FIZ357" s="22"/>
      <c r="FJA357" s="22"/>
      <c r="FJB357" s="22"/>
      <c r="FJC357" s="22"/>
      <c r="FJD357" s="22"/>
      <c r="FJE357" s="22"/>
      <c r="FJF357" s="22"/>
      <c r="FJG357" s="22"/>
      <c r="FJH357" s="22"/>
      <c r="FJI357" s="22"/>
      <c r="FJJ357" s="22"/>
      <c r="FJK357" s="22"/>
      <c r="FJL357" s="22"/>
      <c r="FJM357" s="22"/>
      <c r="FJN357" s="22"/>
      <c r="FJO357" s="22"/>
      <c r="FJP357" s="22"/>
      <c r="FJQ357" s="22"/>
      <c r="FJR357" s="22"/>
      <c r="FJS357" s="22"/>
      <c r="FJT357" s="22"/>
      <c r="FJU357" s="22"/>
      <c r="FJV357" s="22"/>
      <c r="FJW357" s="22"/>
      <c r="FJX357" s="22"/>
      <c r="FJY357" s="22"/>
      <c r="FJZ357" s="22"/>
      <c r="FKA357" s="22"/>
      <c r="FKB357" s="22"/>
      <c r="FKC357" s="22"/>
      <c r="FKD357" s="22"/>
      <c r="FKE357" s="22"/>
      <c r="FKF357" s="22"/>
      <c r="FKG357" s="22"/>
      <c r="FKH357" s="22"/>
      <c r="FKI357" s="22"/>
      <c r="FKJ357" s="22"/>
      <c r="FKK357" s="22"/>
      <c r="FKL357" s="22"/>
      <c r="FKM357" s="22"/>
      <c r="FKN357" s="22"/>
      <c r="FKO357" s="22"/>
      <c r="FKP357" s="22"/>
      <c r="FKQ357" s="22"/>
      <c r="FKR357" s="22"/>
      <c r="FKS357" s="22"/>
      <c r="FKT357" s="22"/>
      <c r="FKU357" s="22"/>
      <c r="FKV357" s="22"/>
      <c r="FKW357" s="22"/>
      <c r="FKX357" s="22"/>
      <c r="FKY357" s="22"/>
      <c r="FKZ357" s="22"/>
      <c r="FLA357" s="22"/>
      <c r="FLB357" s="22"/>
      <c r="FLC357" s="22"/>
      <c r="FLD357" s="22"/>
      <c r="FLE357" s="22"/>
      <c r="FLF357" s="22"/>
      <c r="FLG357" s="22"/>
      <c r="FLH357" s="22"/>
      <c r="FLI357" s="22"/>
      <c r="FLJ357" s="22"/>
      <c r="FLK357" s="22"/>
      <c r="FLL357" s="22"/>
      <c r="FLM357" s="22"/>
      <c r="FLN357" s="22"/>
      <c r="FLO357" s="22"/>
      <c r="FLP357" s="22"/>
      <c r="FLQ357" s="22"/>
      <c r="FLR357" s="22"/>
      <c r="FLS357" s="22"/>
      <c r="FLT357" s="22"/>
      <c r="FLU357" s="22"/>
      <c r="FLV357" s="22"/>
      <c r="FLW357" s="22"/>
      <c r="FLX357" s="22"/>
      <c r="FLY357" s="22"/>
      <c r="FLZ357" s="22"/>
      <c r="FMA357" s="22"/>
      <c r="FMB357" s="22"/>
      <c r="FMC357" s="22"/>
      <c r="FMD357" s="22"/>
      <c r="FME357" s="22"/>
      <c r="FMF357" s="22"/>
      <c r="FMG357" s="22"/>
      <c r="FMH357" s="22"/>
      <c r="FMI357" s="22"/>
      <c r="FMJ357" s="22"/>
      <c r="FMK357" s="22"/>
      <c r="FML357" s="22"/>
      <c r="FMM357" s="22"/>
      <c r="FMN357" s="22"/>
      <c r="FMO357" s="22"/>
      <c r="FMP357" s="22"/>
      <c r="FMQ357" s="22"/>
      <c r="FMR357" s="22"/>
      <c r="FMS357" s="22"/>
      <c r="FMT357" s="22"/>
      <c r="FMU357" s="22"/>
      <c r="FMV357" s="22"/>
      <c r="FMW357" s="22"/>
      <c r="FMX357" s="22"/>
      <c r="FMY357" s="22"/>
      <c r="FMZ357" s="22"/>
      <c r="FNA357" s="22"/>
      <c r="FNB357" s="22"/>
      <c r="FNC357" s="22"/>
      <c r="FND357" s="22"/>
      <c r="FNE357" s="22"/>
      <c r="FNF357" s="22"/>
      <c r="FNG357" s="22"/>
      <c r="FNH357" s="22"/>
      <c r="FNI357" s="22"/>
      <c r="FNJ357" s="22"/>
      <c r="FNK357" s="22"/>
      <c r="FNL357" s="22"/>
      <c r="FNM357" s="22"/>
      <c r="FNN357" s="22"/>
      <c r="FNO357" s="22"/>
      <c r="FNP357" s="22"/>
      <c r="FNQ357" s="22"/>
      <c r="FNR357" s="22"/>
      <c r="FNS357" s="22"/>
      <c r="FNT357" s="22"/>
      <c r="FNU357" s="22"/>
      <c r="FNV357" s="22"/>
      <c r="FNW357" s="22"/>
      <c r="FNX357" s="22"/>
      <c r="FNY357" s="22"/>
      <c r="FNZ357" s="22"/>
      <c r="FOA357" s="22"/>
      <c r="FOB357" s="22"/>
      <c r="FOC357" s="22"/>
      <c r="FOD357" s="22"/>
      <c r="FOE357" s="22"/>
      <c r="FOF357" s="22"/>
      <c r="FOG357" s="22"/>
      <c r="FOH357" s="22"/>
      <c r="FOI357" s="22"/>
      <c r="FOJ357" s="22"/>
      <c r="FOK357" s="22"/>
      <c r="FOL357" s="22"/>
      <c r="FOM357" s="22"/>
      <c r="FON357" s="22"/>
      <c r="FOO357" s="22"/>
      <c r="FOP357" s="22"/>
      <c r="FOQ357" s="22"/>
      <c r="FOR357" s="22"/>
      <c r="FOS357" s="22"/>
      <c r="FOT357" s="22"/>
      <c r="FOU357" s="22"/>
      <c r="FOV357" s="22"/>
      <c r="FOW357" s="22"/>
      <c r="FOX357" s="22"/>
      <c r="FOY357" s="22"/>
      <c r="FOZ357" s="22"/>
      <c r="FPA357" s="22"/>
      <c r="FPB357" s="22"/>
      <c r="FPC357" s="22"/>
      <c r="FPD357" s="22"/>
      <c r="FPE357" s="22"/>
      <c r="FPF357" s="22"/>
      <c r="FPG357" s="22"/>
      <c r="FPH357" s="22"/>
      <c r="FPI357" s="22"/>
      <c r="FPJ357" s="22"/>
      <c r="FPK357" s="22"/>
      <c r="FPL357" s="22"/>
      <c r="FPM357" s="22"/>
      <c r="FPN357" s="22"/>
      <c r="FPO357" s="22"/>
      <c r="FPP357" s="22"/>
      <c r="FPQ357" s="22"/>
      <c r="FPR357" s="22"/>
      <c r="FPS357" s="22"/>
      <c r="FPT357" s="22"/>
      <c r="FPU357" s="22"/>
      <c r="FPV357" s="22"/>
      <c r="FPW357" s="22"/>
      <c r="FPX357" s="22"/>
      <c r="FPY357" s="22"/>
      <c r="FPZ357" s="22"/>
      <c r="FQA357" s="22"/>
      <c r="FQB357" s="22"/>
      <c r="FQC357" s="22"/>
      <c r="FQD357" s="22"/>
      <c r="FQE357" s="22"/>
      <c r="FQF357" s="22"/>
      <c r="FQG357" s="22"/>
      <c r="FQH357" s="22"/>
      <c r="FQI357" s="22"/>
      <c r="FQJ357" s="22"/>
      <c r="FQK357" s="22"/>
      <c r="FQL357" s="22"/>
      <c r="FQM357" s="22"/>
      <c r="FQN357" s="22"/>
      <c r="FQO357" s="22"/>
      <c r="FQP357" s="22"/>
      <c r="FQQ357" s="22"/>
      <c r="FQR357" s="22"/>
      <c r="FQS357" s="22"/>
      <c r="FQT357" s="22"/>
      <c r="FQU357" s="22"/>
      <c r="FQV357" s="22"/>
      <c r="FQW357" s="22"/>
      <c r="FQX357" s="22"/>
      <c r="FQY357" s="22"/>
      <c r="FQZ357" s="22"/>
      <c r="FRA357" s="22"/>
      <c r="FRB357" s="22"/>
      <c r="FRC357" s="22"/>
      <c r="FRD357" s="22"/>
      <c r="FRE357" s="22"/>
      <c r="FRF357" s="22"/>
      <c r="FRG357" s="22"/>
      <c r="FRH357" s="22"/>
      <c r="FRI357" s="22"/>
      <c r="FRJ357" s="22"/>
      <c r="FRK357" s="22"/>
      <c r="FRL357" s="22"/>
      <c r="FRM357" s="22"/>
      <c r="FRN357" s="22"/>
      <c r="FRO357" s="22"/>
      <c r="FRP357" s="22"/>
      <c r="FRQ357" s="22"/>
      <c r="FRR357" s="22"/>
      <c r="FRS357" s="22"/>
      <c r="FRT357" s="22"/>
      <c r="FRU357" s="22"/>
      <c r="FRV357" s="22"/>
      <c r="FRW357" s="22"/>
      <c r="FRX357" s="22"/>
      <c r="FRY357" s="22"/>
      <c r="FRZ357" s="22"/>
      <c r="FSA357" s="22"/>
      <c r="FSB357" s="22"/>
      <c r="FSC357" s="22"/>
      <c r="FSD357" s="22"/>
      <c r="FSE357" s="22"/>
      <c r="FSF357" s="22"/>
      <c r="FSG357" s="22"/>
      <c r="FSH357" s="22"/>
      <c r="FSI357" s="22"/>
      <c r="FSJ357" s="22"/>
      <c r="FSK357" s="22"/>
      <c r="FSL357" s="22"/>
      <c r="FSM357" s="22"/>
      <c r="FSN357" s="22"/>
      <c r="FSO357" s="22"/>
      <c r="FSP357" s="22"/>
      <c r="FSQ357" s="22"/>
      <c r="FSR357" s="22"/>
      <c r="FSS357" s="22"/>
      <c r="FST357" s="22"/>
      <c r="FSU357" s="22"/>
      <c r="FSV357" s="22"/>
      <c r="FSW357" s="22"/>
      <c r="FSX357" s="22"/>
      <c r="FSY357" s="22"/>
      <c r="FSZ357" s="22"/>
      <c r="FTA357" s="22"/>
      <c r="FTB357" s="22"/>
      <c r="FTC357" s="22"/>
      <c r="FTD357" s="22"/>
      <c r="FTE357" s="22"/>
      <c r="FTF357" s="22"/>
      <c r="FTG357" s="22"/>
      <c r="FTH357" s="22"/>
      <c r="FTI357" s="22"/>
      <c r="FTJ357" s="22"/>
      <c r="FTK357" s="22"/>
      <c r="FTL357" s="22"/>
      <c r="FTM357" s="22"/>
      <c r="FTN357" s="22"/>
      <c r="FTO357" s="22"/>
      <c r="FTP357" s="22"/>
      <c r="FTQ357" s="22"/>
      <c r="FTR357" s="22"/>
      <c r="FTS357" s="22"/>
      <c r="FTT357" s="22"/>
      <c r="FTU357" s="22"/>
      <c r="FTV357" s="22"/>
      <c r="FTW357" s="22"/>
      <c r="FTX357" s="22"/>
      <c r="FTY357" s="22"/>
      <c r="FTZ357" s="22"/>
      <c r="FUA357" s="22"/>
      <c r="FUB357" s="22"/>
      <c r="FUC357" s="22"/>
      <c r="FUD357" s="22"/>
      <c r="FUE357" s="22"/>
      <c r="FUF357" s="22"/>
      <c r="FUG357" s="22"/>
      <c r="FUH357" s="22"/>
      <c r="FUI357" s="22"/>
      <c r="FUJ357" s="22"/>
      <c r="FUK357" s="22"/>
      <c r="FUL357" s="22"/>
      <c r="FUM357" s="22"/>
      <c r="FUN357" s="22"/>
      <c r="FUO357" s="22"/>
      <c r="FUP357" s="22"/>
      <c r="FUQ357" s="22"/>
      <c r="FUR357" s="22"/>
      <c r="FUS357" s="22"/>
      <c r="FUT357" s="22"/>
      <c r="FUU357" s="22"/>
      <c r="FUV357" s="22"/>
      <c r="FUW357" s="22"/>
      <c r="FUX357" s="22"/>
      <c r="FUY357" s="22"/>
      <c r="FUZ357" s="22"/>
      <c r="FVA357" s="22"/>
      <c r="FVB357" s="22"/>
      <c r="FVC357" s="22"/>
      <c r="FVD357" s="22"/>
      <c r="FVE357" s="22"/>
      <c r="FVF357" s="22"/>
      <c r="FVG357" s="22"/>
      <c r="FVH357" s="22"/>
      <c r="FVI357" s="22"/>
      <c r="FVJ357" s="22"/>
      <c r="FVK357" s="22"/>
      <c r="FVL357" s="22"/>
      <c r="FVM357" s="22"/>
      <c r="FVN357" s="22"/>
      <c r="FVO357" s="22"/>
      <c r="FVP357" s="22"/>
      <c r="FVQ357" s="22"/>
      <c r="FVR357" s="22"/>
      <c r="FVS357" s="22"/>
      <c r="FVT357" s="22"/>
      <c r="FVU357" s="22"/>
      <c r="FVV357" s="22"/>
      <c r="FVW357" s="22"/>
      <c r="FVX357" s="22"/>
      <c r="FVY357" s="22"/>
      <c r="FVZ357" s="22"/>
      <c r="FWA357" s="22"/>
      <c r="FWB357" s="22"/>
      <c r="FWC357" s="22"/>
      <c r="FWD357" s="22"/>
      <c r="FWE357" s="22"/>
      <c r="FWF357" s="22"/>
      <c r="FWG357" s="22"/>
      <c r="FWH357" s="22"/>
      <c r="FWI357" s="22"/>
      <c r="FWJ357" s="22"/>
      <c r="FWK357" s="22"/>
      <c r="FWL357" s="22"/>
      <c r="FWM357" s="22"/>
      <c r="FWN357" s="22"/>
      <c r="FWO357" s="22"/>
      <c r="FWP357" s="22"/>
      <c r="FWQ357" s="22"/>
      <c r="FWR357" s="22"/>
      <c r="FWS357" s="22"/>
      <c r="FWT357" s="22"/>
      <c r="FWU357" s="22"/>
      <c r="FWV357" s="22"/>
      <c r="FWW357" s="22"/>
      <c r="FWX357" s="22"/>
      <c r="FWY357" s="22"/>
      <c r="FWZ357" s="22"/>
      <c r="FXA357" s="22"/>
      <c r="FXB357" s="22"/>
      <c r="FXC357" s="22"/>
      <c r="FXD357" s="22"/>
      <c r="FXE357" s="22"/>
      <c r="FXF357" s="22"/>
      <c r="FXG357" s="22"/>
      <c r="FXH357" s="22"/>
      <c r="FXI357" s="22"/>
      <c r="FXJ357" s="22"/>
      <c r="FXK357" s="22"/>
      <c r="FXL357" s="22"/>
      <c r="FXM357" s="22"/>
      <c r="FXN357" s="22"/>
      <c r="FXO357" s="22"/>
      <c r="FXP357" s="22"/>
      <c r="FXQ357" s="22"/>
      <c r="FXR357" s="22"/>
      <c r="FXS357" s="22"/>
      <c r="FXT357" s="22"/>
      <c r="FXU357" s="22"/>
      <c r="FXV357" s="22"/>
      <c r="FXW357" s="22"/>
      <c r="FXX357" s="22"/>
      <c r="FXY357" s="22"/>
      <c r="FXZ357" s="22"/>
      <c r="FYA357" s="22"/>
      <c r="FYB357" s="22"/>
      <c r="FYC357" s="22"/>
      <c r="FYD357" s="22"/>
      <c r="FYE357" s="22"/>
      <c r="FYF357" s="22"/>
      <c r="FYG357" s="22"/>
      <c r="FYH357" s="22"/>
      <c r="FYI357" s="22"/>
      <c r="FYJ357" s="22"/>
      <c r="FYK357" s="22"/>
      <c r="FYL357" s="22"/>
      <c r="FYM357" s="22"/>
      <c r="FYN357" s="22"/>
      <c r="FYO357" s="22"/>
      <c r="FYP357" s="22"/>
      <c r="FYQ357" s="22"/>
      <c r="FYR357" s="22"/>
      <c r="FYS357" s="22"/>
      <c r="FYT357" s="22"/>
      <c r="FYU357" s="22"/>
      <c r="FYV357" s="22"/>
      <c r="FYW357" s="22"/>
      <c r="FYX357" s="22"/>
      <c r="FYY357" s="22"/>
      <c r="FYZ357" s="22"/>
      <c r="FZA357" s="22"/>
      <c r="FZB357" s="22"/>
      <c r="FZC357" s="22"/>
      <c r="FZD357" s="22"/>
      <c r="FZE357" s="22"/>
      <c r="FZF357" s="22"/>
      <c r="FZG357" s="22"/>
      <c r="FZH357" s="22"/>
      <c r="FZI357" s="22"/>
      <c r="FZJ357" s="22"/>
      <c r="FZK357" s="22"/>
      <c r="FZL357" s="22"/>
      <c r="FZM357" s="22"/>
      <c r="FZN357" s="22"/>
      <c r="FZO357" s="22"/>
      <c r="FZP357" s="22"/>
      <c r="FZQ357" s="22"/>
      <c r="FZR357" s="22"/>
      <c r="FZS357" s="22"/>
      <c r="FZT357" s="22"/>
      <c r="FZU357" s="22"/>
      <c r="FZV357" s="22"/>
      <c r="FZW357" s="22"/>
      <c r="FZX357" s="22"/>
      <c r="FZY357" s="22"/>
      <c r="FZZ357" s="22"/>
      <c r="GAA357" s="22"/>
      <c r="GAB357" s="22"/>
      <c r="GAC357" s="22"/>
      <c r="GAD357" s="22"/>
      <c r="GAE357" s="22"/>
      <c r="GAF357" s="22"/>
      <c r="GAG357" s="22"/>
      <c r="GAH357" s="22"/>
      <c r="GAI357" s="22"/>
      <c r="GAJ357" s="22"/>
      <c r="GAK357" s="22"/>
      <c r="GAL357" s="22"/>
      <c r="GAM357" s="22"/>
      <c r="GAN357" s="22"/>
      <c r="GAO357" s="22"/>
      <c r="GAP357" s="22"/>
      <c r="GAQ357" s="22"/>
      <c r="GAR357" s="22"/>
      <c r="GAS357" s="22"/>
      <c r="GAT357" s="22"/>
      <c r="GAU357" s="22"/>
      <c r="GAV357" s="22"/>
      <c r="GAW357" s="22"/>
      <c r="GAX357" s="22"/>
      <c r="GAY357" s="22"/>
      <c r="GAZ357" s="22"/>
      <c r="GBA357" s="22"/>
      <c r="GBB357" s="22"/>
      <c r="GBC357" s="22"/>
      <c r="GBD357" s="22"/>
      <c r="GBE357" s="22"/>
      <c r="GBF357" s="22"/>
      <c r="GBG357" s="22"/>
      <c r="GBH357" s="22"/>
      <c r="GBI357" s="22"/>
      <c r="GBJ357" s="22"/>
      <c r="GBK357" s="22"/>
      <c r="GBL357" s="22"/>
      <c r="GBM357" s="22"/>
      <c r="GBN357" s="22"/>
      <c r="GBO357" s="22"/>
      <c r="GBP357" s="22"/>
      <c r="GBQ357" s="22"/>
      <c r="GBR357" s="22"/>
      <c r="GBS357" s="22"/>
      <c r="GBT357" s="22"/>
      <c r="GBU357" s="22"/>
      <c r="GBV357" s="22"/>
      <c r="GBW357" s="22"/>
      <c r="GBX357" s="22"/>
      <c r="GBY357" s="22"/>
      <c r="GBZ357" s="22"/>
      <c r="GCA357" s="22"/>
      <c r="GCB357" s="22"/>
      <c r="GCC357" s="22"/>
      <c r="GCD357" s="22"/>
      <c r="GCE357" s="22"/>
      <c r="GCF357" s="22"/>
      <c r="GCG357" s="22"/>
      <c r="GCH357" s="22"/>
      <c r="GCI357" s="22"/>
      <c r="GCJ357" s="22"/>
      <c r="GCK357" s="22"/>
      <c r="GCL357" s="22"/>
      <c r="GCM357" s="22"/>
      <c r="GCN357" s="22"/>
      <c r="GCO357" s="22"/>
      <c r="GCP357" s="22"/>
      <c r="GCQ357" s="22"/>
      <c r="GCR357" s="22"/>
      <c r="GCS357" s="22"/>
      <c r="GCT357" s="22"/>
      <c r="GCU357" s="22"/>
      <c r="GCV357" s="22"/>
      <c r="GCW357" s="22"/>
      <c r="GCX357" s="22"/>
      <c r="GCY357" s="22"/>
      <c r="GCZ357" s="22"/>
      <c r="GDA357" s="22"/>
      <c r="GDB357" s="22"/>
      <c r="GDC357" s="22"/>
      <c r="GDD357" s="22"/>
      <c r="GDE357" s="22"/>
      <c r="GDF357" s="22"/>
      <c r="GDG357" s="22"/>
      <c r="GDH357" s="22"/>
      <c r="GDI357" s="22"/>
      <c r="GDJ357" s="22"/>
      <c r="GDK357" s="22"/>
      <c r="GDL357" s="22"/>
      <c r="GDM357" s="22"/>
      <c r="GDN357" s="22"/>
      <c r="GDO357" s="22"/>
      <c r="GDP357" s="22"/>
      <c r="GDQ357" s="22"/>
      <c r="GDR357" s="22"/>
      <c r="GDS357" s="22"/>
      <c r="GDT357" s="22"/>
      <c r="GDU357" s="22"/>
      <c r="GDV357" s="22"/>
      <c r="GDW357" s="22"/>
      <c r="GDX357" s="22"/>
      <c r="GDY357" s="22"/>
      <c r="GDZ357" s="22"/>
      <c r="GEA357" s="22"/>
      <c r="GEB357" s="22"/>
      <c r="GEC357" s="22"/>
      <c r="GED357" s="22"/>
      <c r="GEE357" s="22"/>
      <c r="GEF357" s="22"/>
      <c r="GEG357" s="22"/>
      <c r="GEH357" s="22"/>
      <c r="GEI357" s="22"/>
      <c r="GEJ357" s="22"/>
      <c r="GEK357" s="22"/>
      <c r="GEL357" s="22"/>
      <c r="GEM357" s="22"/>
      <c r="GEN357" s="22"/>
      <c r="GEO357" s="22"/>
      <c r="GEP357" s="22"/>
      <c r="GEQ357" s="22"/>
      <c r="GER357" s="22"/>
      <c r="GES357" s="22"/>
      <c r="GET357" s="22"/>
      <c r="GEU357" s="22"/>
      <c r="GEV357" s="22"/>
      <c r="GEW357" s="22"/>
      <c r="GEX357" s="22"/>
      <c r="GEY357" s="22"/>
      <c r="GEZ357" s="22"/>
      <c r="GFA357" s="22"/>
      <c r="GFB357" s="22"/>
      <c r="GFC357" s="22"/>
      <c r="GFD357" s="22"/>
      <c r="GFE357" s="22"/>
      <c r="GFF357" s="22"/>
      <c r="GFG357" s="22"/>
      <c r="GFH357" s="22"/>
      <c r="GFI357" s="22"/>
      <c r="GFJ357" s="22"/>
      <c r="GFK357" s="22"/>
      <c r="GFL357" s="22"/>
      <c r="GFM357" s="22"/>
      <c r="GFN357" s="22"/>
      <c r="GFO357" s="22"/>
      <c r="GFP357" s="22"/>
      <c r="GFQ357" s="22"/>
      <c r="GFR357" s="22"/>
      <c r="GFS357" s="22"/>
      <c r="GFT357" s="22"/>
      <c r="GFU357" s="22"/>
      <c r="GFV357" s="22"/>
      <c r="GFW357" s="22"/>
      <c r="GFX357" s="22"/>
      <c r="GFY357" s="22"/>
      <c r="GFZ357" s="22"/>
      <c r="GGA357" s="22"/>
      <c r="GGB357" s="22"/>
      <c r="GGC357" s="22"/>
      <c r="GGD357" s="22"/>
      <c r="GGE357" s="22"/>
      <c r="GGF357" s="22"/>
      <c r="GGG357" s="22"/>
      <c r="GGH357" s="22"/>
      <c r="GGI357" s="22"/>
      <c r="GGJ357" s="22"/>
      <c r="GGK357" s="22"/>
      <c r="GGL357" s="22"/>
      <c r="GGM357" s="22"/>
      <c r="GGN357" s="22"/>
      <c r="GGO357" s="22"/>
      <c r="GGP357" s="22"/>
      <c r="GGQ357" s="22"/>
      <c r="GGR357" s="22"/>
      <c r="GGS357" s="22"/>
      <c r="GGT357" s="22"/>
      <c r="GGU357" s="22"/>
      <c r="GGV357" s="22"/>
      <c r="GGW357" s="22"/>
      <c r="GGX357" s="22"/>
      <c r="GGY357" s="22"/>
      <c r="GGZ357" s="22"/>
      <c r="GHA357" s="22"/>
      <c r="GHB357" s="22"/>
      <c r="GHC357" s="22"/>
      <c r="GHD357" s="22"/>
      <c r="GHE357" s="22"/>
      <c r="GHF357" s="22"/>
      <c r="GHG357" s="22"/>
      <c r="GHH357" s="22"/>
      <c r="GHI357" s="22"/>
      <c r="GHJ357" s="22"/>
      <c r="GHK357" s="22"/>
      <c r="GHL357" s="22"/>
      <c r="GHM357" s="22"/>
      <c r="GHN357" s="22"/>
      <c r="GHO357" s="22"/>
      <c r="GHP357" s="22"/>
      <c r="GHQ357" s="22"/>
      <c r="GHR357" s="22"/>
      <c r="GHS357" s="22"/>
      <c r="GHT357" s="22"/>
      <c r="GHU357" s="22"/>
      <c r="GHV357" s="22"/>
      <c r="GHW357" s="22"/>
      <c r="GHX357" s="22"/>
      <c r="GHY357" s="22"/>
      <c r="GHZ357" s="22"/>
      <c r="GIA357" s="22"/>
      <c r="GIB357" s="22"/>
      <c r="GIC357" s="22"/>
      <c r="GID357" s="22"/>
      <c r="GIE357" s="22"/>
      <c r="GIF357" s="22"/>
      <c r="GIG357" s="22"/>
      <c r="GIH357" s="22"/>
      <c r="GII357" s="22"/>
      <c r="GIJ357" s="22"/>
      <c r="GIK357" s="22"/>
      <c r="GIL357" s="22"/>
      <c r="GIM357" s="22"/>
      <c r="GIN357" s="22"/>
      <c r="GIO357" s="22"/>
      <c r="GIP357" s="22"/>
      <c r="GIQ357" s="22"/>
      <c r="GIR357" s="22"/>
      <c r="GIS357" s="22"/>
      <c r="GIT357" s="22"/>
      <c r="GIU357" s="22"/>
      <c r="GIV357" s="22"/>
      <c r="GIW357" s="22"/>
      <c r="GIX357" s="22"/>
      <c r="GIY357" s="22"/>
      <c r="GIZ357" s="22"/>
      <c r="GJA357" s="22"/>
      <c r="GJB357" s="22"/>
      <c r="GJC357" s="22"/>
      <c r="GJD357" s="22"/>
      <c r="GJE357" s="22"/>
      <c r="GJF357" s="22"/>
      <c r="GJG357" s="22"/>
      <c r="GJH357" s="22"/>
      <c r="GJI357" s="22"/>
      <c r="GJJ357" s="22"/>
      <c r="GJK357" s="22"/>
      <c r="GJL357" s="22"/>
      <c r="GJM357" s="22"/>
      <c r="GJN357" s="22"/>
      <c r="GJO357" s="22"/>
      <c r="GJP357" s="22"/>
      <c r="GJQ357" s="22"/>
      <c r="GJR357" s="22"/>
      <c r="GJS357" s="22"/>
      <c r="GJT357" s="22"/>
      <c r="GJU357" s="22"/>
      <c r="GJV357" s="22"/>
      <c r="GJW357" s="22"/>
      <c r="GJX357" s="22"/>
      <c r="GJY357" s="22"/>
      <c r="GJZ357" s="22"/>
      <c r="GKA357" s="22"/>
      <c r="GKB357" s="22"/>
      <c r="GKC357" s="22"/>
      <c r="GKD357" s="22"/>
      <c r="GKE357" s="22"/>
      <c r="GKF357" s="22"/>
      <c r="GKG357" s="22"/>
      <c r="GKH357" s="22"/>
      <c r="GKI357" s="22"/>
      <c r="GKJ357" s="22"/>
      <c r="GKK357" s="22"/>
      <c r="GKL357" s="22"/>
      <c r="GKM357" s="22"/>
      <c r="GKN357" s="22"/>
      <c r="GKO357" s="22"/>
      <c r="GKP357" s="22"/>
      <c r="GKQ357" s="22"/>
      <c r="GKR357" s="22"/>
      <c r="GKS357" s="22"/>
      <c r="GKT357" s="22"/>
      <c r="GKU357" s="22"/>
      <c r="GKV357" s="22"/>
      <c r="GKW357" s="22"/>
      <c r="GKX357" s="22"/>
      <c r="GKY357" s="22"/>
      <c r="GKZ357" s="22"/>
      <c r="GLA357" s="22"/>
      <c r="GLB357" s="22"/>
      <c r="GLC357" s="22"/>
      <c r="GLD357" s="22"/>
      <c r="GLE357" s="22"/>
      <c r="GLF357" s="22"/>
      <c r="GLG357" s="22"/>
      <c r="GLH357" s="22"/>
      <c r="GLI357" s="22"/>
      <c r="GLJ357" s="22"/>
      <c r="GLK357" s="22"/>
      <c r="GLL357" s="22"/>
      <c r="GLM357" s="22"/>
      <c r="GLN357" s="22"/>
      <c r="GLO357" s="22"/>
      <c r="GLP357" s="22"/>
      <c r="GLQ357" s="22"/>
      <c r="GLR357" s="22"/>
      <c r="GLS357" s="22"/>
      <c r="GLT357" s="22"/>
      <c r="GLU357" s="22"/>
      <c r="GLV357" s="22"/>
      <c r="GLW357" s="22"/>
      <c r="GLX357" s="22"/>
      <c r="GLY357" s="22"/>
      <c r="GLZ357" s="22"/>
      <c r="GMA357" s="22"/>
      <c r="GMB357" s="22"/>
      <c r="GMC357" s="22"/>
      <c r="GMD357" s="22"/>
      <c r="GME357" s="22"/>
      <c r="GMF357" s="22"/>
      <c r="GMG357" s="22"/>
      <c r="GMH357" s="22"/>
      <c r="GMI357" s="22"/>
      <c r="GMJ357" s="22"/>
      <c r="GMK357" s="22"/>
      <c r="GML357" s="22"/>
      <c r="GMM357" s="22"/>
      <c r="GMN357" s="22"/>
      <c r="GMO357" s="22"/>
      <c r="GMP357" s="22"/>
      <c r="GMQ357" s="22"/>
      <c r="GMR357" s="22"/>
      <c r="GMS357" s="22"/>
      <c r="GMT357" s="22"/>
      <c r="GMU357" s="22"/>
      <c r="GMV357" s="22"/>
      <c r="GMW357" s="22"/>
      <c r="GMX357" s="22"/>
      <c r="GMY357" s="22"/>
      <c r="GMZ357" s="22"/>
      <c r="GNA357" s="22"/>
      <c r="GNB357" s="22"/>
      <c r="GNC357" s="22"/>
      <c r="GND357" s="22"/>
      <c r="GNE357" s="22"/>
      <c r="GNF357" s="22"/>
      <c r="GNG357" s="22"/>
      <c r="GNH357" s="22"/>
      <c r="GNI357" s="22"/>
      <c r="GNJ357" s="22"/>
      <c r="GNK357" s="22"/>
      <c r="GNL357" s="22"/>
      <c r="GNM357" s="22"/>
      <c r="GNN357" s="22"/>
      <c r="GNO357" s="22"/>
      <c r="GNP357" s="22"/>
      <c r="GNQ357" s="22"/>
      <c r="GNR357" s="22"/>
      <c r="GNS357" s="22"/>
      <c r="GNT357" s="22"/>
      <c r="GNU357" s="22"/>
      <c r="GNV357" s="22"/>
      <c r="GNW357" s="22"/>
      <c r="GNX357" s="22"/>
      <c r="GNY357" s="22"/>
      <c r="GNZ357" s="22"/>
      <c r="GOA357" s="22"/>
      <c r="GOB357" s="22"/>
      <c r="GOC357" s="22"/>
      <c r="GOD357" s="22"/>
      <c r="GOE357" s="22"/>
      <c r="GOF357" s="22"/>
      <c r="GOG357" s="22"/>
      <c r="GOH357" s="22"/>
      <c r="GOI357" s="22"/>
      <c r="GOJ357" s="22"/>
      <c r="GOK357" s="22"/>
      <c r="GOL357" s="22"/>
      <c r="GOM357" s="22"/>
      <c r="GON357" s="22"/>
      <c r="GOO357" s="22"/>
      <c r="GOP357" s="22"/>
      <c r="GOQ357" s="22"/>
      <c r="GOR357" s="22"/>
      <c r="GOS357" s="22"/>
      <c r="GOT357" s="22"/>
      <c r="GOU357" s="22"/>
      <c r="GOV357" s="22"/>
      <c r="GOW357" s="22"/>
      <c r="GOX357" s="22"/>
      <c r="GOY357" s="22"/>
      <c r="GOZ357" s="22"/>
      <c r="GPA357" s="22"/>
      <c r="GPB357" s="22"/>
      <c r="GPC357" s="22"/>
      <c r="GPD357" s="22"/>
      <c r="GPE357" s="22"/>
      <c r="GPF357" s="22"/>
      <c r="GPG357" s="22"/>
      <c r="GPH357" s="22"/>
      <c r="GPI357" s="22"/>
      <c r="GPJ357" s="22"/>
      <c r="GPK357" s="22"/>
      <c r="GPL357" s="22"/>
      <c r="GPM357" s="22"/>
      <c r="GPN357" s="22"/>
      <c r="GPO357" s="22"/>
      <c r="GPP357" s="22"/>
      <c r="GPQ357" s="22"/>
      <c r="GPR357" s="22"/>
      <c r="GPS357" s="22"/>
      <c r="GPT357" s="22"/>
      <c r="GPU357" s="22"/>
      <c r="GPV357" s="22"/>
      <c r="GPW357" s="22"/>
      <c r="GPX357" s="22"/>
      <c r="GPY357" s="22"/>
      <c r="GPZ357" s="22"/>
      <c r="GQA357" s="22"/>
      <c r="GQB357" s="22"/>
      <c r="GQC357" s="22"/>
      <c r="GQD357" s="22"/>
      <c r="GQE357" s="22"/>
      <c r="GQF357" s="22"/>
      <c r="GQG357" s="22"/>
      <c r="GQH357" s="22"/>
      <c r="GQI357" s="22"/>
      <c r="GQJ357" s="22"/>
      <c r="GQK357" s="22"/>
      <c r="GQL357" s="22"/>
      <c r="GQM357" s="22"/>
      <c r="GQN357" s="22"/>
      <c r="GQO357" s="22"/>
      <c r="GQP357" s="22"/>
      <c r="GQQ357" s="22"/>
      <c r="GQR357" s="22"/>
      <c r="GQS357" s="22"/>
      <c r="GQT357" s="22"/>
      <c r="GQU357" s="22"/>
      <c r="GQV357" s="22"/>
      <c r="GQW357" s="22"/>
      <c r="GQX357" s="22"/>
      <c r="GQY357" s="22"/>
      <c r="GQZ357" s="22"/>
      <c r="GRA357" s="22"/>
      <c r="GRB357" s="22"/>
      <c r="GRC357" s="22"/>
      <c r="GRD357" s="22"/>
      <c r="GRE357" s="22"/>
      <c r="GRF357" s="22"/>
      <c r="GRG357" s="22"/>
      <c r="GRH357" s="22"/>
      <c r="GRI357" s="22"/>
      <c r="GRJ357" s="22"/>
      <c r="GRK357" s="22"/>
      <c r="GRL357" s="22"/>
      <c r="GRM357" s="22"/>
      <c r="GRN357" s="22"/>
      <c r="GRO357" s="22"/>
      <c r="GRP357" s="22"/>
      <c r="GRQ357" s="22"/>
      <c r="GRR357" s="22"/>
      <c r="GRS357" s="22"/>
      <c r="GRT357" s="22"/>
      <c r="GRU357" s="22"/>
      <c r="GRV357" s="22"/>
      <c r="GRW357" s="22"/>
      <c r="GRX357" s="22"/>
      <c r="GRY357" s="22"/>
      <c r="GRZ357" s="22"/>
      <c r="GSA357" s="22"/>
      <c r="GSB357" s="22"/>
      <c r="GSC357" s="22"/>
      <c r="GSD357" s="22"/>
      <c r="GSE357" s="22"/>
      <c r="GSF357" s="22"/>
      <c r="GSG357" s="22"/>
      <c r="GSH357" s="22"/>
      <c r="GSI357" s="22"/>
      <c r="GSJ357" s="22"/>
      <c r="GSK357" s="22"/>
      <c r="GSL357" s="22"/>
      <c r="GSM357" s="22"/>
      <c r="GSN357" s="22"/>
      <c r="GSO357" s="22"/>
      <c r="GSP357" s="22"/>
      <c r="GSQ357" s="22"/>
      <c r="GSR357" s="22"/>
      <c r="GSS357" s="22"/>
      <c r="GST357" s="22"/>
      <c r="GSU357" s="22"/>
      <c r="GSV357" s="22"/>
      <c r="GSW357" s="22"/>
      <c r="GSX357" s="22"/>
      <c r="GSY357" s="22"/>
      <c r="GSZ357" s="22"/>
      <c r="GTA357" s="22"/>
      <c r="GTB357" s="22"/>
      <c r="GTC357" s="22"/>
      <c r="GTD357" s="22"/>
      <c r="GTE357" s="22"/>
      <c r="GTF357" s="22"/>
      <c r="GTG357" s="22"/>
      <c r="GTH357" s="22"/>
      <c r="GTI357" s="22"/>
      <c r="GTJ357" s="22"/>
      <c r="GTK357" s="22"/>
      <c r="GTL357" s="22"/>
      <c r="GTM357" s="22"/>
      <c r="GTN357" s="22"/>
      <c r="GTO357" s="22"/>
      <c r="GTP357" s="22"/>
      <c r="GTQ357" s="22"/>
      <c r="GTR357" s="22"/>
      <c r="GTS357" s="22"/>
      <c r="GTT357" s="22"/>
      <c r="GTU357" s="22"/>
      <c r="GTV357" s="22"/>
      <c r="GTW357" s="22"/>
      <c r="GTX357" s="22"/>
      <c r="GTY357" s="22"/>
      <c r="GTZ357" s="22"/>
      <c r="GUA357" s="22"/>
      <c r="GUB357" s="22"/>
      <c r="GUC357" s="22"/>
      <c r="GUD357" s="22"/>
      <c r="GUE357" s="22"/>
      <c r="GUF357" s="22"/>
      <c r="GUG357" s="22"/>
      <c r="GUH357" s="22"/>
      <c r="GUI357" s="22"/>
      <c r="GUJ357" s="22"/>
      <c r="GUK357" s="22"/>
      <c r="GUL357" s="22"/>
      <c r="GUM357" s="22"/>
      <c r="GUN357" s="22"/>
      <c r="GUO357" s="22"/>
      <c r="GUP357" s="22"/>
      <c r="GUQ357" s="22"/>
      <c r="GUR357" s="22"/>
      <c r="GUS357" s="22"/>
      <c r="GUT357" s="22"/>
      <c r="GUU357" s="22"/>
      <c r="GUV357" s="22"/>
      <c r="GUW357" s="22"/>
      <c r="GUX357" s="22"/>
      <c r="GUY357" s="22"/>
      <c r="GUZ357" s="22"/>
      <c r="GVA357" s="22"/>
      <c r="GVB357" s="22"/>
      <c r="GVC357" s="22"/>
      <c r="GVD357" s="22"/>
      <c r="GVE357" s="22"/>
      <c r="GVF357" s="22"/>
      <c r="GVG357" s="22"/>
      <c r="GVH357" s="22"/>
      <c r="GVI357" s="22"/>
      <c r="GVJ357" s="22"/>
      <c r="GVK357" s="22"/>
      <c r="GVL357" s="22"/>
      <c r="GVM357" s="22"/>
      <c r="GVN357" s="22"/>
      <c r="GVO357" s="22"/>
      <c r="GVP357" s="22"/>
      <c r="GVQ357" s="22"/>
      <c r="GVR357" s="22"/>
      <c r="GVS357" s="22"/>
      <c r="GVT357" s="22"/>
      <c r="GVU357" s="22"/>
      <c r="GVV357" s="22"/>
      <c r="GVW357" s="22"/>
      <c r="GVX357" s="22"/>
      <c r="GVY357" s="22"/>
      <c r="GVZ357" s="22"/>
      <c r="GWA357" s="22"/>
      <c r="GWB357" s="22"/>
      <c r="GWC357" s="22"/>
      <c r="GWD357" s="22"/>
      <c r="GWE357" s="22"/>
      <c r="GWF357" s="22"/>
      <c r="GWG357" s="22"/>
      <c r="GWH357" s="22"/>
      <c r="GWI357" s="22"/>
      <c r="GWJ357" s="22"/>
      <c r="GWK357" s="22"/>
      <c r="GWL357" s="22"/>
      <c r="GWM357" s="22"/>
      <c r="GWN357" s="22"/>
      <c r="GWO357" s="22"/>
      <c r="GWP357" s="22"/>
      <c r="GWQ357" s="22"/>
      <c r="GWR357" s="22"/>
      <c r="GWS357" s="22"/>
      <c r="GWT357" s="22"/>
      <c r="GWU357" s="22"/>
      <c r="GWV357" s="22"/>
      <c r="GWW357" s="22"/>
      <c r="GWX357" s="22"/>
      <c r="GWY357" s="22"/>
      <c r="GWZ357" s="22"/>
      <c r="GXA357" s="22"/>
      <c r="GXB357" s="22"/>
      <c r="GXC357" s="22"/>
      <c r="GXD357" s="22"/>
      <c r="GXE357" s="22"/>
      <c r="GXF357" s="22"/>
      <c r="GXG357" s="22"/>
      <c r="GXH357" s="22"/>
      <c r="GXI357" s="22"/>
      <c r="GXJ357" s="22"/>
      <c r="GXK357" s="22"/>
      <c r="GXL357" s="22"/>
      <c r="GXM357" s="22"/>
      <c r="GXN357" s="22"/>
      <c r="GXO357" s="22"/>
      <c r="GXP357" s="22"/>
      <c r="GXQ357" s="22"/>
      <c r="GXR357" s="22"/>
      <c r="GXS357" s="22"/>
      <c r="GXT357" s="22"/>
      <c r="GXU357" s="22"/>
      <c r="GXV357" s="22"/>
      <c r="GXW357" s="22"/>
      <c r="GXX357" s="22"/>
      <c r="GXY357" s="22"/>
      <c r="GXZ357" s="22"/>
      <c r="GYA357" s="22"/>
      <c r="GYB357" s="22"/>
      <c r="GYC357" s="22"/>
      <c r="GYD357" s="22"/>
      <c r="GYE357" s="22"/>
      <c r="GYF357" s="22"/>
      <c r="GYG357" s="22"/>
      <c r="GYH357" s="22"/>
      <c r="GYI357" s="22"/>
      <c r="GYJ357" s="22"/>
      <c r="GYK357" s="22"/>
      <c r="GYL357" s="22"/>
      <c r="GYM357" s="22"/>
      <c r="GYN357" s="22"/>
      <c r="GYO357" s="22"/>
      <c r="GYP357" s="22"/>
      <c r="GYQ357" s="22"/>
      <c r="GYR357" s="22"/>
      <c r="GYS357" s="22"/>
      <c r="GYT357" s="22"/>
      <c r="GYU357" s="22"/>
      <c r="GYV357" s="22"/>
      <c r="GYW357" s="22"/>
      <c r="GYX357" s="22"/>
      <c r="GYY357" s="22"/>
      <c r="GYZ357" s="22"/>
      <c r="GZA357" s="22"/>
      <c r="GZB357" s="22"/>
      <c r="GZC357" s="22"/>
      <c r="GZD357" s="22"/>
      <c r="GZE357" s="22"/>
      <c r="GZF357" s="22"/>
      <c r="GZG357" s="22"/>
      <c r="GZH357" s="22"/>
      <c r="GZI357" s="22"/>
      <c r="GZJ357" s="22"/>
      <c r="GZK357" s="22"/>
      <c r="GZL357" s="22"/>
      <c r="GZM357" s="22"/>
      <c r="GZN357" s="22"/>
      <c r="GZO357" s="22"/>
      <c r="GZP357" s="22"/>
      <c r="GZQ357" s="22"/>
      <c r="GZR357" s="22"/>
      <c r="GZS357" s="22"/>
      <c r="GZT357" s="22"/>
      <c r="GZU357" s="22"/>
      <c r="GZV357" s="22"/>
      <c r="GZW357" s="22"/>
      <c r="GZX357" s="22"/>
      <c r="GZY357" s="22"/>
      <c r="GZZ357" s="22"/>
      <c r="HAA357" s="22"/>
      <c r="HAB357" s="22"/>
      <c r="HAC357" s="22"/>
      <c r="HAD357" s="22"/>
      <c r="HAE357" s="22"/>
      <c r="HAF357" s="22"/>
      <c r="HAG357" s="22"/>
      <c r="HAH357" s="22"/>
      <c r="HAI357" s="22"/>
      <c r="HAJ357" s="22"/>
      <c r="HAK357" s="22"/>
      <c r="HAL357" s="22"/>
      <c r="HAM357" s="22"/>
      <c r="HAN357" s="22"/>
      <c r="HAO357" s="22"/>
      <c r="HAP357" s="22"/>
      <c r="HAQ357" s="22"/>
      <c r="HAR357" s="22"/>
      <c r="HAS357" s="22"/>
      <c r="HAT357" s="22"/>
      <c r="HAU357" s="22"/>
      <c r="HAV357" s="22"/>
      <c r="HAW357" s="22"/>
      <c r="HAX357" s="22"/>
      <c r="HAY357" s="22"/>
      <c r="HAZ357" s="22"/>
      <c r="HBA357" s="22"/>
      <c r="HBB357" s="22"/>
      <c r="HBC357" s="22"/>
      <c r="HBD357" s="22"/>
      <c r="HBE357" s="22"/>
      <c r="HBF357" s="22"/>
      <c r="HBG357" s="22"/>
      <c r="HBH357" s="22"/>
      <c r="HBI357" s="22"/>
      <c r="HBJ357" s="22"/>
      <c r="HBK357" s="22"/>
      <c r="HBL357" s="22"/>
      <c r="HBM357" s="22"/>
      <c r="HBN357" s="22"/>
      <c r="HBO357" s="22"/>
      <c r="HBP357" s="22"/>
      <c r="HBQ357" s="22"/>
      <c r="HBR357" s="22"/>
      <c r="HBS357" s="22"/>
      <c r="HBT357" s="22"/>
      <c r="HBU357" s="22"/>
      <c r="HBV357" s="22"/>
      <c r="HBW357" s="22"/>
      <c r="HBX357" s="22"/>
      <c r="HBY357" s="22"/>
      <c r="HBZ357" s="22"/>
      <c r="HCA357" s="22"/>
      <c r="HCB357" s="22"/>
      <c r="HCC357" s="22"/>
      <c r="HCD357" s="22"/>
      <c r="HCE357" s="22"/>
      <c r="HCF357" s="22"/>
      <c r="HCG357" s="22"/>
      <c r="HCH357" s="22"/>
      <c r="HCI357" s="22"/>
      <c r="HCJ357" s="22"/>
      <c r="HCK357" s="22"/>
      <c r="HCL357" s="22"/>
      <c r="HCM357" s="22"/>
      <c r="HCN357" s="22"/>
      <c r="HCO357" s="22"/>
      <c r="HCP357" s="22"/>
      <c r="HCQ357" s="22"/>
      <c r="HCR357" s="22"/>
      <c r="HCS357" s="22"/>
      <c r="HCT357" s="22"/>
      <c r="HCU357" s="22"/>
      <c r="HCV357" s="22"/>
      <c r="HCW357" s="22"/>
      <c r="HCX357" s="22"/>
      <c r="HCY357" s="22"/>
      <c r="HCZ357" s="22"/>
      <c r="HDA357" s="22"/>
      <c r="HDB357" s="22"/>
      <c r="HDC357" s="22"/>
      <c r="HDD357" s="22"/>
      <c r="HDE357" s="22"/>
      <c r="HDF357" s="22"/>
      <c r="HDG357" s="22"/>
      <c r="HDH357" s="22"/>
      <c r="HDI357" s="22"/>
      <c r="HDJ357" s="22"/>
      <c r="HDK357" s="22"/>
      <c r="HDL357" s="22"/>
      <c r="HDM357" s="22"/>
      <c r="HDN357" s="22"/>
      <c r="HDO357" s="22"/>
      <c r="HDP357" s="22"/>
      <c r="HDQ357" s="22"/>
      <c r="HDR357" s="22"/>
      <c r="HDS357" s="22"/>
      <c r="HDT357" s="22"/>
      <c r="HDU357" s="22"/>
      <c r="HDV357" s="22"/>
      <c r="HDW357" s="22"/>
      <c r="HDX357" s="22"/>
      <c r="HDY357" s="22"/>
      <c r="HDZ357" s="22"/>
      <c r="HEA357" s="22"/>
      <c r="HEB357" s="22"/>
      <c r="HEC357" s="22"/>
      <c r="HED357" s="22"/>
      <c r="HEE357" s="22"/>
      <c r="HEF357" s="22"/>
      <c r="HEG357" s="22"/>
      <c r="HEH357" s="22"/>
      <c r="HEI357" s="22"/>
      <c r="HEJ357" s="22"/>
      <c r="HEK357" s="22"/>
      <c r="HEL357" s="22"/>
      <c r="HEM357" s="22"/>
      <c r="HEN357" s="22"/>
      <c r="HEO357" s="22"/>
      <c r="HEP357" s="22"/>
      <c r="HEQ357" s="22"/>
      <c r="HER357" s="22"/>
      <c r="HES357" s="22"/>
      <c r="HET357" s="22"/>
      <c r="HEU357" s="22"/>
      <c r="HEV357" s="22"/>
      <c r="HEW357" s="22"/>
      <c r="HEX357" s="22"/>
      <c r="HEY357" s="22"/>
      <c r="HEZ357" s="22"/>
      <c r="HFA357" s="22"/>
      <c r="HFB357" s="22"/>
      <c r="HFC357" s="22"/>
      <c r="HFD357" s="22"/>
      <c r="HFE357" s="22"/>
      <c r="HFF357" s="22"/>
      <c r="HFG357" s="22"/>
      <c r="HFH357" s="22"/>
      <c r="HFI357" s="22"/>
      <c r="HFJ357" s="22"/>
      <c r="HFK357" s="22"/>
      <c r="HFL357" s="22"/>
      <c r="HFM357" s="22"/>
      <c r="HFN357" s="22"/>
      <c r="HFO357" s="22"/>
      <c r="HFP357" s="22"/>
      <c r="HFQ357" s="22"/>
      <c r="HFR357" s="22"/>
      <c r="HFS357" s="22"/>
      <c r="HFT357" s="22"/>
      <c r="HFU357" s="22"/>
      <c r="HFV357" s="22"/>
      <c r="HFW357" s="22"/>
      <c r="HFX357" s="22"/>
      <c r="HFY357" s="22"/>
      <c r="HFZ357" s="22"/>
      <c r="HGA357" s="22"/>
      <c r="HGB357" s="22"/>
      <c r="HGC357" s="22"/>
      <c r="HGD357" s="22"/>
      <c r="HGE357" s="22"/>
      <c r="HGF357" s="22"/>
      <c r="HGG357" s="22"/>
      <c r="HGH357" s="22"/>
      <c r="HGI357" s="22"/>
      <c r="HGJ357" s="22"/>
      <c r="HGK357" s="22"/>
      <c r="HGL357" s="22"/>
      <c r="HGM357" s="22"/>
      <c r="HGN357" s="22"/>
      <c r="HGO357" s="22"/>
      <c r="HGP357" s="22"/>
      <c r="HGQ357" s="22"/>
      <c r="HGR357" s="22"/>
      <c r="HGS357" s="22"/>
      <c r="HGT357" s="22"/>
      <c r="HGU357" s="22"/>
      <c r="HGV357" s="22"/>
      <c r="HGW357" s="22"/>
      <c r="HGX357" s="22"/>
      <c r="HGY357" s="22"/>
      <c r="HGZ357" s="22"/>
      <c r="HHA357" s="22"/>
      <c r="HHB357" s="22"/>
      <c r="HHC357" s="22"/>
      <c r="HHD357" s="22"/>
      <c r="HHE357" s="22"/>
      <c r="HHF357" s="22"/>
      <c r="HHG357" s="22"/>
      <c r="HHH357" s="22"/>
      <c r="HHI357" s="22"/>
      <c r="HHJ357" s="22"/>
      <c r="HHK357" s="22"/>
      <c r="HHL357" s="22"/>
      <c r="HHM357" s="22"/>
      <c r="HHN357" s="22"/>
      <c r="HHO357" s="22"/>
      <c r="HHP357" s="22"/>
      <c r="HHQ357" s="22"/>
      <c r="HHR357" s="22"/>
      <c r="HHS357" s="22"/>
      <c r="HHT357" s="22"/>
      <c r="HHU357" s="22"/>
      <c r="HHV357" s="22"/>
      <c r="HHW357" s="22"/>
      <c r="HHX357" s="22"/>
      <c r="HHY357" s="22"/>
      <c r="HHZ357" s="22"/>
      <c r="HIA357" s="22"/>
      <c r="HIB357" s="22"/>
      <c r="HIC357" s="22"/>
      <c r="HID357" s="22"/>
      <c r="HIE357" s="22"/>
      <c r="HIF357" s="22"/>
      <c r="HIG357" s="22"/>
      <c r="HIH357" s="22"/>
      <c r="HII357" s="22"/>
      <c r="HIJ357" s="22"/>
      <c r="HIK357" s="22"/>
      <c r="HIL357" s="22"/>
      <c r="HIM357" s="22"/>
      <c r="HIN357" s="22"/>
      <c r="HIO357" s="22"/>
      <c r="HIP357" s="22"/>
      <c r="HIQ357" s="22"/>
      <c r="HIR357" s="22"/>
      <c r="HIS357" s="22"/>
      <c r="HIT357" s="22"/>
      <c r="HIU357" s="22"/>
      <c r="HIV357" s="22"/>
      <c r="HIW357" s="22"/>
      <c r="HIX357" s="22"/>
      <c r="HIY357" s="22"/>
      <c r="HIZ357" s="22"/>
      <c r="HJA357" s="22"/>
      <c r="HJB357" s="22"/>
      <c r="HJC357" s="22"/>
      <c r="HJD357" s="22"/>
      <c r="HJE357" s="22"/>
      <c r="HJF357" s="22"/>
      <c r="HJG357" s="22"/>
      <c r="HJH357" s="22"/>
      <c r="HJI357" s="22"/>
      <c r="HJJ357" s="22"/>
      <c r="HJK357" s="22"/>
      <c r="HJL357" s="22"/>
      <c r="HJM357" s="22"/>
      <c r="HJN357" s="22"/>
      <c r="HJO357" s="22"/>
      <c r="HJP357" s="22"/>
      <c r="HJQ357" s="22"/>
      <c r="HJR357" s="22"/>
      <c r="HJS357" s="22"/>
      <c r="HJT357" s="22"/>
      <c r="HJU357" s="22"/>
      <c r="HJV357" s="22"/>
      <c r="HJW357" s="22"/>
      <c r="HJX357" s="22"/>
      <c r="HJY357" s="22"/>
      <c r="HJZ357" s="22"/>
      <c r="HKA357" s="22"/>
      <c r="HKB357" s="22"/>
      <c r="HKC357" s="22"/>
      <c r="HKD357" s="22"/>
      <c r="HKE357" s="22"/>
      <c r="HKF357" s="22"/>
      <c r="HKG357" s="22"/>
      <c r="HKH357" s="22"/>
      <c r="HKI357" s="22"/>
      <c r="HKJ357" s="22"/>
      <c r="HKK357" s="22"/>
      <c r="HKL357" s="22"/>
      <c r="HKM357" s="22"/>
      <c r="HKN357" s="22"/>
      <c r="HKO357" s="22"/>
      <c r="HKP357" s="22"/>
      <c r="HKQ357" s="22"/>
      <c r="HKR357" s="22"/>
      <c r="HKS357" s="22"/>
      <c r="HKT357" s="22"/>
      <c r="HKU357" s="22"/>
      <c r="HKV357" s="22"/>
      <c r="HKW357" s="22"/>
      <c r="HKX357" s="22"/>
      <c r="HKY357" s="22"/>
      <c r="HKZ357" s="22"/>
      <c r="HLA357" s="22"/>
      <c r="HLB357" s="22"/>
      <c r="HLC357" s="22"/>
      <c r="HLD357" s="22"/>
      <c r="HLE357" s="22"/>
      <c r="HLF357" s="22"/>
      <c r="HLG357" s="22"/>
      <c r="HLH357" s="22"/>
      <c r="HLI357" s="22"/>
      <c r="HLJ357" s="22"/>
      <c r="HLK357" s="22"/>
      <c r="HLL357" s="22"/>
      <c r="HLM357" s="22"/>
      <c r="HLN357" s="22"/>
      <c r="HLO357" s="22"/>
      <c r="HLP357" s="22"/>
      <c r="HLQ357" s="22"/>
      <c r="HLR357" s="22"/>
      <c r="HLS357" s="22"/>
      <c r="HLT357" s="22"/>
      <c r="HLU357" s="22"/>
      <c r="HLV357" s="22"/>
      <c r="HLW357" s="22"/>
      <c r="HLX357" s="22"/>
      <c r="HLY357" s="22"/>
      <c r="HLZ357" s="22"/>
      <c r="HMA357" s="22"/>
      <c r="HMB357" s="22"/>
      <c r="HMC357" s="22"/>
      <c r="HMD357" s="22"/>
      <c r="HME357" s="22"/>
      <c r="HMF357" s="22"/>
      <c r="HMG357" s="22"/>
      <c r="HMH357" s="22"/>
      <c r="HMI357" s="22"/>
      <c r="HMJ357" s="22"/>
      <c r="HMK357" s="22"/>
      <c r="HML357" s="22"/>
      <c r="HMM357" s="22"/>
      <c r="HMN357" s="22"/>
      <c r="HMO357" s="22"/>
      <c r="HMP357" s="22"/>
      <c r="HMQ357" s="22"/>
      <c r="HMR357" s="22"/>
      <c r="HMS357" s="22"/>
      <c r="HMT357" s="22"/>
      <c r="HMU357" s="22"/>
      <c r="HMV357" s="22"/>
      <c r="HMW357" s="22"/>
      <c r="HMX357" s="22"/>
      <c r="HMY357" s="22"/>
      <c r="HMZ357" s="22"/>
      <c r="HNA357" s="22"/>
      <c r="HNB357" s="22"/>
      <c r="HNC357" s="22"/>
      <c r="HND357" s="22"/>
      <c r="HNE357" s="22"/>
      <c r="HNF357" s="22"/>
      <c r="HNG357" s="22"/>
      <c r="HNH357" s="22"/>
      <c r="HNI357" s="22"/>
      <c r="HNJ357" s="22"/>
      <c r="HNK357" s="22"/>
      <c r="HNL357" s="22"/>
      <c r="HNM357" s="22"/>
      <c r="HNN357" s="22"/>
      <c r="HNO357" s="22"/>
      <c r="HNP357" s="22"/>
      <c r="HNQ357" s="22"/>
      <c r="HNR357" s="22"/>
      <c r="HNS357" s="22"/>
      <c r="HNT357" s="22"/>
      <c r="HNU357" s="22"/>
      <c r="HNV357" s="22"/>
      <c r="HNW357" s="22"/>
      <c r="HNX357" s="22"/>
      <c r="HNY357" s="22"/>
      <c r="HNZ357" s="22"/>
      <c r="HOA357" s="22"/>
      <c r="HOB357" s="22"/>
      <c r="HOC357" s="22"/>
      <c r="HOD357" s="22"/>
      <c r="HOE357" s="22"/>
      <c r="HOF357" s="22"/>
      <c r="HOG357" s="22"/>
      <c r="HOH357" s="22"/>
      <c r="HOI357" s="22"/>
      <c r="HOJ357" s="22"/>
      <c r="HOK357" s="22"/>
      <c r="HOL357" s="22"/>
      <c r="HOM357" s="22"/>
      <c r="HON357" s="22"/>
      <c r="HOO357" s="22"/>
      <c r="HOP357" s="22"/>
      <c r="HOQ357" s="22"/>
      <c r="HOR357" s="22"/>
      <c r="HOS357" s="22"/>
      <c r="HOT357" s="22"/>
      <c r="HOU357" s="22"/>
      <c r="HOV357" s="22"/>
      <c r="HOW357" s="22"/>
      <c r="HOX357" s="22"/>
      <c r="HOY357" s="22"/>
      <c r="HOZ357" s="22"/>
      <c r="HPA357" s="22"/>
      <c r="HPB357" s="22"/>
      <c r="HPC357" s="22"/>
      <c r="HPD357" s="22"/>
      <c r="HPE357" s="22"/>
      <c r="HPF357" s="22"/>
      <c r="HPG357" s="22"/>
      <c r="HPH357" s="22"/>
      <c r="HPI357" s="22"/>
      <c r="HPJ357" s="22"/>
      <c r="HPK357" s="22"/>
      <c r="HPL357" s="22"/>
      <c r="HPM357" s="22"/>
      <c r="HPN357" s="22"/>
      <c r="HPO357" s="22"/>
      <c r="HPP357" s="22"/>
      <c r="HPQ357" s="22"/>
      <c r="HPR357" s="22"/>
      <c r="HPS357" s="22"/>
      <c r="HPT357" s="22"/>
      <c r="HPU357" s="22"/>
      <c r="HPV357" s="22"/>
      <c r="HPW357" s="22"/>
      <c r="HPX357" s="22"/>
      <c r="HPY357" s="22"/>
      <c r="HPZ357" s="22"/>
      <c r="HQA357" s="22"/>
      <c r="HQB357" s="22"/>
      <c r="HQC357" s="22"/>
      <c r="HQD357" s="22"/>
      <c r="HQE357" s="22"/>
      <c r="HQF357" s="22"/>
      <c r="HQG357" s="22"/>
      <c r="HQH357" s="22"/>
      <c r="HQI357" s="22"/>
      <c r="HQJ357" s="22"/>
      <c r="HQK357" s="22"/>
      <c r="HQL357" s="22"/>
      <c r="HQM357" s="22"/>
      <c r="HQN357" s="22"/>
      <c r="HQO357" s="22"/>
      <c r="HQP357" s="22"/>
      <c r="HQQ357" s="22"/>
      <c r="HQR357" s="22"/>
      <c r="HQS357" s="22"/>
      <c r="HQT357" s="22"/>
      <c r="HQU357" s="22"/>
      <c r="HQV357" s="22"/>
      <c r="HQW357" s="22"/>
      <c r="HQX357" s="22"/>
      <c r="HQY357" s="22"/>
      <c r="HQZ357" s="22"/>
      <c r="HRA357" s="22"/>
      <c r="HRB357" s="22"/>
      <c r="HRC357" s="22"/>
      <c r="HRD357" s="22"/>
      <c r="HRE357" s="22"/>
      <c r="HRF357" s="22"/>
      <c r="HRG357" s="22"/>
      <c r="HRH357" s="22"/>
      <c r="HRI357" s="22"/>
      <c r="HRJ357" s="22"/>
      <c r="HRK357" s="22"/>
      <c r="HRL357" s="22"/>
      <c r="HRM357" s="22"/>
      <c r="HRN357" s="22"/>
      <c r="HRO357" s="22"/>
      <c r="HRP357" s="22"/>
      <c r="HRQ357" s="22"/>
      <c r="HRR357" s="22"/>
      <c r="HRS357" s="22"/>
      <c r="HRT357" s="22"/>
      <c r="HRU357" s="22"/>
      <c r="HRV357" s="22"/>
      <c r="HRW357" s="22"/>
      <c r="HRX357" s="22"/>
      <c r="HRY357" s="22"/>
      <c r="HRZ357" s="22"/>
      <c r="HSA357" s="22"/>
      <c r="HSB357" s="22"/>
      <c r="HSC357" s="22"/>
      <c r="HSD357" s="22"/>
      <c r="HSE357" s="22"/>
      <c r="HSF357" s="22"/>
      <c r="HSG357" s="22"/>
      <c r="HSH357" s="22"/>
      <c r="HSI357" s="22"/>
      <c r="HSJ357" s="22"/>
      <c r="HSK357" s="22"/>
      <c r="HSL357" s="22"/>
      <c r="HSM357" s="22"/>
      <c r="HSN357" s="22"/>
      <c r="HSO357" s="22"/>
      <c r="HSP357" s="22"/>
      <c r="HSQ357" s="22"/>
      <c r="HSR357" s="22"/>
      <c r="HSS357" s="22"/>
      <c r="HST357" s="22"/>
      <c r="HSU357" s="22"/>
      <c r="HSV357" s="22"/>
      <c r="HSW357" s="22"/>
      <c r="HSX357" s="22"/>
      <c r="HSY357" s="22"/>
      <c r="HSZ357" s="22"/>
      <c r="HTA357" s="22"/>
      <c r="HTB357" s="22"/>
      <c r="HTC357" s="22"/>
      <c r="HTD357" s="22"/>
      <c r="HTE357" s="22"/>
      <c r="HTF357" s="22"/>
      <c r="HTG357" s="22"/>
      <c r="HTH357" s="22"/>
      <c r="HTI357" s="22"/>
      <c r="HTJ357" s="22"/>
      <c r="HTK357" s="22"/>
      <c r="HTL357" s="22"/>
      <c r="HTM357" s="22"/>
      <c r="HTN357" s="22"/>
      <c r="HTO357" s="22"/>
      <c r="HTP357" s="22"/>
      <c r="HTQ357" s="22"/>
      <c r="HTR357" s="22"/>
      <c r="HTS357" s="22"/>
      <c r="HTT357" s="22"/>
      <c r="HTU357" s="22"/>
      <c r="HTV357" s="22"/>
      <c r="HTW357" s="22"/>
      <c r="HTX357" s="22"/>
      <c r="HTY357" s="22"/>
      <c r="HTZ357" s="22"/>
      <c r="HUA357" s="22"/>
      <c r="HUB357" s="22"/>
      <c r="HUC357" s="22"/>
      <c r="HUD357" s="22"/>
      <c r="HUE357" s="22"/>
      <c r="HUF357" s="22"/>
      <c r="HUG357" s="22"/>
      <c r="HUH357" s="22"/>
      <c r="HUI357" s="22"/>
      <c r="HUJ357" s="22"/>
      <c r="HUK357" s="22"/>
      <c r="HUL357" s="22"/>
      <c r="HUM357" s="22"/>
      <c r="HUN357" s="22"/>
      <c r="HUO357" s="22"/>
      <c r="HUP357" s="22"/>
      <c r="HUQ357" s="22"/>
      <c r="HUR357" s="22"/>
      <c r="HUS357" s="22"/>
      <c r="HUT357" s="22"/>
      <c r="HUU357" s="22"/>
      <c r="HUV357" s="22"/>
      <c r="HUW357" s="22"/>
      <c r="HUX357" s="22"/>
      <c r="HUY357" s="22"/>
      <c r="HUZ357" s="22"/>
      <c r="HVA357" s="22"/>
      <c r="HVB357" s="22"/>
      <c r="HVC357" s="22"/>
      <c r="HVD357" s="22"/>
      <c r="HVE357" s="22"/>
      <c r="HVF357" s="22"/>
      <c r="HVG357" s="22"/>
      <c r="HVH357" s="22"/>
      <c r="HVI357" s="22"/>
      <c r="HVJ357" s="22"/>
      <c r="HVK357" s="22"/>
      <c r="HVL357" s="22"/>
      <c r="HVM357" s="22"/>
      <c r="HVN357" s="22"/>
      <c r="HVO357" s="22"/>
      <c r="HVP357" s="22"/>
      <c r="HVQ357" s="22"/>
      <c r="HVR357" s="22"/>
      <c r="HVS357" s="22"/>
      <c r="HVT357" s="22"/>
      <c r="HVU357" s="22"/>
      <c r="HVV357" s="22"/>
      <c r="HVW357" s="22"/>
      <c r="HVX357" s="22"/>
      <c r="HVY357" s="22"/>
      <c r="HVZ357" s="22"/>
      <c r="HWA357" s="22"/>
      <c r="HWB357" s="22"/>
      <c r="HWC357" s="22"/>
      <c r="HWD357" s="22"/>
      <c r="HWE357" s="22"/>
      <c r="HWF357" s="22"/>
      <c r="HWG357" s="22"/>
      <c r="HWH357" s="22"/>
      <c r="HWI357" s="22"/>
      <c r="HWJ357" s="22"/>
      <c r="HWK357" s="22"/>
      <c r="HWL357" s="22"/>
      <c r="HWM357" s="22"/>
      <c r="HWN357" s="22"/>
      <c r="HWO357" s="22"/>
      <c r="HWP357" s="22"/>
      <c r="HWQ357" s="22"/>
      <c r="HWR357" s="22"/>
      <c r="HWS357" s="22"/>
      <c r="HWT357" s="22"/>
      <c r="HWU357" s="22"/>
      <c r="HWV357" s="22"/>
      <c r="HWW357" s="22"/>
      <c r="HWX357" s="22"/>
      <c r="HWY357" s="22"/>
      <c r="HWZ357" s="22"/>
      <c r="HXA357" s="22"/>
      <c r="HXB357" s="22"/>
      <c r="HXC357" s="22"/>
      <c r="HXD357" s="22"/>
      <c r="HXE357" s="22"/>
      <c r="HXF357" s="22"/>
      <c r="HXG357" s="22"/>
      <c r="HXH357" s="22"/>
      <c r="HXI357" s="22"/>
      <c r="HXJ357" s="22"/>
      <c r="HXK357" s="22"/>
      <c r="HXL357" s="22"/>
      <c r="HXM357" s="22"/>
      <c r="HXN357" s="22"/>
      <c r="HXO357" s="22"/>
      <c r="HXP357" s="22"/>
      <c r="HXQ357" s="22"/>
      <c r="HXR357" s="22"/>
      <c r="HXS357" s="22"/>
      <c r="HXT357" s="22"/>
      <c r="HXU357" s="22"/>
      <c r="HXV357" s="22"/>
      <c r="HXW357" s="22"/>
      <c r="HXX357" s="22"/>
      <c r="HXY357" s="22"/>
      <c r="HXZ357" s="22"/>
      <c r="HYA357" s="22"/>
      <c r="HYB357" s="22"/>
      <c r="HYC357" s="22"/>
      <c r="HYD357" s="22"/>
      <c r="HYE357" s="22"/>
      <c r="HYF357" s="22"/>
      <c r="HYG357" s="22"/>
      <c r="HYH357" s="22"/>
      <c r="HYI357" s="22"/>
      <c r="HYJ357" s="22"/>
      <c r="HYK357" s="22"/>
      <c r="HYL357" s="22"/>
      <c r="HYM357" s="22"/>
      <c r="HYN357" s="22"/>
      <c r="HYO357" s="22"/>
      <c r="HYP357" s="22"/>
      <c r="HYQ357" s="22"/>
      <c r="HYR357" s="22"/>
      <c r="HYS357" s="22"/>
      <c r="HYT357" s="22"/>
      <c r="HYU357" s="22"/>
      <c r="HYV357" s="22"/>
      <c r="HYW357" s="22"/>
      <c r="HYX357" s="22"/>
      <c r="HYY357" s="22"/>
      <c r="HYZ357" s="22"/>
      <c r="HZA357" s="22"/>
      <c r="HZB357" s="22"/>
      <c r="HZC357" s="22"/>
      <c r="HZD357" s="22"/>
      <c r="HZE357" s="22"/>
      <c r="HZF357" s="22"/>
      <c r="HZG357" s="22"/>
      <c r="HZH357" s="22"/>
      <c r="HZI357" s="22"/>
      <c r="HZJ357" s="22"/>
      <c r="HZK357" s="22"/>
      <c r="HZL357" s="22"/>
      <c r="HZM357" s="22"/>
      <c r="HZN357" s="22"/>
      <c r="HZO357" s="22"/>
      <c r="HZP357" s="22"/>
      <c r="HZQ357" s="22"/>
      <c r="HZR357" s="22"/>
      <c r="HZS357" s="22"/>
      <c r="HZT357" s="22"/>
      <c r="HZU357" s="22"/>
      <c r="HZV357" s="22"/>
      <c r="HZW357" s="22"/>
      <c r="HZX357" s="22"/>
      <c r="HZY357" s="22"/>
      <c r="HZZ357" s="22"/>
      <c r="IAA357" s="22"/>
      <c r="IAB357" s="22"/>
      <c r="IAC357" s="22"/>
      <c r="IAD357" s="22"/>
      <c r="IAE357" s="22"/>
      <c r="IAF357" s="22"/>
      <c r="IAG357" s="22"/>
      <c r="IAH357" s="22"/>
      <c r="IAI357" s="22"/>
      <c r="IAJ357" s="22"/>
      <c r="IAK357" s="22"/>
      <c r="IAL357" s="22"/>
      <c r="IAM357" s="22"/>
      <c r="IAN357" s="22"/>
      <c r="IAO357" s="22"/>
      <c r="IAP357" s="22"/>
      <c r="IAQ357" s="22"/>
      <c r="IAR357" s="22"/>
      <c r="IAS357" s="22"/>
      <c r="IAT357" s="22"/>
      <c r="IAU357" s="22"/>
      <c r="IAV357" s="22"/>
      <c r="IAW357" s="22"/>
      <c r="IAX357" s="22"/>
      <c r="IAY357" s="22"/>
      <c r="IAZ357" s="22"/>
      <c r="IBA357" s="22"/>
      <c r="IBB357" s="22"/>
      <c r="IBC357" s="22"/>
      <c r="IBD357" s="22"/>
      <c r="IBE357" s="22"/>
      <c r="IBF357" s="22"/>
      <c r="IBG357" s="22"/>
      <c r="IBH357" s="22"/>
      <c r="IBI357" s="22"/>
      <c r="IBJ357" s="22"/>
      <c r="IBK357" s="22"/>
      <c r="IBL357" s="22"/>
      <c r="IBM357" s="22"/>
      <c r="IBN357" s="22"/>
      <c r="IBO357" s="22"/>
      <c r="IBP357" s="22"/>
      <c r="IBQ357" s="22"/>
      <c r="IBR357" s="22"/>
      <c r="IBS357" s="22"/>
      <c r="IBT357" s="22"/>
      <c r="IBU357" s="22"/>
      <c r="IBV357" s="22"/>
      <c r="IBW357" s="22"/>
      <c r="IBX357" s="22"/>
      <c r="IBY357" s="22"/>
      <c r="IBZ357" s="22"/>
      <c r="ICA357" s="22"/>
      <c r="ICB357" s="22"/>
      <c r="ICC357" s="22"/>
      <c r="ICD357" s="22"/>
      <c r="ICE357" s="22"/>
      <c r="ICF357" s="22"/>
      <c r="ICG357" s="22"/>
      <c r="ICH357" s="22"/>
      <c r="ICI357" s="22"/>
      <c r="ICJ357" s="22"/>
      <c r="ICK357" s="22"/>
      <c r="ICL357" s="22"/>
      <c r="ICM357" s="22"/>
      <c r="ICN357" s="22"/>
      <c r="ICO357" s="22"/>
      <c r="ICP357" s="22"/>
      <c r="ICQ357" s="22"/>
      <c r="ICR357" s="22"/>
      <c r="ICS357" s="22"/>
      <c r="ICT357" s="22"/>
      <c r="ICU357" s="22"/>
      <c r="ICV357" s="22"/>
      <c r="ICW357" s="22"/>
      <c r="ICX357" s="22"/>
      <c r="ICY357" s="22"/>
      <c r="ICZ357" s="22"/>
      <c r="IDA357" s="22"/>
      <c r="IDB357" s="22"/>
      <c r="IDC357" s="22"/>
      <c r="IDD357" s="22"/>
      <c r="IDE357" s="22"/>
      <c r="IDF357" s="22"/>
      <c r="IDG357" s="22"/>
      <c r="IDH357" s="22"/>
      <c r="IDI357" s="22"/>
      <c r="IDJ357" s="22"/>
      <c r="IDK357" s="22"/>
      <c r="IDL357" s="22"/>
      <c r="IDM357" s="22"/>
      <c r="IDN357" s="22"/>
      <c r="IDO357" s="22"/>
      <c r="IDP357" s="22"/>
      <c r="IDQ357" s="22"/>
      <c r="IDR357" s="22"/>
      <c r="IDS357" s="22"/>
      <c r="IDT357" s="22"/>
      <c r="IDU357" s="22"/>
      <c r="IDV357" s="22"/>
      <c r="IDW357" s="22"/>
      <c r="IDX357" s="22"/>
      <c r="IDY357" s="22"/>
      <c r="IDZ357" s="22"/>
      <c r="IEA357" s="22"/>
      <c r="IEB357" s="22"/>
      <c r="IEC357" s="22"/>
      <c r="IED357" s="22"/>
      <c r="IEE357" s="22"/>
      <c r="IEF357" s="22"/>
      <c r="IEG357" s="22"/>
      <c r="IEH357" s="22"/>
      <c r="IEI357" s="22"/>
      <c r="IEJ357" s="22"/>
      <c r="IEK357" s="22"/>
      <c r="IEL357" s="22"/>
      <c r="IEM357" s="22"/>
      <c r="IEN357" s="22"/>
      <c r="IEO357" s="22"/>
      <c r="IEP357" s="22"/>
      <c r="IEQ357" s="22"/>
      <c r="IER357" s="22"/>
      <c r="IES357" s="22"/>
      <c r="IET357" s="22"/>
      <c r="IEU357" s="22"/>
      <c r="IEV357" s="22"/>
      <c r="IEW357" s="22"/>
      <c r="IEX357" s="22"/>
      <c r="IEY357" s="22"/>
      <c r="IEZ357" s="22"/>
      <c r="IFA357" s="22"/>
      <c r="IFB357" s="22"/>
      <c r="IFC357" s="22"/>
      <c r="IFD357" s="22"/>
      <c r="IFE357" s="22"/>
      <c r="IFF357" s="22"/>
      <c r="IFG357" s="22"/>
      <c r="IFH357" s="22"/>
      <c r="IFI357" s="22"/>
      <c r="IFJ357" s="22"/>
      <c r="IFK357" s="22"/>
      <c r="IFL357" s="22"/>
      <c r="IFM357" s="22"/>
      <c r="IFN357" s="22"/>
      <c r="IFO357" s="22"/>
      <c r="IFP357" s="22"/>
      <c r="IFQ357" s="22"/>
      <c r="IFR357" s="22"/>
      <c r="IFS357" s="22"/>
      <c r="IFT357" s="22"/>
      <c r="IFU357" s="22"/>
      <c r="IFV357" s="22"/>
      <c r="IFW357" s="22"/>
      <c r="IFX357" s="22"/>
      <c r="IFY357" s="22"/>
      <c r="IFZ357" s="22"/>
      <c r="IGA357" s="22"/>
      <c r="IGB357" s="22"/>
      <c r="IGC357" s="22"/>
      <c r="IGD357" s="22"/>
      <c r="IGE357" s="22"/>
      <c r="IGF357" s="22"/>
      <c r="IGG357" s="22"/>
      <c r="IGH357" s="22"/>
      <c r="IGI357" s="22"/>
      <c r="IGJ357" s="22"/>
      <c r="IGK357" s="22"/>
      <c r="IGL357" s="22"/>
      <c r="IGM357" s="22"/>
      <c r="IGN357" s="22"/>
      <c r="IGO357" s="22"/>
      <c r="IGP357" s="22"/>
      <c r="IGQ357" s="22"/>
      <c r="IGR357" s="22"/>
      <c r="IGS357" s="22"/>
      <c r="IGT357" s="22"/>
      <c r="IGU357" s="22"/>
      <c r="IGV357" s="22"/>
      <c r="IGW357" s="22"/>
      <c r="IGX357" s="22"/>
      <c r="IGY357" s="22"/>
      <c r="IGZ357" s="22"/>
      <c r="IHA357" s="22"/>
      <c r="IHB357" s="22"/>
      <c r="IHC357" s="22"/>
      <c r="IHD357" s="22"/>
      <c r="IHE357" s="22"/>
      <c r="IHF357" s="22"/>
      <c r="IHG357" s="22"/>
      <c r="IHH357" s="22"/>
      <c r="IHI357" s="22"/>
      <c r="IHJ357" s="22"/>
      <c r="IHK357" s="22"/>
      <c r="IHL357" s="22"/>
      <c r="IHM357" s="22"/>
      <c r="IHN357" s="22"/>
      <c r="IHO357" s="22"/>
      <c r="IHP357" s="22"/>
      <c r="IHQ357" s="22"/>
      <c r="IHR357" s="22"/>
      <c r="IHS357" s="22"/>
      <c r="IHT357" s="22"/>
      <c r="IHU357" s="22"/>
      <c r="IHV357" s="22"/>
      <c r="IHW357" s="22"/>
      <c r="IHX357" s="22"/>
      <c r="IHY357" s="22"/>
      <c r="IHZ357" s="22"/>
      <c r="IIA357" s="22"/>
      <c r="IIB357" s="22"/>
      <c r="IIC357" s="22"/>
      <c r="IID357" s="22"/>
      <c r="IIE357" s="22"/>
      <c r="IIF357" s="22"/>
      <c r="IIG357" s="22"/>
      <c r="IIH357" s="22"/>
      <c r="III357" s="22"/>
      <c r="IIJ357" s="22"/>
      <c r="IIK357" s="22"/>
      <c r="IIL357" s="22"/>
      <c r="IIM357" s="22"/>
      <c r="IIN357" s="22"/>
      <c r="IIO357" s="22"/>
      <c r="IIP357" s="22"/>
      <c r="IIQ357" s="22"/>
      <c r="IIR357" s="22"/>
      <c r="IIS357" s="22"/>
      <c r="IIT357" s="22"/>
      <c r="IIU357" s="22"/>
      <c r="IIV357" s="22"/>
      <c r="IIW357" s="22"/>
      <c r="IIX357" s="22"/>
      <c r="IIY357" s="22"/>
      <c r="IIZ357" s="22"/>
      <c r="IJA357" s="22"/>
      <c r="IJB357" s="22"/>
      <c r="IJC357" s="22"/>
      <c r="IJD357" s="22"/>
      <c r="IJE357" s="22"/>
      <c r="IJF357" s="22"/>
      <c r="IJG357" s="22"/>
      <c r="IJH357" s="22"/>
      <c r="IJI357" s="22"/>
      <c r="IJJ357" s="22"/>
      <c r="IJK357" s="22"/>
      <c r="IJL357" s="22"/>
      <c r="IJM357" s="22"/>
      <c r="IJN357" s="22"/>
      <c r="IJO357" s="22"/>
      <c r="IJP357" s="22"/>
      <c r="IJQ357" s="22"/>
      <c r="IJR357" s="22"/>
      <c r="IJS357" s="22"/>
      <c r="IJT357" s="22"/>
      <c r="IJU357" s="22"/>
      <c r="IJV357" s="22"/>
      <c r="IJW357" s="22"/>
      <c r="IJX357" s="22"/>
      <c r="IJY357" s="22"/>
      <c r="IJZ357" s="22"/>
      <c r="IKA357" s="22"/>
      <c r="IKB357" s="22"/>
      <c r="IKC357" s="22"/>
      <c r="IKD357" s="22"/>
      <c r="IKE357" s="22"/>
      <c r="IKF357" s="22"/>
      <c r="IKG357" s="22"/>
      <c r="IKH357" s="22"/>
      <c r="IKI357" s="22"/>
      <c r="IKJ357" s="22"/>
      <c r="IKK357" s="22"/>
      <c r="IKL357" s="22"/>
      <c r="IKM357" s="22"/>
      <c r="IKN357" s="22"/>
      <c r="IKO357" s="22"/>
      <c r="IKP357" s="22"/>
      <c r="IKQ357" s="22"/>
      <c r="IKR357" s="22"/>
      <c r="IKS357" s="22"/>
      <c r="IKT357" s="22"/>
      <c r="IKU357" s="22"/>
      <c r="IKV357" s="22"/>
      <c r="IKW357" s="22"/>
      <c r="IKX357" s="22"/>
      <c r="IKY357" s="22"/>
      <c r="IKZ357" s="22"/>
      <c r="ILA357" s="22"/>
      <c r="ILB357" s="22"/>
      <c r="ILC357" s="22"/>
      <c r="ILD357" s="22"/>
      <c r="ILE357" s="22"/>
      <c r="ILF357" s="22"/>
      <c r="ILG357" s="22"/>
      <c r="ILH357" s="22"/>
      <c r="ILI357" s="22"/>
      <c r="ILJ357" s="22"/>
      <c r="ILK357" s="22"/>
      <c r="ILL357" s="22"/>
      <c r="ILM357" s="22"/>
      <c r="ILN357" s="22"/>
      <c r="ILO357" s="22"/>
      <c r="ILP357" s="22"/>
      <c r="ILQ357" s="22"/>
      <c r="ILR357" s="22"/>
      <c r="ILS357" s="22"/>
      <c r="ILT357" s="22"/>
      <c r="ILU357" s="22"/>
      <c r="ILV357" s="22"/>
      <c r="ILW357" s="22"/>
      <c r="ILX357" s="22"/>
      <c r="ILY357" s="22"/>
      <c r="ILZ357" s="22"/>
      <c r="IMA357" s="22"/>
      <c r="IMB357" s="22"/>
      <c r="IMC357" s="22"/>
      <c r="IMD357" s="22"/>
      <c r="IME357" s="22"/>
      <c r="IMF357" s="22"/>
      <c r="IMG357" s="22"/>
      <c r="IMH357" s="22"/>
      <c r="IMI357" s="22"/>
      <c r="IMJ357" s="22"/>
      <c r="IMK357" s="22"/>
      <c r="IML357" s="22"/>
      <c r="IMM357" s="22"/>
      <c r="IMN357" s="22"/>
      <c r="IMO357" s="22"/>
      <c r="IMP357" s="22"/>
      <c r="IMQ357" s="22"/>
      <c r="IMR357" s="22"/>
      <c r="IMS357" s="22"/>
      <c r="IMT357" s="22"/>
      <c r="IMU357" s="22"/>
      <c r="IMV357" s="22"/>
      <c r="IMW357" s="22"/>
      <c r="IMX357" s="22"/>
      <c r="IMY357" s="22"/>
      <c r="IMZ357" s="22"/>
      <c r="INA357" s="22"/>
      <c r="INB357" s="22"/>
      <c r="INC357" s="22"/>
      <c r="IND357" s="22"/>
      <c r="INE357" s="22"/>
      <c r="INF357" s="22"/>
      <c r="ING357" s="22"/>
      <c r="INH357" s="22"/>
      <c r="INI357" s="22"/>
      <c r="INJ357" s="22"/>
      <c r="INK357" s="22"/>
      <c r="INL357" s="22"/>
      <c r="INM357" s="22"/>
      <c r="INN357" s="22"/>
      <c r="INO357" s="22"/>
      <c r="INP357" s="22"/>
      <c r="INQ357" s="22"/>
      <c r="INR357" s="22"/>
      <c r="INS357" s="22"/>
      <c r="INT357" s="22"/>
      <c r="INU357" s="22"/>
      <c r="INV357" s="22"/>
      <c r="INW357" s="22"/>
      <c r="INX357" s="22"/>
      <c r="INY357" s="22"/>
      <c r="INZ357" s="22"/>
      <c r="IOA357" s="22"/>
      <c r="IOB357" s="22"/>
      <c r="IOC357" s="22"/>
      <c r="IOD357" s="22"/>
      <c r="IOE357" s="22"/>
      <c r="IOF357" s="22"/>
      <c r="IOG357" s="22"/>
      <c r="IOH357" s="22"/>
      <c r="IOI357" s="22"/>
      <c r="IOJ357" s="22"/>
      <c r="IOK357" s="22"/>
      <c r="IOL357" s="22"/>
      <c r="IOM357" s="22"/>
      <c r="ION357" s="22"/>
      <c r="IOO357" s="22"/>
      <c r="IOP357" s="22"/>
      <c r="IOQ357" s="22"/>
      <c r="IOR357" s="22"/>
      <c r="IOS357" s="22"/>
      <c r="IOT357" s="22"/>
      <c r="IOU357" s="22"/>
      <c r="IOV357" s="22"/>
      <c r="IOW357" s="22"/>
      <c r="IOX357" s="22"/>
      <c r="IOY357" s="22"/>
      <c r="IOZ357" s="22"/>
      <c r="IPA357" s="22"/>
      <c r="IPB357" s="22"/>
      <c r="IPC357" s="22"/>
      <c r="IPD357" s="22"/>
      <c r="IPE357" s="22"/>
      <c r="IPF357" s="22"/>
      <c r="IPG357" s="22"/>
      <c r="IPH357" s="22"/>
      <c r="IPI357" s="22"/>
      <c r="IPJ357" s="22"/>
      <c r="IPK357" s="22"/>
      <c r="IPL357" s="22"/>
      <c r="IPM357" s="22"/>
      <c r="IPN357" s="22"/>
      <c r="IPO357" s="22"/>
      <c r="IPP357" s="22"/>
      <c r="IPQ357" s="22"/>
      <c r="IPR357" s="22"/>
      <c r="IPS357" s="22"/>
      <c r="IPT357" s="22"/>
      <c r="IPU357" s="22"/>
      <c r="IPV357" s="22"/>
      <c r="IPW357" s="22"/>
      <c r="IPX357" s="22"/>
      <c r="IPY357" s="22"/>
      <c r="IPZ357" s="22"/>
      <c r="IQA357" s="22"/>
      <c r="IQB357" s="22"/>
      <c r="IQC357" s="22"/>
      <c r="IQD357" s="22"/>
      <c r="IQE357" s="22"/>
      <c r="IQF357" s="22"/>
      <c r="IQG357" s="22"/>
      <c r="IQH357" s="22"/>
      <c r="IQI357" s="22"/>
      <c r="IQJ357" s="22"/>
      <c r="IQK357" s="22"/>
      <c r="IQL357" s="22"/>
      <c r="IQM357" s="22"/>
      <c r="IQN357" s="22"/>
      <c r="IQO357" s="22"/>
      <c r="IQP357" s="22"/>
      <c r="IQQ357" s="22"/>
      <c r="IQR357" s="22"/>
      <c r="IQS357" s="22"/>
      <c r="IQT357" s="22"/>
      <c r="IQU357" s="22"/>
      <c r="IQV357" s="22"/>
      <c r="IQW357" s="22"/>
      <c r="IQX357" s="22"/>
      <c r="IQY357" s="22"/>
      <c r="IQZ357" s="22"/>
      <c r="IRA357" s="22"/>
      <c r="IRB357" s="22"/>
      <c r="IRC357" s="22"/>
      <c r="IRD357" s="22"/>
      <c r="IRE357" s="22"/>
      <c r="IRF357" s="22"/>
      <c r="IRG357" s="22"/>
      <c r="IRH357" s="22"/>
      <c r="IRI357" s="22"/>
      <c r="IRJ357" s="22"/>
      <c r="IRK357" s="22"/>
      <c r="IRL357" s="22"/>
      <c r="IRM357" s="22"/>
      <c r="IRN357" s="22"/>
      <c r="IRO357" s="22"/>
      <c r="IRP357" s="22"/>
      <c r="IRQ357" s="22"/>
      <c r="IRR357" s="22"/>
      <c r="IRS357" s="22"/>
      <c r="IRT357" s="22"/>
      <c r="IRU357" s="22"/>
      <c r="IRV357" s="22"/>
      <c r="IRW357" s="22"/>
      <c r="IRX357" s="22"/>
      <c r="IRY357" s="22"/>
      <c r="IRZ357" s="22"/>
      <c r="ISA357" s="22"/>
      <c r="ISB357" s="22"/>
      <c r="ISC357" s="22"/>
      <c r="ISD357" s="22"/>
      <c r="ISE357" s="22"/>
      <c r="ISF357" s="22"/>
      <c r="ISG357" s="22"/>
      <c r="ISH357" s="22"/>
      <c r="ISI357" s="22"/>
      <c r="ISJ357" s="22"/>
      <c r="ISK357" s="22"/>
      <c r="ISL357" s="22"/>
      <c r="ISM357" s="22"/>
      <c r="ISN357" s="22"/>
      <c r="ISO357" s="22"/>
      <c r="ISP357" s="22"/>
      <c r="ISQ357" s="22"/>
      <c r="ISR357" s="22"/>
      <c r="ISS357" s="22"/>
      <c r="IST357" s="22"/>
      <c r="ISU357" s="22"/>
      <c r="ISV357" s="22"/>
      <c r="ISW357" s="22"/>
      <c r="ISX357" s="22"/>
      <c r="ISY357" s="22"/>
      <c r="ISZ357" s="22"/>
      <c r="ITA357" s="22"/>
      <c r="ITB357" s="22"/>
      <c r="ITC357" s="22"/>
      <c r="ITD357" s="22"/>
      <c r="ITE357" s="22"/>
      <c r="ITF357" s="22"/>
      <c r="ITG357" s="22"/>
      <c r="ITH357" s="22"/>
      <c r="ITI357" s="22"/>
      <c r="ITJ357" s="22"/>
      <c r="ITK357" s="22"/>
      <c r="ITL357" s="22"/>
      <c r="ITM357" s="22"/>
      <c r="ITN357" s="22"/>
      <c r="ITO357" s="22"/>
      <c r="ITP357" s="22"/>
      <c r="ITQ357" s="22"/>
      <c r="ITR357" s="22"/>
      <c r="ITS357" s="22"/>
      <c r="ITT357" s="22"/>
      <c r="ITU357" s="22"/>
      <c r="ITV357" s="22"/>
      <c r="ITW357" s="22"/>
      <c r="ITX357" s="22"/>
      <c r="ITY357" s="22"/>
      <c r="ITZ357" s="22"/>
      <c r="IUA357" s="22"/>
      <c r="IUB357" s="22"/>
      <c r="IUC357" s="22"/>
      <c r="IUD357" s="22"/>
      <c r="IUE357" s="22"/>
      <c r="IUF357" s="22"/>
      <c r="IUG357" s="22"/>
      <c r="IUH357" s="22"/>
      <c r="IUI357" s="22"/>
      <c r="IUJ357" s="22"/>
      <c r="IUK357" s="22"/>
      <c r="IUL357" s="22"/>
      <c r="IUM357" s="22"/>
      <c r="IUN357" s="22"/>
      <c r="IUO357" s="22"/>
      <c r="IUP357" s="22"/>
      <c r="IUQ357" s="22"/>
      <c r="IUR357" s="22"/>
      <c r="IUS357" s="22"/>
      <c r="IUT357" s="22"/>
      <c r="IUU357" s="22"/>
      <c r="IUV357" s="22"/>
      <c r="IUW357" s="22"/>
      <c r="IUX357" s="22"/>
      <c r="IUY357" s="22"/>
      <c r="IUZ357" s="22"/>
      <c r="IVA357" s="22"/>
      <c r="IVB357" s="22"/>
      <c r="IVC357" s="22"/>
      <c r="IVD357" s="22"/>
      <c r="IVE357" s="22"/>
      <c r="IVF357" s="22"/>
      <c r="IVG357" s="22"/>
      <c r="IVH357" s="22"/>
      <c r="IVI357" s="22"/>
      <c r="IVJ357" s="22"/>
      <c r="IVK357" s="22"/>
      <c r="IVL357" s="22"/>
      <c r="IVM357" s="22"/>
      <c r="IVN357" s="22"/>
      <c r="IVO357" s="22"/>
      <c r="IVP357" s="22"/>
      <c r="IVQ357" s="22"/>
      <c r="IVR357" s="22"/>
      <c r="IVS357" s="22"/>
      <c r="IVT357" s="22"/>
      <c r="IVU357" s="22"/>
      <c r="IVV357" s="22"/>
      <c r="IVW357" s="22"/>
      <c r="IVX357" s="22"/>
      <c r="IVY357" s="22"/>
      <c r="IVZ357" s="22"/>
      <c r="IWA357" s="22"/>
      <c r="IWB357" s="22"/>
      <c r="IWC357" s="22"/>
      <c r="IWD357" s="22"/>
      <c r="IWE357" s="22"/>
      <c r="IWF357" s="22"/>
      <c r="IWG357" s="22"/>
      <c r="IWH357" s="22"/>
      <c r="IWI357" s="22"/>
      <c r="IWJ357" s="22"/>
      <c r="IWK357" s="22"/>
      <c r="IWL357" s="22"/>
      <c r="IWM357" s="22"/>
      <c r="IWN357" s="22"/>
      <c r="IWO357" s="22"/>
      <c r="IWP357" s="22"/>
      <c r="IWQ357" s="22"/>
      <c r="IWR357" s="22"/>
      <c r="IWS357" s="22"/>
      <c r="IWT357" s="22"/>
      <c r="IWU357" s="22"/>
      <c r="IWV357" s="22"/>
      <c r="IWW357" s="22"/>
      <c r="IWX357" s="22"/>
      <c r="IWY357" s="22"/>
      <c r="IWZ357" s="22"/>
      <c r="IXA357" s="22"/>
      <c r="IXB357" s="22"/>
      <c r="IXC357" s="22"/>
      <c r="IXD357" s="22"/>
      <c r="IXE357" s="22"/>
      <c r="IXF357" s="22"/>
      <c r="IXG357" s="22"/>
      <c r="IXH357" s="22"/>
      <c r="IXI357" s="22"/>
      <c r="IXJ357" s="22"/>
      <c r="IXK357" s="22"/>
      <c r="IXL357" s="22"/>
      <c r="IXM357" s="22"/>
      <c r="IXN357" s="22"/>
      <c r="IXO357" s="22"/>
      <c r="IXP357" s="22"/>
      <c r="IXQ357" s="22"/>
      <c r="IXR357" s="22"/>
      <c r="IXS357" s="22"/>
      <c r="IXT357" s="22"/>
      <c r="IXU357" s="22"/>
      <c r="IXV357" s="22"/>
      <c r="IXW357" s="22"/>
      <c r="IXX357" s="22"/>
      <c r="IXY357" s="22"/>
      <c r="IXZ357" s="22"/>
      <c r="IYA357" s="22"/>
      <c r="IYB357" s="22"/>
      <c r="IYC357" s="22"/>
      <c r="IYD357" s="22"/>
      <c r="IYE357" s="22"/>
      <c r="IYF357" s="22"/>
      <c r="IYG357" s="22"/>
      <c r="IYH357" s="22"/>
      <c r="IYI357" s="22"/>
      <c r="IYJ357" s="22"/>
      <c r="IYK357" s="22"/>
      <c r="IYL357" s="22"/>
      <c r="IYM357" s="22"/>
      <c r="IYN357" s="22"/>
      <c r="IYO357" s="22"/>
      <c r="IYP357" s="22"/>
      <c r="IYQ357" s="22"/>
      <c r="IYR357" s="22"/>
      <c r="IYS357" s="22"/>
      <c r="IYT357" s="22"/>
      <c r="IYU357" s="22"/>
      <c r="IYV357" s="22"/>
      <c r="IYW357" s="22"/>
      <c r="IYX357" s="22"/>
      <c r="IYY357" s="22"/>
      <c r="IYZ357" s="22"/>
      <c r="IZA357" s="22"/>
      <c r="IZB357" s="22"/>
      <c r="IZC357" s="22"/>
      <c r="IZD357" s="22"/>
      <c r="IZE357" s="22"/>
      <c r="IZF357" s="22"/>
      <c r="IZG357" s="22"/>
      <c r="IZH357" s="22"/>
      <c r="IZI357" s="22"/>
      <c r="IZJ357" s="22"/>
      <c r="IZK357" s="22"/>
      <c r="IZL357" s="22"/>
      <c r="IZM357" s="22"/>
      <c r="IZN357" s="22"/>
      <c r="IZO357" s="22"/>
      <c r="IZP357" s="22"/>
      <c r="IZQ357" s="22"/>
      <c r="IZR357" s="22"/>
      <c r="IZS357" s="22"/>
      <c r="IZT357" s="22"/>
      <c r="IZU357" s="22"/>
      <c r="IZV357" s="22"/>
      <c r="IZW357" s="22"/>
      <c r="IZX357" s="22"/>
      <c r="IZY357" s="22"/>
      <c r="IZZ357" s="22"/>
      <c r="JAA357" s="22"/>
      <c r="JAB357" s="22"/>
      <c r="JAC357" s="22"/>
      <c r="JAD357" s="22"/>
      <c r="JAE357" s="22"/>
      <c r="JAF357" s="22"/>
      <c r="JAG357" s="22"/>
      <c r="JAH357" s="22"/>
      <c r="JAI357" s="22"/>
      <c r="JAJ357" s="22"/>
      <c r="JAK357" s="22"/>
      <c r="JAL357" s="22"/>
      <c r="JAM357" s="22"/>
      <c r="JAN357" s="22"/>
      <c r="JAO357" s="22"/>
      <c r="JAP357" s="22"/>
      <c r="JAQ357" s="22"/>
      <c r="JAR357" s="22"/>
      <c r="JAS357" s="22"/>
      <c r="JAT357" s="22"/>
      <c r="JAU357" s="22"/>
      <c r="JAV357" s="22"/>
      <c r="JAW357" s="22"/>
      <c r="JAX357" s="22"/>
      <c r="JAY357" s="22"/>
      <c r="JAZ357" s="22"/>
      <c r="JBA357" s="22"/>
      <c r="JBB357" s="22"/>
      <c r="JBC357" s="22"/>
      <c r="JBD357" s="22"/>
      <c r="JBE357" s="22"/>
      <c r="JBF357" s="22"/>
      <c r="JBG357" s="22"/>
      <c r="JBH357" s="22"/>
      <c r="JBI357" s="22"/>
      <c r="JBJ357" s="22"/>
      <c r="JBK357" s="22"/>
      <c r="JBL357" s="22"/>
      <c r="JBM357" s="22"/>
      <c r="JBN357" s="22"/>
      <c r="JBO357" s="22"/>
      <c r="JBP357" s="22"/>
      <c r="JBQ357" s="22"/>
      <c r="JBR357" s="22"/>
      <c r="JBS357" s="22"/>
      <c r="JBT357" s="22"/>
      <c r="JBU357" s="22"/>
      <c r="JBV357" s="22"/>
      <c r="JBW357" s="22"/>
      <c r="JBX357" s="22"/>
      <c r="JBY357" s="22"/>
      <c r="JBZ357" s="22"/>
      <c r="JCA357" s="22"/>
      <c r="JCB357" s="22"/>
      <c r="JCC357" s="22"/>
      <c r="JCD357" s="22"/>
      <c r="JCE357" s="22"/>
      <c r="JCF357" s="22"/>
      <c r="JCG357" s="22"/>
      <c r="JCH357" s="22"/>
      <c r="JCI357" s="22"/>
      <c r="JCJ357" s="22"/>
      <c r="JCK357" s="22"/>
      <c r="JCL357" s="22"/>
      <c r="JCM357" s="22"/>
      <c r="JCN357" s="22"/>
      <c r="JCO357" s="22"/>
      <c r="JCP357" s="22"/>
      <c r="JCQ357" s="22"/>
      <c r="JCR357" s="22"/>
      <c r="JCS357" s="22"/>
      <c r="JCT357" s="22"/>
      <c r="JCU357" s="22"/>
      <c r="JCV357" s="22"/>
      <c r="JCW357" s="22"/>
      <c r="JCX357" s="22"/>
      <c r="JCY357" s="22"/>
      <c r="JCZ357" s="22"/>
      <c r="JDA357" s="22"/>
      <c r="JDB357" s="22"/>
      <c r="JDC357" s="22"/>
      <c r="JDD357" s="22"/>
      <c r="JDE357" s="22"/>
      <c r="JDF357" s="22"/>
      <c r="JDG357" s="22"/>
      <c r="JDH357" s="22"/>
      <c r="JDI357" s="22"/>
      <c r="JDJ357" s="22"/>
      <c r="JDK357" s="22"/>
      <c r="JDL357" s="22"/>
      <c r="JDM357" s="22"/>
      <c r="JDN357" s="22"/>
      <c r="JDO357" s="22"/>
      <c r="JDP357" s="22"/>
      <c r="JDQ357" s="22"/>
      <c r="JDR357" s="22"/>
      <c r="JDS357" s="22"/>
      <c r="JDT357" s="22"/>
      <c r="JDU357" s="22"/>
      <c r="JDV357" s="22"/>
      <c r="JDW357" s="22"/>
      <c r="JDX357" s="22"/>
      <c r="JDY357" s="22"/>
      <c r="JDZ357" s="22"/>
      <c r="JEA357" s="22"/>
      <c r="JEB357" s="22"/>
      <c r="JEC357" s="22"/>
      <c r="JED357" s="22"/>
      <c r="JEE357" s="22"/>
      <c r="JEF357" s="22"/>
      <c r="JEG357" s="22"/>
      <c r="JEH357" s="22"/>
      <c r="JEI357" s="22"/>
      <c r="JEJ357" s="22"/>
      <c r="JEK357" s="22"/>
      <c r="JEL357" s="22"/>
      <c r="JEM357" s="22"/>
      <c r="JEN357" s="22"/>
      <c r="JEO357" s="22"/>
      <c r="JEP357" s="22"/>
      <c r="JEQ357" s="22"/>
      <c r="JER357" s="22"/>
      <c r="JES357" s="22"/>
      <c r="JET357" s="22"/>
      <c r="JEU357" s="22"/>
      <c r="JEV357" s="22"/>
      <c r="JEW357" s="22"/>
      <c r="JEX357" s="22"/>
      <c r="JEY357" s="22"/>
      <c r="JEZ357" s="22"/>
      <c r="JFA357" s="22"/>
      <c r="JFB357" s="22"/>
      <c r="JFC357" s="22"/>
      <c r="JFD357" s="22"/>
      <c r="JFE357" s="22"/>
      <c r="JFF357" s="22"/>
      <c r="JFG357" s="22"/>
      <c r="JFH357" s="22"/>
      <c r="JFI357" s="22"/>
      <c r="JFJ357" s="22"/>
      <c r="JFK357" s="22"/>
      <c r="JFL357" s="22"/>
      <c r="JFM357" s="22"/>
      <c r="JFN357" s="22"/>
      <c r="JFO357" s="22"/>
      <c r="JFP357" s="22"/>
      <c r="JFQ357" s="22"/>
      <c r="JFR357" s="22"/>
      <c r="JFS357" s="22"/>
      <c r="JFT357" s="22"/>
      <c r="JFU357" s="22"/>
      <c r="JFV357" s="22"/>
      <c r="JFW357" s="22"/>
      <c r="JFX357" s="22"/>
      <c r="JFY357" s="22"/>
      <c r="JFZ357" s="22"/>
      <c r="JGA357" s="22"/>
      <c r="JGB357" s="22"/>
      <c r="JGC357" s="22"/>
      <c r="JGD357" s="22"/>
      <c r="JGE357" s="22"/>
      <c r="JGF357" s="22"/>
      <c r="JGG357" s="22"/>
      <c r="JGH357" s="22"/>
      <c r="JGI357" s="22"/>
      <c r="JGJ357" s="22"/>
      <c r="JGK357" s="22"/>
      <c r="JGL357" s="22"/>
      <c r="JGM357" s="22"/>
      <c r="JGN357" s="22"/>
      <c r="JGO357" s="22"/>
      <c r="JGP357" s="22"/>
      <c r="JGQ357" s="22"/>
      <c r="JGR357" s="22"/>
      <c r="JGS357" s="22"/>
      <c r="JGT357" s="22"/>
      <c r="JGU357" s="22"/>
      <c r="JGV357" s="22"/>
      <c r="JGW357" s="22"/>
      <c r="JGX357" s="22"/>
      <c r="JGY357" s="22"/>
      <c r="JGZ357" s="22"/>
      <c r="JHA357" s="22"/>
      <c r="JHB357" s="22"/>
      <c r="JHC357" s="22"/>
      <c r="JHD357" s="22"/>
      <c r="JHE357" s="22"/>
      <c r="JHF357" s="22"/>
      <c r="JHG357" s="22"/>
      <c r="JHH357" s="22"/>
      <c r="JHI357" s="22"/>
      <c r="JHJ357" s="22"/>
      <c r="JHK357" s="22"/>
      <c r="JHL357" s="22"/>
      <c r="JHM357" s="22"/>
      <c r="JHN357" s="22"/>
      <c r="JHO357" s="22"/>
      <c r="JHP357" s="22"/>
      <c r="JHQ357" s="22"/>
      <c r="JHR357" s="22"/>
      <c r="JHS357" s="22"/>
      <c r="JHT357" s="22"/>
      <c r="JHU357" s="22"/>
      <c r="JHV357" s="22"/>
      <c r="JHW357" s="22"/>
      <c r="JHX357" s="22"/>
      <c r="JHY357" s="22"/>
      <c r="JHZ357" s="22"/>
      <c r="JIA357" s="22"/>
      <c r="JIB357" s="22"/>
      <c r="JIC357" s="22"/>
      <c r="JID357" s="22"/>
      <c r="JIE357" s="22"/>
      <c r="JIF357" s="22"/>
      <c r="JIG357" s="22"/>
      <c r="JIH357" s="22"/>
      <c r="JII357" s="22"/>
      <c r="JIJ357" s="22"/>
      <c r="JIK357" s="22"/>
      <c r="JIL357" s="22"/>
      <c r="JIM357" s="22"/>
      <c r="JIN357" s="22"/>
      <c r="JIO357" s="22"/>
      <c r="JIP357" s="22"/>
      <c r="JIQ357" s="22"/>
      <c r="JIR357" s="22"/>
      <c r="JIS357" s="22"/>
      <c r="JIT357" s="22"/>
      <c r="JIU357" s="22"/>
      <c r="JIV357" s="22"/>
      <c r="JIW357" s="22"/>
      <c r="JIX357" s="22"/>
      <c r="JIY357" s="22"/>
      <c r="JIZ357" s="22"/>
      <c r="JJA357" s="22"/>
      <c r="JJB357" s="22"/>
      <c r="JJC357" s="22"/>
      <c r="JJD357" s="22"/>
      <c r="JJE357" s="22"/>
      <c r="JJF357" s="22"/>
      <c r="JJG357" s="22"/>
      <c r="JJH357" s="22"/>
      <c r="JJI357" s="22"/>
      <c r="JJJ357" s="22"/>
      <c r="JJK357" s="22"/>
      <c r="JJL357" s="22"/>
      <c r="JJM357" s="22"/>
      <c r="JJN357" s="22"/>
      <c r="JJO357" s="22"/>
      <c r="JJP357" s="22"/>
      <c r="JJQ357" s="22"/>
      <c r="JJR357" s="22"/>
      <c r="JJS357" s="22"/>
      <c r="JJT357" s="22"/>
      <c r="JJU357" s="22"/>
      <c r="JJV357" s="22"/>
      <c r="JJW357" s="22"/>
      <c r="JJX357" s="22"/>
      <c r="JJY357" s="22"/>
      <c r="JJZ357" s="22"/>
      <c r="JKA357" s="22"/>
      <c r="JKB357" s="22"/>
      <c r="JKC357" s="22"/>
      <c r="JKD357" s="22"/>
      <c r="JKE357" s="22"/>
      <c r="JKF357" s="22"/>
      <c r="JKG357" s="22"/>
      <c r="JKH357" s="22"/>
      <c r="JKI357" s="22"/>
      <c r="JKJ357" s="22"/>
      <c r="JKK357" s="22"/>
      <c r="JKL357" s="22"/>
      <c r="JKM357" s="22"/>
      <c r="JKN357" s="22"/>
      <c r="JKO357" s="22"/>
      <c r="JKP357" s="22"/>
      <c r="JKQ357" s="22"/>
      <c r="JKR357" s="22"/>
      <c r="JKS357" s="22"/>
      <c r="JKT357" s="22"/>
      <c r="JKU357" s="22"/>
      <c r="JKV357" s="22"/>
      <c r="JKW357" s="22"/>
      <c r="JKX357" s="22"/>
      <c r="JKY357" s="22"/>
      <c r="JKZ357" s="22"/>
      <c r="JLA357" s="22"/>
      <c r="JLB357" s="22"/>
      <c r="JLC357" s="22"/>
      <c r="JLD357" s="22"/>
      <c r="JLE357" s="22"/>
      <c r="JLF357" s="22"/>
      <c r="JLG357" s="22"/>
      <c r="JLH357" s="22"/>
      <c r="JLI357" s="22"/>
      <c r="JLJ357" s="22"/>
      <c r="JLK357" s="22"/>
      <c r="JLL357" s="22"/>
      <c r="JLM357" s="22"/>
      <c r="JLN357" s="22"/>
      <c r="JLO357" s="22"/>
      <c r="JLP357" s="22"/>
      <c r="JLQ357" s="22"/>
      <c r="JLR357" s="22"/>
      <c r="JLS357" s="22"/>
      <c r="JLT357" s="22"/>
      <c r="JLU357" s="22"/>
      <c r="JLV357" s="22"/>
      <c r="JLW357" s="22"/>
      <c r="JLX357" s="22"/>
      <c r="JLY357" s="22"/>
      <c r="JLZ357" s="22"/>
      <c r="JMA357" s="22"/>
      <c r="JMB357" s="22"/>
      <c r="JMC357" s="22"/>
      <c r="JMD357" s="22"/>
      <c r="JME357" s="22"/>
      <c r="JMF357" s="22"/>
      <c r="JMG357" s="22"/>
      <c r="JMH357" s="22"/>
      <c r="JMI357" s="22"/>
      <c r="JMJ357" s="22"/>
      <c r="JMK357" s="22"/>
      <c r="JML357" s="22"/>
      <c r="JMM357" s="22"/>
      <c r="JMN357" s="22"/>
      <c r="JMO357" s="22"/>
      <c r="JMP357" s="22"/>
      <c r="JMQ357" s="22"/>
      <c r="JMR357" s="22"/>
      <c r="JMS357" s="22"/>
      <c r="JMT357" s="22"/>
      <c r="JMU357" s="22"/>
      <c r="JMV357" s="22"/>
      <c r="JMW357" s="22"/>
      <c r="JMX357" s="22"/>
      <c r="JMY357" s="22"/>
      <c r="JMZ357" s="22"/>
      <c r="JNA357" s="22"/>
      <c r="JNB357" s="22"/>
      <c r="JNC357" s="22"/>
      <c r="JND357" s="22"/>
      <c r="JNE357" s="22"/>
      <c r="JNF357" s="22"/>
      <c r="JNG357" s="22"/>
      <c r="JNH357" s="22"/>
      <c r="JNI357" s="22"/>
      <c r="JNJ357" s="22"/>
      <c r="JNK357" s="22"/>
      <c r="JNL357" s="22"/>
      <c r="JNM357" s="22"/>
      <c r="JNN357" s="22"/>
      <c r="JNO357" s="22"/>
      <c r="JNP357" s="22"/>
      <c r="JNQ357" s="22"/>
      <c r="JNR357" s="22"/>
      <c r="JNS357" s="22"/>
      <c r="JNT357" s="22"/>
      <c r="JNU357" s="22"/>
      <c r="JNV357" s="22"/>
      <c r="JNW357" s="22"/>
      <c r="JNX357" s="22"/>
      <c r="JNY357" s="22"/>
      <c r="JNZ357" s="22"/>
      <c r="JOA357" s="22"/>
      <c r="JOB357" s="22"/>
      <c r="JOC357" s="22"/>
      <c r="JOD357" s="22"/>
      <c r="JOE357" s="22"/>
      <c r="JOF357" s="22"/>
      <c r="JOG357" s="22"/>
      <c r="JOH357" s="22"/>
      <c r="JOI357" s="22"/>
      <c r="JOJ357" s="22"/>
      <c r="JOK357" s="22"/>
      <c r="JOL357" s="22"/>
      <c r="JOM357" s="22"/>
      <c r="JON357" s="22"/>
      <c r="JOO357" s="22"/>
      <c r="JOP357" s="22"/>
      <c r="JOQ357" s="22"/>
      <c r="JOR357" s="22"/>
      <c r="JOS357" s="22"/>
      <c r="JOT357" s="22"/>
      <c r="JOU357" s="22"/>
      <c r="JOV357" s="22"/>
      <c r="JOW357" s="22"/>
      <c r="JOX357" s="22"/>
      <c r="JOY357" s="22"/>
      <c r="JOZ357" s="22"/>
      <c r="JPA357" s="22"/>
      <c r="JPB357" s="22"/>
      <c r="JPC357" s="22"/>
      <c r="JPD357" s="22"/>
      <c r="JPE357" s="22"/>
      <c r="JPF357" s="22"/>
      <c r="JPG357" s="22"/>
      <c r="JPH357" s="22"/>
      <c r="JPI357" s="22"/>
      <c r="JPJ357" s="22"/>
      <c r="JPK357" s="22"/>
      <c r="JPL357" s="22"/>
      <c r="JPM357" s="22"/>
      <c r="JPN357" s="22"/>
      <c r="JPO357" s="22"/>
      <c r="JPP357" s="22"/>
      <c r="JPQ357" s="22"/>
      <c r="JPR357" s="22"/>
      <c r="JPS357" s="22"/>
      <c r="JPT357" s="22"/>
      <c r="JPU357" s="22"/>
      <c r="JPV357" s="22"/>
      <c r="JPW357" s="22"/>
      <c r="JPX357" s="22"/>
      <c r="JPY357" s="22"/>
      <c r="JPZ357" s="22"/>
      <c r="JQA357" s="22"/>
      <c r="JQB357" s="22"/>
      <c r="JQC357" s="22"/>
      <c r="JQD357" s="22"/>
      <c r="JQE357" s="22"/>
      <c r="JQF357" s="22"/>
      <c r="JQG357" s="22"/>
      <c r="JQH357" s="22"/>
      <c r="JQI357" s="22"/>
      <c r="JQJ357" s="22"/>
      <c r="JQK357" s="22"/>
      <c r="JQL357" s="22"/>
      <c r="JQM357" s="22"/>
      <c r="JQN357" s="22"/>
      <c r="JQO357" s="22"/>
      <c r="JQP357" s="22"/>
      <c r="JQQ357" s="22"/>
      <c r="JQR357" s="22"/>
      <c r="JQS357" s="22"/>
      <c r="JQT357" s="22"/>
      <c r="JQU357" s="22"/>
      <c r="JQV357" s="22"/>
      <c r="JQW357" s="22"/>
      <c r="JQX357" s="22"/>
      <c r="JQY357" s="22"/>
      <c r="JQZ357" s="22"/>
      <c r="JRA357" s="22"/>
      <c r="JRB357" s="22"/>
      <c r="JRC357" s="22"/>
      <c r="JRD357" s="22"/>
      <c r="JRE357" s="22"/>
      <c r="JRF357" s="22"/>
      <c r="JRG357" s="22"/>
      <c r="JRH357" s="22"/>
      <c r="JRI357" s="22"/>
      <c r="JRJ357" s="22"/>
      <c r="JRK357" s="22"/>
      <c r="JRL357" s="22"/>
      <c r="JRM357" s="22"/>
      <c r="JRN357" s="22"/>
      <c r="JRO357" s="22"/>
      <c r="JRP357" s="22"/>
      <c r="JRQ357" s="22"/>
      <c r="JRR357" s="22"/>
      <c r="JRS357" s="22"/>
      <c r="JRT357" s="22"/>
      <c r="JRU357" s="22"/>
      <c r="JRV357" s="22"/>
      <c r="JRW357" s="22"/>
      <c r="JRX357" s="22"/>
      <c r="JRY357" s="22"/>
      <c r="JRZ357" s="22"/>
      <c r="JSA357" s="22"/>
      <c r="JSB357" s="22"/>
      <c r="JSC357" s="22"/>
      <c r="JSD357" s="22"/>
      <c r="JSE357" s="22"/>
      <c r="JSF357" s="22"/>
      <c r="JSG357" s="22"/>
      <c r="JSH357" s="22"/>
      <c r="JSI357" s="22"/>
      <c r="JSJ357" s="22"/>
      <c r="JSK357" s="22"/>
      <c r="JSL357" s="22"/>
      <c r="JSM357" s="22"/>
      <c r="JSN357" s="22"/>
      <c r="JSO357" s="22"/>
      <c r="JSP357" s="22"/>
      <c r="JSQ357" s="22"/>
      <c r="JSR357" s="22"/>
      <c r="JSS357" s="22"/>
      <c r="JST357" s="22"/>
      <c r="JSU357" s="22"/>
      <c r="JSV357" s="22"/>
      <c r="JSW357" s="22"/>
      <c r="JSX357" s="22"/>
      <c r="JSY357" s="22"/>
      <c r="JSZ357" s="22"/>
      <c r="JTA357" s="22"/>
      <c r="JTB357" s="22"/>
      <c r="JTC357" s="22"/>
      <c r="JTD357" s="22"/>
      <c r="JTE357" s="22"/>
      <c r="JTF357" s="22"/>
      <c r="JTG357" s="22"/>
      <c r="JTH357" s="22"/>
      <c r="JTI357" s="22"/>
      <c r="JTJ357" s="22"/>
      <c r="JTK357" s="22"/>
      <c r="JTL357" s="22"/>
      <c r="JTM357" s="22"/>
      <c r="JTN357" s="22"/>
      <c r="JTO357" s="22"/>
      <c r="JTP357" s="22"/>
      <c r="JTQ357" s="22"/>
      <c r="JTR357" s="22"/>
      <c r="JTS357" s="22"/>
      <c r="JTT357" s="22"/>
      <c r="JTU357" s="22"/>
      <c r="JTV357" s="22"/>
      <c r="JTW357" s="22"/>
      <c r="JTX357" s="22"/>
      <c r="JTY357" s="22"/>
      <c r="JTZ357" s="22"/>
      <c r="JUA357" s="22"/>
      <c r="JUB357" s="22"/>
      <c r="JUC357" s="22"/>
      <c r="JUD357" s="22"/>
      <c r="JUE357" s="22"/>
      <c r="JUF357" s="22"/>
      <c r="JUG357" s="22"/>
      <c r="JUH357" s="22"/>
      <c r="JUI357" s="22"/>
      <c r="JUJ357" s="22"/>
      <c r="JUK357" s="22"/>
      <c r="JUL357" s="22"/>
      <c r="JUM357" s="22"/>
      <c r="JUN357" s="22"/>
      <c r="JUO357" s="22"/>
      <c r="JUP357" s="22"/>
      <c r="JUQ357" s="22"/>
      <c r="JUR357" s="22"/>
      <c r="JUS357" s="22"/>
      <c r="JUT357" s="22"/>
      <c r="JUU357" s="22"/>
      <c r="JUV357" s="22"/>
      <c r="JUW357" s="22"/>
      <c r="JUX357" s="22"/>
      <c r="JUY357" s="22"/>
      <c r="JUZ357" s="22"/>
      <c r="JVA357" s="22"/>
      <c r="JVB357" s="22"/>
      <c r="JVC357" s="22"/>
      <c r="JVD357" s="22"/>
      <c r="JVE357" s="22"/>
      <c r="JVF357" s="22"/>
      <c r="JVG357" s="22"/>
      <c r="JVH357" s="22"/>
      <c r="JVI357" s="22"/>
      <c r="JVJ357" s="22"/>
      <c r="JVK357" s="22"/>
      <c r="JVL357" s="22"/>
      <c r="JVM357" s="22"/>
      <c r="JVN357" s="22"/>
      <c r="JVO357" s="22"/>
      <c r="JVP357" s="22"/>
      <c r="JVQ357" s="22"/>
      <c r="JVR357" s="22"/>
      <c r="JVS357" s="22"/>
      <c r="JVT357" s="22"/>
      <c r="JVU357" s="22"/>
      <c r="JVV357" s="22"/>
      <c r="JVW357" s="22"/>
      <c r="JVX357" s="22"/>
      <c r="JVY357" s="22"/>
      <c r="JVZ357" s="22"/>
      <c r="JWA357" s="22"/>
      <c r="JWB357" s="22"/>
      <c r="JWC357" s="22"/>
      <c r="JWD357" s="22"/>
      <c r="JWE357" s="22"/>
      <c r="JWF357" s="22"/>
      <c r="JWG357" s="22"/>
      <c r="JWH357" s="22"/>
      <c r="JWI357" s="22"/>
      <c r="JWJ357" s="22"/>
      <c r="JWK357" s="22"/>
      <c r="JWL357" s="22"/>
      <c r="JWM357" s="22"/>
      <c r="JWN357" s="22"/>
      <c r="JWO357" s="22"/>
      <c r="JWP357" s="22"/>
      <c r="JWQ357" s="22"/>
      <c r="JWR357" s="22"/>
      <c r="JWS357" s="22"/>
      <c r="JWT357" s="22"/>
      <c r="JWU357" s="22"/>
      <c r="JWV357" s="22"/>
      <c r="JWW357" s="22"/>
      <c r="JWX357" s="22"/>
      <c r="JWY357" s="22"/>
      <c r="JWZ357" s="22"/>
      <c r="JXA357" s="22"/>
      <c r="JXB357" s="22"/>
      <c r="JXC357" s="22"/>
      <c r="JXD357" s="22"/>
      <c r="JXE357" s="22"/>
      <c r="JXF357" s="22"/>
      <c r="JXG357" s="22"/>
      <c r="JXH357" s="22"/>
      <c r="JXI357" s="22"/>
      <c r="JXJ357" s="22"/>
      <c r="JXK357" s="22"/>
      <c r="JXL357" s="22"/>
      <c r="JXM357" s="22"/>
      <c r="JXN357" s="22"/>
      <c r="JXO357" s="22"/>
      <c r="JXP357" s="22"/>
      <c r="JXQ357" s="22"/>
      <c r="JXR357" s="22"/>
      <c r="JXS357" s="22"/>
      <c r="JXT357" s="22"/>
      <c r="JXU357" s="22"/>
      <c r="JXV357" s="22"/>
      <c r="JXW357" s="22"/>
      <c r="JXX357" s="22"/>
      <c r="JXY357" s="22"/>
      <c r="JXZ357" s="22"/>
      <c r="JYA357" s="22"/>
      <c r="JYB357" s="22"/>
      <c r="JYC357" s="22"/>
      <c r="JYD357" s="22"/>
      <c r="JYE357" s="22"/>
      <c r="JYF357" s="22"/>
      <c r="JYG357" s="22"/>
      <c r="JYH357" s="22"/>
      <c r="JYI357" s="22"/>
      <c r="JYJ357" s="22"/>
      <c r="JYK357" s="22"/>
      <c r="JYL357" s="22"/>
      <c r="JYM357" s="22"/>
      <c r="JYN357" s="22"/>
      <c r="JYO357" s="22"/>
      <c r="JYP357" s="22"/>
      <c r="JYQ357" s="22"/>
      <c r="JYR357" s="22"/>
      <c r="JYS357" s="22"/>
      <c r="JYT357" s="22"/>
      <c r="JYU357" s="22"/>
      <c r="JYV357" s="22"/>
      <c r="JYW357" s="22"/>
      <c r="JYX357" s="22"/>
      <c r="JYY357" s="22"/>
      <c r="JYZ357" s="22"/>
      <c r="JZA357" s="22"/>
      <c r="JZB357" s="22"/>
      <c r="JZC357" s="22"/>
      <c r="JZD357" s="22"/>
      <c r="JZE357" s="22"/>
      <c r="JZF357" s="22"/>
      <c r="JZG357" s="22"/>
      <c r="JZH357" s="22"/>
      <c r="JZI357" s="22"/>
      <c r="JZJ357" s="22"/>
      <c r="JZK357" s="22"/>
      <c r="JZL357" s="22"/>
      <c r="JZM357" s="22"/>
      <c r="JZN357" s="22"/>
      <c r="JZO357" s="22"/>
      <c r="JZP357" s="22"/>
      <c r="JZQ357" s="22"/>
      <c r="JZR357" s="22"/>
      <c r="JZS357" s="22"/>
      <c r="JZT357" s="22"/>
      <c r="JZU357" s="22"/>
      <c r="JZV357" s="22"/>
      <c r="JZW357" s="22"/>
      <c r="JZX357" s="22"/>
      <c r="JZY357" s="22"/>
      <c r="JZZ357" s="22"/>
      <c r="KAA357" s="22"/>
      <c r="KAB357" s="22"/>
      <c r="KAC357" s="22"/>
      <c r="KAD357" s="22"/>
      <c r="KAE357" s="22"/>
      <c r="KAF357" s="22"/>
      <c r="KAG357" s="22"/>
      <c r="KAH357" s="22"/>
      <c r="KAI357" s="22"/>
      <c r="KAJ357" s="22"/>
      <c r="KAK357" s="22"/>
      <c r="KAL357" s="22"/>
      <c r="KAM357" s="22"/>
      <c r="KAN357" s="22"/>
      <c r="KAO357" s="22"/>
      <c r="KAP357" s="22"/>
      <c r="KAQ357" s="22"/>
      <c r="KAR357" s="22"/>
      <c r="KAS357" s="22"/>
      <c r="KAT357" s="22"/>
      <c r="KAU357" s="22"/>
      <c r="KAV357" s="22"/>
      <c r="KAW357" s="22"/>
      <c r="KAX357" s="22"/>
      <c r="KAY357" s="22"/>
      <c r="KAZ357" s="22"/>
      <c r="KBA357" s="22"/>
      <c r="KBB357" s="22"/>
      <c r="KBC357" s="22"/>
      <c r="KBD357" s="22"/>
      <c r="KBE357" s="22"/>
      <c r="KBF357" s="22"/>
      <c r="KBG357" s="22"/>
      <c r="KBH357" s="22"/>
      <c r="KBI357" s="22"/>
      <c r="KBJ357" s="22"/>
      <c r="KBK357" s="22"/>
      <c r="KBL357" s="22"/>
      <c r="KBM357" s="22"/>
      <c r="KBN357" s="22"/>
      <c r="KBO357" s="22"/>
      <c r="KBP357" s="22"/>
      <c r="KBQ357" s="22"/>
      <c r="KBR357" s="22"/>
      <c r="KBS357" s="22"/>
      <c r="KBT357" s="22"/>
      <c r="KBU357" s="22"/>
      <c r="KBV357" s="22"/>
      <c r="KBW357" s="22"/>
      <c r="KBX357" s="22"/>
      <c r="KBY357" s="22"/>
      <c r="KBZ357" s="22"/>
      <c r="KCA357" s="22"/>
      <c r="KCB357" s="22"/>
      <c r="KCC357" s="22"/>
      <c r="KCD357" s="22"/>
      <c r="KCE357" s="22"/>
      <c r="KCF357" s="22"/>
      <c r="KCG357" s="22"/>
      <c r="KCH357" s="22"/>
      <c r="KCI357" s="22"/>
      <c r="KCJ357" s="22"/>
      <c r="KCK357" s="22"/>
      <c r="KCL357" s="22"/>
      <c r="KCM357" s="22"/>
      <c r="KCN357" s="22"/>
      <c r="KCO357" s="22"/>
      <c r="KCP357" s="22"/>
      <c r="KCQ357" s="22"/>
      <c r="KCR357" s="22"/>
      <c r="KCS357" s="22"/>
      <c r="KCT357" s="22"/>
      <c r="KCU357" s="22"/>
      <c r="KCV357" s="22"/>
      <c r="KCW357" s="22"/>
      <c r="KCX357" s="22"/>
      <c r="KCY357" s="22"/>
      <c r="KCZ357" s="22"/>
      <c r="KDA357" s="22"/>
      <c r="KDB357" s="22"/>
      <c r="KDC357" s="22"/>
      <c r="KDD357" s="22"/>
      <c r="KDE357" s="22"/>
      <c r="KDF357" s="22"/>
      <c r="KDG357" s="22"/>
      <c r="KDH357" s="22"/>
      <c r="KDI357" s="22"/>
      <c r="KDJ357" s="22"/>
      <c r="KDK357" s="22"/>
      <c r="KDL357" s="22"/>
      <c r="KDM357" s="22"/>
      <c r="KDN357" s="22"/>
      <c r="KDO357" s="22"/>
      <c r="KDP357" s="22"/>
      <c r="KDQ357" s="22"/>
      <c r="KDR357" s="22"/>
      <c r="KDS357" s="22"/>
      <c r="KDT357" s="22"/>
      <c r="KDU357" s="22"/>
      <c r="KDV357" s="22"/>
      <c r="KDW357" s="22"/>
      <c r="KDX357" s="22"/>
      <c r="KDY357" s="22"/>
      <c r="KDZ357" s="22"/>
      <c r="KEA357" s="22"/>
      <c r="KEB357" s="22"/>
      <c r="KEC357" s="22"/>
      <c r="KED357" s="22"/>
      <c r="KEE357" s="22"/>
      <c r="KEF357" s="22"/>
      <c r="KEG357" s="22"/>
      <c r="KEH357" s="22"/>
      <c r="KEI357" s="22"/>
      <c r="KEJ357" s="22"/>
      <c r="KEK357" s="22"/>
      <c r="KEL357" s="22"/>
      <c r="KEM357" s="22"/>
      <c r="KEN357" s="22"/>
      <c r="KEO357" s="22"/>
      <c r="KEP357" s="22"/>
      <c r="KEQ357" s="22"/>
      <c r="KER357" s="22"/>
      <c r="KES357" s="22"/>
      <c r="KET357" s="22"/>
      <c r="KEU357" s="22"/>
      <c r="KEV357" s="22"/>
      <c r="KEW357" s="22"/>
      <c r="KEX357" s="22"/>
      <c r="KEY357" s="22"/>
      <c r="KEZ357" s="22"/>
      <c r="KFA357" s="22"/>
      <c r="KFB357" s="22"/>
      <c r="KFC357" s="22"/>
      <c r="KFD357" s="22"/>
      <c r="KFE357" s="22"/>
      <c r="KFF357" s="22"/>
      <c r="KFG357" s="22"/>
      <c r="KFH357" s="22"/>
      <c r="KFI357" s="22"/>
      <c r="KFJ357" s="22"/>
      <c r="KFK357" s="22"/>
      <c r="KFL357" s="22"/>
      <c r="KFM357" s="22"/>
      <c r="KFN357" s="22"/>
      <c r="KFO357" s="22"/>
      <c r="KFP357" s="22"/>
      <c r="KFQ357" s="22"/>
      <c r="KFR357" s="22"/>
      <c r="KFS357" s="22"/>
      <c r="KFT357" s="22"/>
      <c r="KFU357" s="22"/>
      <c r="KFV357" s="22"/>
      <c r="KFW357" s="22"/>
      <c r="KFX357" s="22"/>
      <c r="KFY357" s="22"/>
      <c r="KFZ357" s="22"/>
      <c r="KGA357" s="22"/>
      <c r="KGB357" s="22"/>
      <c r="KGC357" s="22"/>
      <c r="KGD357" s="22"/>
      <c r="KGE357" s="22"/>
      <c r="KGF357" s="22"/>
      <c r="KGG357" s="22"/>
      <c r="KGH357" s="22"/>
      <c r="KGI357" s="22"/>
      <c r="KGJ357" s="22"/>
      <c r="KGK357" s="22"/>
      <c r="KGL357" s="22"/>
      <c r="KGM357" s="22"/>
      <c r="KGN357" s="22"/>
      <c r="KGO357" s="22"/>
      <c r="KGP357" s="22"/>
      <c r="KGQ357" s="22"/>
      <c r="KGR357" s="22"/>
      <c r="KGS357" s="22"/>
      <c r="KGT357" s="22"/>
      <c r="KGU357" s="22"/>
      <c r="KGV357" s="22"/>
      <c r="KGW357" s="22"/>
      <c r="KGX357" s="22"/>
      <c r="KGY357" s="22"/>
      <c r="KGZ357" s="22"/>
      <c r="KHA357" s="22"/>
      <c r="KHB357" s="22"/>
      <c r="KHC357" s="22"/>
      <c r="KHD357" s="22"/>
      <c r="KHE357" s="22"/>
      <c r="KHF357" s="22"/>
      <c r="KHG357" s="22"/>
      <c r="KHH357" s="22"/>
      <c r="KHI357" s="22"/>
      <c r="KHJ357" s="22"/>
      <c r="KHK357" s="22"/>
      <c r="KHL357" s="22"/>
      <c r="KHM357" s="22"/>
      <c r="KHN357" s="22"/>
      <c r="KHO357" s="22"/>
      <c r="KHP357" s="22"/>
      <c r="KHQ357" s="22"/>
      <c r="KHR357" s="22"/>
      <c r="KHS357" s="22"/>
      <c r="KHT357" s="22"/>
      <c r="KHU357" s="22"/>
      <c r="KHV357" s="22"/>
      <c r="KHW357" s="22"/>
      <c r="KHX357" s="22"/>
      <c r="KHY357" s="22"/>
      <c r="KHZ357" s="22"/>
      <c r="KIA357" s="22"/>
      <c r="KIB357" s="22"/>
      <c r="KIC357" s="22"/>
      <c r="KID357" s="22"/>
      <c r="KIE357" s="22"/>
      <c r="KIF357" s="22"/>
      <c r="KIG357" s="22"/>
      <c r="KIH357" s="22"/>
      <c r="KII357" s="22"/>
      <c r="KIJ357" s="22"/>
      <c r="KIK357" s="22"/>
      <c r="KIL357" s="22"/>
      <c r="KIM357" s="22"/>
      <c r="KIN357" s="22"/>
      <c r="KIO357" s="22"/>
      <c r="KIP357" s="22"/>
      <c r="KIQ357" s="22"/>
      <c r="KIR357" s="22"/>
      <c r="KIS357" s="22"/>
      <c r="KIT357" s="22"/>
      <c r="KIU357" s="22"/>
      <c r="KIV357" s="22"/>
      <c r="KIW357" s="22"/>
      <c r="KIX357" s="22"/>
      <c r="KIY357" s="22"/>
      <c r="KIZ357" s="22"/>
      <c r="KJA357" s="22"/>
      <c r="KJB357" s="22"/>
      <c r="KJC357" s="22"/>
      <c r="KJD357" s="22"/>
      <c r="KJE357" s="22"/>
      <c r="KJF357" s="22"/>
      <c r="KJG357" s="22"/>
      <c r="KJH357" s="22"/>
      <c r="KJI357" s="22"/>
      <c r="KJJ357" s="22"/>
      <c r="KJK357" s="22"/>
      <c r="KJL357" s="22"/>
      <c r="KJM357" s="22"/>
      <c r="KJN357" s="22"/>
      <c r="KJO357" s="22"/>
      <c r="KJP357" s="22"/>
      <c r="KJQ357" s="22"/>
      <c r="KJR357" s="22"/>
      <c r="KJS357" s="22"/>
      <c r="KJT357" s="22"/>
      <c r="KJU357" s="22"/>
      <c r="KJV357" s="22"/>
      <c r="KJW357" s="22"/>
      <c r="KJX357" s="22"/>
      <c r="KJY357" s="22"/>
      <c r="KJZ357" s="22"/>
      <c r="KKA357" s="22"/>
      <c r="KKB357" s="22"/>
      <c r="KKC357" s="22"/>
      <c r="KKD357" s="22"/>
      <c r="KKE357" s="22"/>
      <c r="KKF357" s="22"/>
      <c r="KKG357" s="22"/>
      <c r="KKH357" s="22"/>
      <c r="KKI357" s="22"/>
      <c r="KKJ357" s="22"/>
      <c r="KKK357" s="22"/>
      <c r="KKL357" s="22"/>
      <c r="KKM357" s="22"/>
      <c r="KKN357" s="22"/>
      <c r="KKO357" s="22"/>
      <c r="KKP357" s="22"/>
      <c r="KKQ357" s="22"/>
      <c r="KKR357" s="22"/>
      <c r="KKS357" s="22"/>
      <c r="KKT357" s="22"/>
      <c r="KKU357" s="22"/>
      <c r="KKV357" s="22"/>
      <c r="KKW357" s="22"/>
      <c r="KKX357" s="22"/>
      <c r="KKY357" s="22"/>
      <c r="KKZ357" s="22"/>
      <c r="KLA357" s="22"/>
      <c r="KLB357" s="22"/>
      <c r="KLC357" s="22"/>
      <c r="KLD357" s="22"/>
      <c r="KLE357" s="22"/>
      <c r="KLF357" s="22"/>
      <c r="KLG357" s="22"/>
      <c r="KLH357" s="22"/>
      <c r="KLI357" s="22"/>
      <c r="KLJ357" s="22"/>
      <c r="KLK357" s="22"/>
      <c r="KLL357" s="22"/>
      <c r="KLM357" s="22"/>
      <c r="KLN357" s="22"/>
      <c r="KLO357" s="22"/>
      <c r="KLP357" s="22"/>
      <c r="KLQ357" s="22"/>
      <c r="KLR357" s="22"/>
      <c r="KLS357" s="22"/>
      <c r="KLT357" s="22"/>
      <c r="KLU357" s="22"/>
      <c r="KLV357" s="22"/>
      <c r="KLW357" s="22"/>
      <c r="KLX357" s="22"/>
      <c r="KLY357" s="22"/>
      <c r="KLZ357" s="22"/>
      <c r="KMA357" s="22"/>
      <c r="KMB357" s="22"/>
      <c r="KMC357" s="22"/>
      <c r="KMD357" s="22"/>
      <c r="KME357" s="22"/>
      <c r="KMF357" s="22"/>
      <c r="KMG357" s="22"/>
      <c r="KMH357" s="22"/>
      <c r="KMI357" s="22"/>
      <c r="KMJ357" s="22"/>
      <c r="KMK357" s="22"/>
      <c r="KML357" s="22"/>
      <c r="KMM357" s="22"/>
      <c r="KMN357" s="22"/>
      <c r="KMO357" s="22"/>
      <c r="KMP357" s="22"/>
      <c r="KMQ357" s="22"/>
      <c r="KMR357" s="22"/>
      <c r="KMS357" s="22"/>
      <c r="KMT357" s="22"/>
      <c r="KMU357" s="22"/>
      <c r="KMV357" s="22"/>
      <c r="KMW357" s="22"/>
      <c r="KMX357" s="22"/>
      <c r="KMY357" s="22"/>
      <c r="KMZ357" s="22"/>
      <c r="KNA357" s="22"/>
      <c r="KNB357" s="22"/>
      <c r="KNC357" s="22"/>
      <c r="KND357" s="22"/>
      <c r="KNE357" s="22"/>
      <c r="KNF357" s="22"/>
      <c r="KNG357" s="22"/>
      <c r="KNH357" s="22"/>
      <c r="KNI357" s="22"/>
      <c r="KNJ357" s="22"/>
      <c r="KNK357" s="22"/>
      <c r="KNL357" s="22"/>
      <c r="KNM357" s="22"/>
      <c r="KNN357" s="22"/>
      <c r="KNO357" s="22"/>
      <c r="KNP357" s="22"/>
      <c r="KNQ357" s="22"/>
      <c r="KNR357" s="22"/>
      <c r="KNS357" s="22"/>
      <c r="KNT357" s="22"/>
      <c r="KNU357" s="22"/>
      <c r="KNV357" s="22"/>
      <c r="KNW357" s="22"/>
      <c r="KNX357" s="22"/>
      <c r="KNY357" s="22"/>
      <c r="KNZ357" s="22"/>
      <c r="KOA357" s="22"/>
      <c r="KOB357" s="22"/>
      <c r="KOC357" s="22"/>
      <c r="KOD357" s="22"/>
      <c r="KOE357" s="22"/>
      <c r="KOF357" s="22"/>
      <c r="KOG357" s="22"/>
      <c r="KOH357" s="22"/>
      <c r="KOI357" s="22"/>
      <c r="KOJ357" s="22"/>
      <c r="KOK357" s="22"/>
      <c r="KOL357" s="22"/>
      <c r="KOM357" s="22"/>
      <c r="KON357" s="22"/>
      <c r="KOO357" s="22"/>
      <c r="KOP357" s="22"/>
      <c r="KOQ357" s="22"/>
      <c r="KOR357" s="22"/>
      <c r="KOS357" s="22"/>
      <c r="KOT357" s="22"/>
      <c r="KOU357" s="22"/>
      <c r="KOV357" s="22"/>
      <c r="KOW357" s="22"/>
      <c r="KOX357" s="22"/>
      <c r="KOY357" s="22"/>
      <c r="KOZ357" s="22"/>
      <c r="KPA357" s="22"/>
      <c r="KPB357" s="22"/>
      <c r="KPC357" s="22"/>
      <c r="KPD357" s="22"/>
      <c r="KPE357" s="22"/>
      <c r="KPF357" s="22"/>
      <c r="KPG357" s="22"/>
      <c r="KPH357" s="22"/>
      <c r="KPI357" s="22"/>
      <c r="KPJ357" s="22"/>
      <c r="KPK357" s="22"/>
      <c r="KPL357" s="22"/>
      <c r="KPM357" s="22"/>
      <c r="KPN357" s="22"/>
      <c r="KPO357" s="22"/>
      <c r="KPP357" s="22"/>
      <c r="KPQ357" s="22"/>
      <c r="KPR357" s="22"/>
      <c r="KPS357" s="22"/>
      <c r="KPT357" s="22"/>
      <c r="KPU357" s="22"/>
      <c r="KPV357" s="22"/>
      <c r="KPW357" s="22"/>
      <c r="KPX357" s="22"/>
      <c r="KPY357" s="22"/>
      <c r="KPZ357" s="22"/>
      <c r="KQA357" s="22"/>
      <c r="KQB357" s="22"/>
      <c r="KQC357" s="22"/>
      <c r="KQD357" s="22"/>
      <c r="KQE357" s="22"/>
      <c r="KQF357" s="22"/>
      <c r="KQG357" s="22"/>
      <c r="KQH357" s="22"/>
      <c r="KQI357" s="22"/>
      <c r="KQJ357" s="22"/>
      <c r="KQK357" s="22"/>
      <c r="KQL357" s="22"/>
      <c r="KQM357" s="22"/>
      <c r="KQN357" s="22"/>
      <c r="KQO357" s="22"/>
      <c r="KQP357" s="22"/>
      <c r="KQQ357" s="22"/>
      <c r="KQR357" s="22"/>
      <c r="KQS357" s="22"/>
      <c r="KQT357" s="22"/>
      <c r="KQU357" s="22"/>
      <c r="KQV357" s="22"/>
      <c r="KQW357" s="22"/>
      <c r="KQX357" s="22"/>
      <c r="KQY357" s="22"/>
      <c r="KQZ357" s="22"/>
      <c r="KRA357" s="22"/>
      <c r="KRB357" s="22"/>
      <c r="KRC357" s="22"/>
      <c r="KRD357" s="22"/>
      <c r="KRE357" s="22"/>
      <c r="KRF357" s="22"/>
      <c r="KRG357" s="22"/>
      <c r="KRH357" s="22"/>
      <c r="KRI357" s="22"/>
      <c r="KRJ357" s="22"/>
      <c r="KRK357" s="22"/>
      <c r="KRL357" s="22"/>
      <c r="KRM357" s="22"/>
      <c r="KRN357" s="22"/>
      <c r="KRO357" s="22"/>
      <c r="KRP357" s="22"/>
      <c r="KRQ357" s="22"/>
      <c r="KRR357" s="22"/>
      <c r="KRS357" s="22"/>
      <c r="KRT357" s="22"/>
      <c r="KRU357" s="22"/>
      <c r="KRV357" s="22"/>
      <c r="KRW357" s="22"/>
      <c r="KRX357" s="22"/>
      <c r="KRY357" s="22"/>
      <c r="KRZ357" s="22"/>
      <c r="KSA357" s="22"/>
      <c r="KSB357" s="22"/>
      <c r="KSC357" s="22"/>
      <c r="KSD357" s="22"/>
      <c r="KSE357" s="22"/>
      <c r="KSF357" s="22"/>
      <c r="KSG357" s="22"/>
      <c r="KSH357" s="22"/>
      <c r="KSI357" s="22"/>
      <c r="KSJ357" s="22"/>
      <c r="KSK357" s="22"/>
      <c r="KSL357" s="22"/>
      <c r="KSM357" s="22"/>
      <c r="KSN357" s="22"/>
      <c r="KSO357" s="22"/>
      <c r="KSP357" s="22"/>
      <c r="KSQ357" s="22"/>
      <c r="KSR357" s="22"/>
      <c r="KSS357" s="22"/>
      <c r="KST357" s="22"/>
      <c r="KSU357" s="22"/>
      <c r="KSV357" s="22"/>
      <c r="KSW357" s="22"/>
      <c r="KSX357" s="22"/>
      <c r="KSY357" s="22"/>
      <c r="KSZ357" s="22"/>
      <c r="KTA357" s="22"/>
      <c r="KTB357" s="22"/>
      <c r="KTC357" s="22"/>
      <c r="KTD357" s="22"/>
      <c r="KTE357" s="22"/>
      <c r="KTF357" s="22"/>
      <c r="KTG357" s="22"/>
      <c r="KTH357" s="22"/>
      <c r="KTI357" s="22"/>
      <c r="KTJ357" s="22"/>
      <c r="KTK357" s="22"/>
      <c r="KTL357" s="22"/>
      <c r="KTM357" s="22"/>
      <c r="KTN357" s="22"/>
      <c r="KTO357" s="22"/>
      <c r="KTP357" s="22"/>
      <c r="KTQ357" s="22"/>
      <c r="KTR357" s="22"/>
      <c r="KTS357" s="22"/>
      <c r="KTT357" s="22"/>
      <c r="KTU357" s="22"/>
      <c r="KTV357" s="22"/>
      <c r="KTW357" s="22"/>
      <c r="KTX357" s="22"/>
      <c r="KTY357" s="22"/>
      <c r="KTZ357" s="22"/>
      <c r="KUA357" s="22"/>
      <c r="KUB357" s="22"/>
      <c r="KUC357" s="22"/>
      <c r="KUD357" s="22"/>
      <c r="KUE357" s="22"/>
      <c r="KUF357" s="22"/>
      <c r="KUG357" s="22"/>
      <c r="KUH357" s="22"/>
      <c r="KUI357" s="22"/>
      <c r="KUJ357" s="22"/>
      <c r="KUK357" s="22"/>
      <c r="KUL357" s="22"/>
      <c r="KUM357" s="22"/>
      <c r="KUN357" s="22"/>
      <c r="KUO357" s="22"/>
      <c r="KUP357" s="22"/>
      <c r="KUQ357" s="22"/>
      <c r="KUR357" s="22"/>
      <c r="KUS357" s="22"/>
      <c r="KUT357" s="22"/>
      <c r="KUU357" s="22"/>
      <c r="KUV357" s="22"/>
      <c r="KUW357" s="22"/>
      <c r="KUX357" s="22"/>
      <c r="KUY357" s="22"/>
      <c r="KUZ357" s="22"/>
      <c r="KVA357" s="22"/>
      <c r="KVB357" s="22"/>
      <c r="KVC357" s="22"/>
      <c r="KVD357" s="22"/>
      <c r="KVE357" s="22"/>
      <c r="KVF357" s="22"/>
      <c r="KVG357" s="22"/>
      <c r="KVH357" s="22"/>
      <c r="KVI357" s="22"/>
      <c r="KVJ357" s="22"/>
      <c r="KVK357" s="22"/>
      <c r="KVL357" s="22"/>
      <c r="KVM357" s="22"/>
      <c r="KVN357" s="22"/>
      <c r="KVO357" s="22"/>
      <c r="KVP357" s="22"/>
      <c r="KVQ357" s="22"/>
      <c r="KVR357" s="22"/>
      <c r="KVS357" s="22"/>
      <c r="KVT357" s="22"/>
      <c r="KVU357" s="22"/>
      <c r="KVV357" s="22"/>
      <c r="KVW357" s="22"/>
      <c r="KVX357" s="22"/>
      <c r="KVY357" s="22"/>
      <c r="KVZ357" s="22"/>
      <c r="KWA357" s="22"/>
      <c r="KWB357" s="22"/>
      <c r="KWC357" s="22"/>
      <c r="KWD357" s="22"/>
      <c r="KWE357" s="22"/>
      <c r="KWF357" s="22"/>
      <c r="KWG357" s="22"/>
      <c r="KWH357" s="22"/>
      <c r="KWI357" s="22"/>
      <c r="KWJ357" s="22"/>
      <c r="KWK357" s="22"/>
      <c r="KWL357" s="22"/>
      <c r="KWM357" s="22"/>
      <c r="KWN357" s="22"/>
      <c r="KWO357" s="22"/>
      <c r="KWP357" s="22"/>
      <c r="KWQ357" s="22"/>
      <c r="KWR357" s="22"/>
      <c r="KWS357" s="22"/>
      <c r="KWT357" s="22"/>
      <c r="KWU357" s="22"/>
      <c r="KWV357" s="22"/>
      <c r="KWW357" s="22"/>
      <c r="KWX357" s="22"/>
      <c r="KWY357" s="22"/>
      <c r="KWZ357" s="22"/>
      <c r="KXA357" s="22"/>
      <c r="KXB357" s="22"/>
      <c r="KXC357" s="22"/>
      <c r="KXD357" s="22"/>
      <c r="KXE357" s="22"/>
      <c r="KXF357" s="22"/>
      <c r="KXG357" s="22"/>
      <c r="KXH357" s="22"/>
      <c r="KXI357" s="22"/>
      <c r="KXJ357" s="22"/>
      <c r="KXK357" s="22"/>
      <c r="KXL357" s="22"/>
      <c r="KXM357" s="22"/>
      <c r="KXN357" s="22"/>
      <c r="KXO357" s="22"/>
      <c r="KXP357" s="22"/>
      <c r="KXQ357" s="22"/>
      <c r="KXR357" s="22"/>
      <c r="KXS357" s="22"/>
      <c r="KXT357" s="22"/>
      <c r="KXU357" s="22"/>
      <c r="KXV357" s="22"/>
      <c r="KXW357" s="22"/>
      <c r="KXX357" s="22"/>
      <c r="KXY357" s="22"/>
      <c r="KXZ357" s="22"/>
      <c r="KYA357" s="22"/>
      <c r="KYB357" s="22"/>
      <c r="KYC357" s="22"/>
      <c r="KYD357" s="22"/>
      <c r="KYE357" s="22"/>
      <c r="KYF357" s="22"/>
      <c r="KYG357" s="22"/>
      <c r="KYH357" s="22"/>
      <c r="KYI357" s="22"/>
      <c r="KYJ357" s="22"/>
      <c r="KYK357" s="22"/>
      <c r="KYL357" s="22"/>
      <c r="KYM357" s="22"/>
      <c r="KYN357" s="22"/>
      <c r="KYO357" s="22"/>
      <c r="KYP357" s="22"/>
      <c r="KYQ357" s="22"/>
      <c r="KYR357" s="22"/>
      <c r="KYS357" s="22"/>
      <c r="KYT357" s="22"/>
      <c r="KYU357" s="22"/>
      <c r="KYV357" s="22"/>
      <c r="KYW357" s="22"/>
      <c r="KYX357" s="22"/>
      <c r="KYY357" s="22"/>
      <c r="KYZ357" s="22"/>
      <c r="KZA357" s="22"/>
      <c r="KZB357" s="22"/>
      <c r="KZC357" s="22"/>
      <c r="KZD357" s="22"/>
      <c r="KZE357" s="22"/>
      <c r="KZF357" s="22"/>
      <c r="KZG357" s="22"/>
      <c r="KZH357" s="22"/>
      <c r="KZI357" s="22"/>
      <c r="KZJ357" s="22"/>
      <c r="KZK357" s="22"/>
      <c r="KZL357" s="22"/>
      <c r="KZM357" s="22"/>
      <c r="KZN357" s="22"/>
      <c r="KZO357" s="22"/>
      <c r="KZP357" s="22"/>
      <c r="KZQ357" s="22"/>
      <c r="KZR357" s="22"/>
      <c r="KZS357" s="22"/>
      <c r="KZT357" s="22"/>
      <c r="KZU357" s="22"/>
      <c r="KZV357" s="22"/>
      <c r="KZW357" s="22"/>
      <c r="KZX357" s="22"/>
      <c r="KZY357" s="22"/>
      <c r="KZZ357" s="22"/>
      <c r="LAA357" s="22"/>
      <c r="LAB357" s="22"/>
      <c r="LAC357" s="22"/>
      <c r="LAD357" s="22"/>
      <c r="LAE357" s="22"/>
      <c r="LAF357" s="22"/>
      <c r="LAG357" s="22"/>
      <c r="LAH357" s="22"/>
      <c r="LAI357" s="22"/>
      <c r="LAJ357" s="22"/>
      <c r="LAK357" s="22"/>
      <c r="LAL357" s="22"/>
      <c r="LAM357" s="22"/>
      <c r="LAN357" s="22"/>
      <c r="LAO357" s="22"/>
      <c r="LAP357" s="22"/>
      <c r="LAQ357" s="22"/>
      <c r="LAR357" s="22"/>
      <c r="LAS357" s="22"/>
      <c r="LAT357" s="22"/>
      <c r="LAU357" s="22"/>
      <c r="LAV357" s="22"/>
      <c r="LAW357" s="22"/>
      <c r="LAX357" s="22"/>
      <c r="LAY357" s="22"/>
      <c r="LAZ357" s="22"/>
      <c r="LBA357" s="22"/>
      <c r="LBB357" s="22"/>
      <c r="LBC357" s="22"/>
      <c r="LBD357" s="22"/>
      <c r="LBE357" s="22"/>
      <c r="LBF357" s="22"/>
      <c r="LBG357" s="22"/>
      <c r="LBH357" s="22"/>
      <c r="LBI357" s="22"/>
      <c r="LBJ357" s="22"/>
      <c r="LBK357" s="22"/>
      <c r="LBL357" s="22"/>
      <c r="LBM357" s="22"/>
      <c r="LBN357" s="22"/>
      <c r="LBO357" s="22"/>
      <c r="LBP357" s="22"/>
      <c r="LBQ357" s="22"/>
      <c r="LBR357" s="22"/>
      <c r="LBS357" s="22"/>
      <c r="LBT357" s="22"/>
      <c r="LBU357" s="22"/>
      <c r="LBV357" s="22"/>
      <c r="LBW357" s="22"/>
      <c r="LBX357" s="22"/>
      <c r="LBY357" s="22"/>
      <c r="LBZ357" s="22"/>
      <c r="LCA357" s="22"/>
      <c r="LCB357" s="22"/>
      <c r="LCC357" s="22"/>
      <c r="LCD357" s="22"/>
      <c r="LCE357" s="22"/>
      <c r="LCF357" s="22"/>
      <c r="LCG357" s="22"/>
      <c r="LCH357" s="22"/>
      <c r="LCI357" s="22"/>
      <c r="LCJ357" s="22"/>
      <c r="LCK357" s="22"/>
      <c r="LCL357" s="22"/>
      <c r="LCM357" s="22"/>
      <c r="LCN357" s="22"/>
      <c r="LCO357" s="22"/>
      <c r="LCP357" s="22"/>
      <c r="LCQ357" s="22"/>
      <c r="LCR357" s="22"/>
      <c r="LCS357" s="22"/>
      <c r="LCT357" s="22"/>
      <c r="LCU357" s="22"/>
      <c r="LCV357" s="22"/>
      <c r="LCW357" s="22"/>
      <c r="LCX357" s="22"/>
      <c r="LCY357" s="22"/>
      <c r="LCZ357" s="22"/>
      <c r="LDA357" s="22"/>
      <c r="LDB357" s="22"/>
      <c r="LDC357" s="22"/>
      <c r="LDD357" s="22"/>
      <c r="LDE357" s="22"/>
      <c r="LDF357" s="22"/>
      <c r="LDG357" s="22"/>
      <c r="LDH357" s="22"/>
      <c r="LDI357" s="22"/>
      <c r="LDJ357" s="22"/>
      <c r="LDK357" s="22"/>
      <c r="LDL357" s="22"/>
      <c r="LDM357" s="22"/>
      <c r="LDN357" s="22"/>
      <c r="LDO357" s="22"/>
      <c r="LDP357" s="22"/>
      <c r="LDQ357" s="22"/>
      <c r="LDR357" s="22"/>
      <c r="LDS357" s="22"/>
      <c r="LDT357" s="22"/>
      <c r="LDU357" s="22"/>
      <c r="LDV357" s="22"/>
      <c r="LDW357" s="22"/>
      <c r="LDX357" s="22"/>
      <c r="LDY357" s="22"/>
      <c r="LDZ357" s="22"/>
      <c r="LEA357" s="22"/>
      <c r="LEB357" s="22"/>
      <c r="LEC357" s="22"/>
      <c r="LED357" s="22"/>
      <c r="LEE357" s="22"/>
      <c r="LEF357" s="22"/>
      <c r="LEG357" s="22"/>
      <c r="LEH357" s="22"/>
      <c r="LEI357" s="22"/>
      <c r="LEJ357" s="22"/>
      <c r="LEK357" s="22"/>
      <c r="LEL357" s="22"/>
      <c r="LEM357" s="22"/>
      <c r="LEN357" s="22"/>
      <c r="LEO357" s="22"/>
      <c r="LEP357" s="22"/>
      <c r="LEQ357" s="22"/>
      <c r="LER357" s="22"/>
      <c r="LES357" s="22"/>
      <c r="LET357" s="22"/>
      <c r="LEU357" s="22"/>
      <c r="LEV357" s="22"/>
      <c r="LEW357" s="22"/>
      <c r="LEX357" s="22"/>
      <c r="LEY357" s="22"/>
      <c r="LEZ357" s="22"/>
      <c r="LFA357" s="22"/>
      <c r="LFB357" s="22"/>
      <c r="LFC357" s="22"/>
      <c r="LFD357" s="22"/>
      <c r="LFE357" s="22"/>
      <c r="LFF357" s="22"/>
      <c r="LFG357" s="22"/>
      <c r="LFH357" s="22"/>
      <c r="LFI357" s="22"/>
      <c r="LFJ357" s="22"/>
      <c r="LFK357" s="22"/>
      <c r="LFL357" s="22"/>
      <c r="LFM357" s="22"/>
      <c r="LFN357" s="22"/>
      <c r="LFO357" s="22"/>
      <c r="LFP357" s="22"/>
      <c r="LFQ357" s="22"/>
      <c r="LFR357" s="22"/>
      <c r="LFS357" s="22"/>
      <c r="LFT357" s="22"/>
      <c r="LFU357" s="22"/>
      <c r="LFV357" s="22"/>
      <c r="LFW357" s="22"/>
      <c r="LFX357" s="22"/>
      <c r="LFY357" s="22"/>
      <c r="LFZ357" s="22"/>
      <c r="LGA357" s="22"/>
      <c r="LGB357" s="22"/>
      <c r="LGC357" s="22"/>
      <c r="LGD357" s="22"/>
      <c r="LGE357" s="22"/>
      <c r="LGF357" s="22"/>
      <c r="LGG357" s="22"/>
      <c r="LGH357" s="22"/>
      <c r="LGI357" s="22"/>
      <c r="LGJ357" s="22"/>
      <c r="LGK357" s="22"/>
      <c r="LGL357" s="22"/>
      <c r="LGM357" s="22"/>
      <c r="LGN357" s="22"/>
      <c r="LGO357" s="22"/>
      <c r="LGP357" s="22"/>
      <c r="LGQ357" s="22"/>
      <c r="LGR357" s="22"/>
      <c r="LGS357" s="22"/>
      <c r="LGT357" s="22"/>
      <c r="LGU357" s="22"/>
      <c r="LGV357" s="22"/>
      <c r="LGW357" s="22"/>
      <c r="LGX357" s="22"/>
      <c r="LGY357" s="22"/>
      <c r="LGZ357" s="22"/>
      <c r="LHA357" s="22"/>
      <c r="LHB357" s="22"/>
      <c r="LHC357" s="22"/>
      <c r="LHD357" s="22"/>
      <c r="LHE357" s="22"/>
      <c r="LHF357" s="22"/>
      <c r="LHG357" s="22"/>
      <c r="LHH357" s="22"/>
      <c r="LHI357" s="22"/>
      <c r="LHJ357" s="22"/>
      <c r="LHK357" s="22"/>
      <c r="LHL357" s="22"/>
      <c r="LHM357" s="22"/>
      <c r="LHN357" s="22"/>
      <c r="LHO357" s="22"/>
      <c r="LHP357" s="22"/>
      <c r="LHQ357" s="22"/>
      <c r="LHR357" s="22"/>
      <c r="LHS357" s="22"/>
      <c r="LHT357" s="22"/>
      <c r="LHU357" s="22"/>
      <c r="LHV357" s="22"/>
      <c r="LHW357" s="22"/>
      <c r="LHX357" s="22"/>
      <c r="LHY357" s="22"/>
      <c r="LHZ357" s="22"/>
      <c r="LIA357" s="22"/>
      <c r="LIB357" s="22"/>
      <c r="LIC357" s="22"/>
      <c r="LID357" s="22"/>
      <c r="LIE357" s="22"/>
      <c r="LIF357" s="22"/>
      <c r="LIG357" s="22"/>
      <c r="LIH357" s="22"/>
      <c r="LII357" s="22"/>
      <c r="LIJ357" s="22"/>
      <c r="LIK357" s="22"/>
      <c r="LIL357" s="22"/>
      <c r="LIM357" s="22"/>
      <c r="LIN357" s="22"/>
      <c r="LIO357" s="22"/>
      <c r="LIP357" s="22"/>
      <c r="LIQ357" s="22"/>
      <c r="LIR357" s="22"/>
      <c r="LIS357" s="22"/>
      <c r="LIT357" s="22"/>
      <c r="LIU357" s="22"/>
      <c r="LIV357" s="22"/>
      <c r="LIW357" s="22"/>
      <c r="LIX357" s="22"/>
      <c r="LIY357" s="22"/>
      <c r="LIZ357" s="22"/>
      <c r="LJA357" s="22"/>
      <c r="LJB357" s="22"/>
      <c r="LJC357" s="22"/>
      <c r="LJD357" s="22"/>
      <c r="LJE357" s="22"/>
      <c r="LJF357" s="22"/>
      <c r="LJG357" s="22"/>
      <c r="LJH357" s="22"/>
      <c r="LJI357" s="22"/>
      <c r="LJJ357" s="22"/>
      <c r="LJK357" s="22"/>
      <c r="LJL357" s="22"/>
      <c r="LJM357" s="22"/>
      <c r="LJN357" s="22"/>
      <c r="LJO357" s="22"/>
      <c r="LJP357" s="22"/>
      <c r="LJQ357" s="22"/>
      <c r="LJR357" s="22"/>
      <c r="LJS357" s="22"/>
      <c r="LJT357" s="22"/>
      <c r="LJU357" s="22"/>
      <c r="LJV357" s="22"/>
      <c r="LJW357" s="22"/>
      <c r="LJX357" s="22"/>
      <c r="LJY357" s="22"/>
      <c r="LJZ357" s="22"/>
      <c r="LKA357" s="22"/>
      <c r="LKB357" s="22"/>
      <c r="LKC357" s="22"/>
      <c r="LKD357" s="22"/>
      <c r="LKE357" s="22"/>
      <c r="LKF357" s="22"/>
      <c r="LKG357" s="22"/>
      <c r="LKH357" s="22"/>
      <c r="LKI357" s="22"/>
      <c r="LKJ357" s="22"/>
      <c r="LKK357" s="22"/>
      <c r="LKL357" s="22"/>
      <c r="LKM357" s="22"/>
      <c r="LKN357" s="22"/>
      <c r="LKO357" s="22"/>
      <c r="LKP357" s="22"/>
      <c r="LKQ357" s="22"/>
      <c r="LKR357" s="22"/>
      <c r="LKS357" s="22"/>
      <c r="LKT357" s="22"/>
      <c r="LKU357" s="22"/>
      <c r="LKV357" s="22"/>
      <c r="LKW357" s="22"/>
      <c r="LKX357" s="22"/>
      <c r="LKY357" s="22"/>
      <c r="LKZ357" s="22"/>
      <c r="LLA357" s="22"/>
      <c r="LLB357" s="22"/>
      <c r="LLC357" s="22"/>
      <c r="LLD357" s="22"/>
      <c r="LLE357" s="22"/>
      <c r="LLF357" s="22"/>
      <c r="LLG357" s="22"/>
      <c r="LLH357" s="22"/>
      <c r="LLI357" s="22"/>
      <c r="LLJ357" s="22"/>
      <c r="LLK357" s="22"/>
      <c r="LLL357" s="22"/>
      <c r="LLM357" s="22"/>
      <c r="LLN357" s="22"/>
      <c r="LLO357" s="22"/>
      <c r="LLP357" s="22"/>
      <c r="LLQ357" s="22"/>
      <c r="LLR357" s="22"/>
      <c r="LLS357" s="22"/>
      <c r="LLT357" s="22"/>
      <c r="LLU357" s="22"/>
      <c r="LLV357" s="22"/>
      <c r="LLW357" s="22"/>
      <c r="LLX357" s="22"/>
      <c r="LLY357" s="22"/>
      <c r="LLZ357" s="22"/>
      <c r="LMA357" s="22"/>
      <c r="LMB357" s="22"/>
      <c r="LMC357" s="22"/>
      <c r="LMD357" s="22"/>
      <c r="LME357" s="22"/>
      <c r="LMF357" s="22"/>
      <c r="LMG357" s="22"/>
      <c r="LMH357" s="22"/>
      <c r="LMI357" s="22"/>
      <c r="LMJ357" s="22"/>
      <c r="LMK357" s="22"/>
      <c r="LML357" s="22"/>
      <c r="LMM357" s="22"/>
      <c r="LMN357" s="22"/>
      <c r="LMO357" s="22"/>
      <c r="LMP357" s="22"/>
      <c r="LMQ357" s="22"/>
      <c r="LMR357" s="22"/>
      <c r="LMS357" s="22"/>
      <c r="LMT357" s="22"/>
      <c r="LMU357" s="22"/>
      <c r="LMV357" s="22"/>
      <c r="LMW357" s="22"/>
      <c r="LMX357" s="22"/>
      <c r="LMY357" s="22"/>
      <c r="LMZ357" s="22"/>
      <c r="LNA357" s="22"/>
      <c r="LNB357" s="22"/>
      <c r="LNC357" s="22"/>
      <c r="LND357" s="22"/>
      <c r="LNE357" s="22"/>
      <c r="LNF357" s="22"/>
      <c r="LNG357" s="22"/>
      <c r="LNH357" s="22"/>
      <c r="LNI357" s="22"/>
      <c r="LNJ357" s="22"/>
      <c r="LNK357" s="22"/>
      <c r="LNL357" s="22"/>
      <c r="LNM357" s="22"/>
      <c r="LNN357" s="22"/>
      <c r="LNO357" s="22"/>
      <c r="LNP357" s="22"/>
      <c r="LNQ357" s="22"/>
      <c r="LNR357" s="22"/>
      <c r="LNS357" s="22"/>
      <c r="LNT357" s="22"/>
      <c r="LNU357" s="22"/>
      <c r="LNV357" s="22"/>
      <c r="LNW357" s="22"/>
      <c r="LNX357" s="22"/>
      <c r="LNY357" s="22"/>
      <c r="LNZ357" s="22"/>
      <c r="LOA357" s="22"/>
      <c r="LOB357" s="22"/>
      <c r="LOC357" s="22"/>
      <c r="LOD357" s="22"/>
      <c r="LOE357" s="22"/>
      <c r="LOF357" s="22"/>
      <c r="LOG357" s="22"/>
      <c r="LOH357" s="22"/>
      <c r="LOI357" s="22"/>
      <c r="LOJ357" s="22"/>
      <c r="LOK357" s="22"/>
      <c r="LOL357" s="22"/>
      <c r="LOM357" s="22"/>
      <c r="LON357" s="22"/>
      <c r="LOO357" s="22"/>
      <c r="LOP357" s="22"/>
      <c r="LOQ357" s="22"/>
      <c r="LOR357" s="22"/>
      <c r="LOS357" s="22"/>
      <c r="LOT357" s="22"/>
      <c r="LOU357" s="22"/>
      <c r="LOV357" s="22"/>
      <c r="LOW357" s="22"/>
      <c r="LOX357" s="22"/>
      <c r="LOY357" s="22"/>
      <c r="LOZ357" s="22"/>
      <c r="LPA357" s="22"/>
      <c r="LPB357" s="22"/>
      <c r="LPC357" s="22"/>
      <c r="LPD357" s="22"/>
      <c r="LPE357" s="22"/>
      <c r="LPF357" s="22"/>
      <c r="LPG357" s="22"/>
      <c r="LPH357" s="22"/>
      <c r="LPI357" s="22"/>
      <c r="LPJ357" s="22"/>
      <c r="LPK357" s="22"/>
      <c r="LPL357" s="22"/>
      <c r="LPM357" s="22"/>
      <c r="LPN357" s="22"/>
      <c r="LPO357" s="22"/>
      <c r="LPP357" s="22"/>
      <c r="LPQ357" s="22"/>
      <c r="LPR357" s="22"/>
      <c r="LPS357" s="22"/>
      <c r="LPT357" s="22"/>
      <c r="LPU357" s="22"/>
      <c r="LPV357" s="22"/>
      <c r="LPW357" s="22"/>
      <c r="LPX357" s="22"/>
      <c r="LPY357" s="22"/>
      <c r="LPZ357" s="22"/>
      <c r="LQA357" s="22"/>
      <c r="LQB357" s="22"/>
      <c r="LQC357" s="22"/>
      <c r="LQD357" s="22"/>
      <c r="LQE357" s="22"/>
      <c r="LQF357" s="22"/>
      <c r="LQG357" s="22"/>
      <c r="LQH357" s="22"/>
      <c r="LQI357" s="22"/>
      <c r="LQJ357" s="22"/>
      <c r="LQK357" s="22"/>
      <c r="LQL357" s="22"/>
      <c r="LQM357" s="22"/>
      <c r="LQN357" s="22"/>
      <c r="LQO357" s="22"/>
      <c r="LQP357" s="22"/>
      <c r="LQQ357" s="22"/>
      <c r="LQR357" s="22"/>
      <c r="LQS357" s="22"/>
      <c r="LQT357" s="22"/>
      <c r="LQU357" s="22"/>
      <c r="LQV357" s="22"/>
      <c r="LQW357" s="22"/>
      <c r="LQX357" s="22"/>
      <c r="LQY357" s="22"/>
      <c r="LQZ357" s="22"/>
      <c r="LRA357" s="22"/>
      <c r="LRB357" s="22"/>
      <c r="LRC357" s="22"/>
      <c r="LRD357" s="22"/>
      <c r="LRE357" s="22"/>
      <c r="LRF357" s="22"/>
      <c r="LRG357" s="22"/>
      <c r="LRH357" s="22"/>
      <c r="LRI357" s="22"/>
      <c r="LRJ357" s="22"/>
      <c r="LRK357" s="22"/>
      <c r="LRL357" s="22"/>
      <c r="LRM357" s="22"/>
      <c r="LRN357" s="22"/>
      <c r="LRO357" s="22"/>
      <c r="LRP357" s="22"/>
      <c r="LRQ357" s="22"/>
      <c r="LRR357" s="22"/>
      <c r="LRS357" s="22"/>
      <c r="LRT357" s="22"/>
      <c r="LRU357" s="22"/>
      <c r="LRV357" s="22"/>
      <c r="LRW357" s="22"/>
      <c r="LRX357" s="22"/>
      <c r="LRY357" s="22"/>
      <c r="LRZ357" s="22"/>
      <c r="LSA357" s="22"/>
      <c r="LSB357" s="22"/>
      <c r="LSC357" s="22"/>
      <c r="LSD357" s="22"/>
      <c r="LSE357" s="22"/>
      <c r="LSF357" s="22"/>
      <c r="LSG357" s="22"/>
      <c r="LSH357" s="22"/>
      <c r="LSI357" s="22"/>
      <c r="LSJ357" s="22"/>
      <c r="LSK357" s="22"/>
      <c r="LSL357" s="22"/>
      <c r="LSM357" s="22"/>
      <c r="LSN357" s="22"/>
      <c r="LSO357" s="22"/>
      <c r="LSP357" s="22"/>
      <c r="LSQ357" s="22"/>
      <c r="LSR357" s="22"/>
      <c r="LSS357" s="22"/>
      <c r="LST357" s="22"/>
      <c r="LSU357" s="22"/>
      <c r="LSV357" s="22"/>
      <c r="LSW357" s="22"/>
      <c r="LSX357" s="22"/>
      <c r="LSY357" s="22"/>
      <c r="LSZ357" s="22"/>
      <c r="LTA357" s="22"/>
      <c r="LTB357" s="22"/>
      <c r="LTC357" s="22"/>
      <c r="LTD357" s="22"/>
      <c r="LTE357" s="22"/>
      <c r="LTF357" s="22"/>
      <c r="LTG357" s="22"/>
      <c r="LTH357" s="22"/>
      <c r="LTI357" s="22"/>
      <c r="LTJ357" s="22"/>
      <c r="LTK357" s="22"/>
      <c r="LTL357" s="22"/>
      <c r="LTM357" s="22"/>
      <c r="LTN357" s="22"/>
      <c r="LTO357" s="22"/>
      <c r="LTP357" s="22"/>
      <c r="LTQ357" s="22"/>
      <c r="LTR357" s="22"/>
      <c r="LTS357" s="22"/>
      <c r="LTT357" s="22"/>
      <c r="LTU357" s="22"/>
      <c r="LTV357" s="22"/>
      <c r="LTW357" s="22"/>
      <c r="LTX357" s="22"/>
      <c r="LTY357" s="22"/>
      <c r="LTZ357" s="22"/>
      <c r="LUA357" s="22"/>
      <c r="LUB357" s="22"/>
      <c r="LUC357" s="22"/>
      <c r="LUD357" s="22"/>
      <c r="LUE357" s="22"/>
      <c r="LUF357" s="22"/>
      <c r="LUG357" s="22"/>
      <c r="LUH357" s="22"/>
      <c r="LUI357" s="22"/>
      <c r="LUJ357" s="22"/>
      <c r="LUK357" s="22"/>
      <c r="LUL357" s="22"/>
      <c r="LUM357" s="22"/>
      <c r="LUN357" s="22"/>
      <c r="LUO357" s="22"/>
      <c r="LUP357" s="22"/>
      <c r="LUQ357" s="22"/>
      <c r="LUR357" s="22"/>
      <c r="LUS357" s="22"/>
      <c r="LUT357" s="22"/>
      <c r="LUU357" s="22"/>
      <c r="LUV357" s="22"/>
      <c r="LUW357" s="22"/>
      <c r="LUX357" s="22"/>
      <c r="LUY357" s="22"/>
      <c r="LUZ357" s="22"/>
      <c r="LVA357" s="22"/>
      <c r="LVB357" s="22"/>
      <c r="LVC357" s="22"/>
      <c r="LVD357" s="22"/>
      <c r="LVE357" s="22"/>
      <c r="LVF357" s="22"/>
      <c r="LVG357" s="22"/>
      <c r="LVH357" s="22"/>
      <c r="LVI357" s="22"/>
      <c r="LVJ357" s="22"/>
      <c r="LVK357" s="22"/>
      <c r="LVL357" s="22"/>
      <c r="LVM357" s="22"/>
      <c r="LVN357" s="22"/>
      <c r="LVO357" s="22"/>
      <c r="LVP357" s="22"/>
      <c r="LVQ357" s="22"/>
      <c r="LVR357" s="22"/>
      <c r="LVS357" s="22"/>
      <c r="LVT357" s="22"/>
      <c r="LVU357" s="22"/>
      <c r="LVV357" s="22"/>
      <c r="LVW357" s="22"/>
      <c r="LVX357" s="22"/>
      <c r="LVY357" s="22"/>
      <c r="LVZ357" s="22"/>
      <c r="LWA357" s="22"/>
      <c r="LWB357" s="22"/>
      <c r="LWC357" s="22"/>
      <c r="LWD357" s="22"/>
      <c r="LWE357" s="22"/>
      <c r="LWF357" s="22"/>
      <c r="LWG357" s="22"/>
      <c r="LWH357" s="22"/>
      <c r="LWI357" s="22"/>
      <c r="LWJ357" s="22"/>
      <c r="LWK357" s="22"/>
      <c r="LWL357" s="22"/>
      <c r="LWM357" s="22"/>
      <c r="LWN357" s="22"/>
      <c r="LWO357" s="22"/>
      <c r="LWP357" s="22"/>
      <c r="LWQ357" s="22"/>
      <c r="LWR357" s="22"/>
      <c r="LWS357" s="22"/>
      <c r="LWT357" s="22"/>
      <c r="LWU357" s="22"/>
      <c r="LWV357" s="22"/>
      <c r="LWW357" s="22"/>
      <c r="LWX357" s="22"/>
      <c r="LWY357" s="22"/>
      <c r="LWZ357" s="22"/>
      <c r="LXA357" s="22"/>
      <c r="LXB357" s="22"/>
      <c r="LXC357" s="22"/>
      <c r="LXD357" s="22"/>
      <c r="LXE357" s="22"/>
      <c r="LXF357" s="22"/>
      <c r="LXG357" s="22"/>
      <c r="LXH357" s="22"/>
      <c r="LXI357" s="22"/>
      <c r="LXJ357" s="22"/>
      <c r="LXK357" s="22"/>
      <c r="LXL357" s="22"/>
      <c r="LXM357" s="22"/>
      <c r="LXN357" s="22"/>
      <c r="LXO357" s="22"/>
      <c r="LXP357" s="22"/>
      <c r="LXQ357" s="22"/>
      <c r="LXR357" s="22"/>
      <c r="LXS357" s="22"/>
      <c r="LXT357" s="22"/>
      <c r="LXU357" s="22"/>
      <c r="LXV357" s="22"/>
      <c r="LXW357" s="22"/>
      <c r="LXX357" s="22"/>
      <c r="LXY357" s="22"/>
      <c r="LXZ357" s="22"/>
      <c r="LYA357" s="22"/>
      <c r="LYB357" s="22"/>
      <c r="LYC357" s="22"/>
      <c r="LYD357" s="22"/>
      <c r="LYE357" s="22"/>
      <c r="LYF357" s="22"/>
      <c r="LYG357" s="22"/>
      <c r="LYH357" s="22"/>
      <c r="LYI357" s="22"/>
      <c r="LYJ357" s="22"/>
      <c r="LYK357" s="22"/>
      <c r="LYL357" s="22"/>
      <c r="LYM357" s="22"/>
      <c r="LYN357" s="22"/>
      <c r="LYO357" s="22"/>
      <c r="LYP357" s="22"/>
      <c r="LYQ357" s="22"/>
      <c r="LYR357" s="22"/>
      <c r="LYS357" s="22"/>
      <c r="LYT357" s="22"/>
      <c r="LYU357" s="22"/>
      <c r="LYV357" s="22"/>
      <c r="LYW357" s="22"/>
      <c r="LYX357" s="22"/>
      <c r="LYY357" s="22"/>
      <c r="LYZ357" s="22"/>
      <c r="LZA357" s="22"/>
      <c r="LZB357" s="22"/>
      <c r="LZC357" s="22"/>
      <c r="LZD357" s="22"/>
      <c r="LZE357" s="22"/>
      <c r="LZF357" s="22"/>
      <c r="LZG357" s="22"/>
      <c r="LZH357" s="22"/>
      <c r="LZI357" s="22"/>
      <c r="LZJ357" s="22"/>
      <c r="LZK357" s="22"/>
      <c r="LZL357" s="22"/>
      <c r="LZM357" s="22"/>
      <c r="LZN357" s="22"/>
      <c r="LZO357" s="22"/>
      <c r="LZP357" s="22"/>
      <c r="LZQ357" s="22"/>
      <c r="LZR357" s="22"/>
      <c r="LZS357" s="22"/>
      <c r="LZT357" s="22"/>
      <c r="LZU357" s="22"/>
      <c r="LZV357" s="22"/>
      <c r="LZW357" s="22"/>
      <c r="LZX357" s="22"/>
      <c r="LZY357" s="22"/>
      <c r="LZZ357" s="22"/>
      <c r="MAA357" s="22"/>
      <c r="MAB357" s="22"/>
      <c r="MAC357" s="22"/>
      <c r="MAD357" s="22"/>
      <c r="MAE357" s="22"/>
      <c r="MAF357" s="22"/>
      <c r="MAG357" s="22"/>
      <c r="MAH357" s="22"/>
      <c r="MAI357" s="22"/>
      <c r="MAJ357" s="22"/>
      <c r="MAK357" s="22"/>
      <c r="MAL357" s="22"/>
      <c r="MAM357" s="22"/>
      <c r="MAN357" s="22"/>
      <c r="MAO357" s="22"/>
      <c r="MAP357" s="22"/>
      <c r="MAQ357" s="22"/>
      <c r="MAR357" s="22"/>
      <c r="MAS357" s="22"/>
      <c r="MAT357" s="22"/>
      <c r="MAU357" s="22"/>
      <c r="MAV357" s="22"/>
      <c r="MAW357" s="22"/>
      <c r="MAX357" s="22"/>
      <c r="MAY357" s="22"/>
      <c r="MAZ357" s="22"/>
      <c r="MBA357" s="22"/>
      <c r="MBB357" s="22"/>
      <c r="MBC357" s="22"/>
      <c r="MBD357" s="22"/>
      <c r="MBE357" s="22"/>
      <c r="MBF357" s="22"/>
      <c r="MBG357" s="22"/>
      <c r="MBH357" s="22"/>
      <c r="MBI357" s="22"/>
      <c r="MBJ357" s="22"/>
      <c r="MBK357" s="22"/>
      <c r="MBL357" s="22"/>
      <c r="MBM357" s="22"/>
      <c r="MBN357" s="22"/>
      <c r="MBO357" s="22"/>
      <c r="MBP357" s="22"/>
      <c r="MBQ357" s="22"/>
      <c r="MBR357" s="22"/>
      <c r="MBS357" s="22"/>
      <c r="MBT357" s="22"/>
      <c r="MBU357" s="22"/>
      <c r="MBV357" s="22"/>
      <c r="MBW357" s="22"/>
      <c r="MBX357" s="22"/>
      <c r="MBY357" s="22"/>
      <c r="MBZ357" s="22"/>
      <c r="MCA357" s="22"/>
      <c r="MCB357" s="22"/>
      <c r="MCC357" s="22"/>
      <c r="MCD357" s="22"/>
      <c r="MCE357" s="22"/>
      <c r="MCF357" s="22"/>
      <c r="MCG357" s="22"/>
      <c r="MCH357" s="22"/>
      <c r="MCI357" s="22"/>
      <c r="MCJ357" s="22"/>
      <c r="MCK357" s="22"/>
      <c r="MCL357" s="22"/>
      <c r="MCM357" s="22"/>
      <c r="MCN357" s="22"/>
      <c r="MCO357" s="22"/>
      <c r="MCP357" s="22"/>
      <c r="MCQ357" s="22"/>
      <c r="MCR357" s="22"/>
      <c r="MCS357" s="22"/>
      <c r="MCT357" s="22"/>
      <c r="MCU357" s="22"/>
      <c r="MCV357" s="22"/>
      <c r="MCW357" s="22"/>
      <c r="MCX357" s="22"/>
      <c r="MCY357" s="22"/>
      <c r="MCZ357" s="22"/>
      <c r="MDA357" s="22"/>
      <c r="MDB357" s="22"/>
      <c r="MDC357" s="22"/>
      <c r="MDD357" s="22"/>
      <c r="MDE357" s="22"/>
      <c r="MDF357" s="22"/>
      <c r="MDG357" s="22"/>
      <c r="MDH357" s="22"/>
      <c r="MDI357" s="22"/>
      <c r="MDJ357" s="22"/>
      <c r="MDK357" s="22"/>
      <c r="MDL357" s="22"/>
      <c r="MDM357" s="22"/>
      <c r="MDN357" s="22"/>
      <c r="MDO357" s="22"/>
      <c r="MDP357" s="22"/>
      <c r="MDQ357" s="22"/>
      <c r="MDR357" s="22"/>
      <c r="MDS357" s="22"/>
      <c r="MDT357" s="22"/>
      <c r="MDU357" s="22"/>
      <c r="MDV357" s="22"/>
      <c r="MDW357" s="22"/>
      <c r="MDX357" s="22"/>
      <c r="MDY357" s="22"/>
      <c r="MDZ357" s="22"/>
      <c r="MEA357" s="22"/>
      <c r="MEB357" s="22"/>
      <c r="MEC357" s="22"/>
      <c r="MED357" s="22"/>
      <c r="MEE357" s="22"/>
      <c r="MEF357" s="22"/>
      <c r="MEG357" s="22"/>
      <c r="MEH357" s="22"/>
      <c r="MEI357" s="22"/>
      <c r="MEJ357" s="22"/>
      <c r="MEK357" s="22"/>
      <c r="MEL357" s="22"/>
      <c r="MEM357" s="22"/>
      <c r="MEN357" s="22"/>
      <c r="MEO357" s="22"/>
      <c r="MEP357" s="22"/>
      <c r="MEQ357" s="22"/>
      <c r="MER357" s="22"/>
      <c r="MES357" s="22"/>
      <c r="MET357" s="22"/>
      <c r="MEU357" s="22"/>
      <c r="MEV357" s="22"/>
      <c r="MEW357" s="22"/>
      <c r="MEX357" s="22"/>
      <c r="MEY357" s="22"/>
      <c r="MEZ357" s="22"/>
      <c r="MFA357" s="22"/>
      <c r="MFB357" s="22"/>
      <c r="MFC357" s="22"/>
      <c r="MFD357" s="22"/>
      <c r="MFE357" s="22"/>
      <c r="MFF357" s="22"/>
      <c r="MFG357" s="22"/>
      <c r="MFH357" s="22"/>
      <c r="MFI357" s="22"/>
      <c r="MFJ357" s="22"/>
      <c r="MFK357" s="22"/>
      <c r="MFL357" s="22"/>
      <c r="MFM357" s="22"/>
      <c r="MFN357" s="22"/>
      <c r="MFO357" s="22"/>
      <c r="MFP357" s="22"/>
      <c r="MFQ357" s="22"/>
      <c r="MFR357" s="22"/>
      <c r="MFS357" s="22"/>
      <c r="MFT357" s="22"/>
      <c r="MFU357" s="22"/>
      <c r="MFV357" s="22"/>
      <c r="MFW357" s="22"/>
      <c r="MFX357" s="22"/>
      <c r="MFY357" s="22"/>
      <c r="MFZ357" s="22"/>
      <c r="MGA357" s="22"/>
      <c r="MGB357" s="22"/>
      <c r="MGC357" s="22"/>
      <c r="MGD357" s="22"/>
      <c r="MGE357" s="22"/>
      <c r="MGF357" s="22"/>
      <c r="MGG357" s="22"/>
      <c r="MGH357" s="22"/>
      <c r="MGI357" s="22"/>
      <c r="MGJ357" s="22"/>
      <c r="MGK357" s="22"/>
      <c r="MGL357" s="22"/>
      <c r="MGM357" s="22"/>
      <c r="MGN357" s="22"/>
      <c r="MGO357" s="22"/>
      <c r="MGP357" s="22"/>
      <c r="MGQ357" s="22"/>
      <c r="MGR357" s="22"/>
      <c r="MGS357" s="22"/>
      <c r="MGT357" s="22"/>
      <c r="MGU357" s="22"/>
      <c r="MGV357" s="22"/>
      <c r="MGW357" s="22"/>
      <c r="MGX357" s="22"/>
      <c r="MGY357" s="22"/>
      <c r="MGZ357" s="22"/>
      <c r="MHA357" s="22"/>
      <c r="MHB357" s="22"/>
      <c r="MHC357" s="22"/>
      <c r="MHD357" s="22"/>
      <c r="MHE357" s="22"/>
      <c r="MHF357" s="22"/>
      <c r="MHG357" s="22"/>
      <c r="MHH357" s="22"/>
      <c r="MHI357" s="22"/>
      <c r="MHJ357" s="22"/>
      <c r="MHK357" s="22"/>
      <c r="MHL357" s="22"/>
      <c r="MHM357" s="22"/>
      <c r="MHN357" s="22"/>
      <c r="MHO357" s="22"/>
      <c r="MHP357" s="22"/>
      <c r="MHQ357" s="22"/>
      <c r="MHR357" s="22"/>
      <c r="MHS357" s="22"/>
      <c r="MHT357" s="22"/>
      <c r="MHU357" s="22"/>
      <c r="MHV357" s="22"/>
      <c r="MHW357" s="22"/>
      <c r="MHX357" s="22"/>
      <c r="MHY357" s="22"/>
      <c r="MHZ357" s="22"/>
      <c r="MIA357" s="22"/>
      <c r="MIB357" s="22"/>
      <c r="MIC357" s="22"/>
      <c r="MID357" s="22"/>
      <c r="MIE357" s="22"/>
      <c r="MIF357" s="22"/>
      <c r="MIG357" s="22"/>
      <c r="MIH357" s="22"/>
      <c r="MII357" s="22"/>
      <c r="MIJ357" s="22"/>
      <c r="MIK357" s="22"/>
      <c r="MIL357" s="22"/>
      <c r="MIM357" s="22"/>
      <c r="MIN357" s="22"/>
      <c r="MIO357" s="22"/>
      <c r="MIP357" s="22"/>
      <c r="MIQ357" s="22"/>
      <c r="MIR357" s="22"/>
      <c r="MIS357" s="22"/>
      <c r="MIT357" s="22"/>
      <c r="MIU357" s="22"/>
      <c r="MIV357" s="22"/>
      <c r="MIW357" s="22"/>
      <c r="MIX357" s="22"/>
      <c r="MIY357" s="22"/>
      <c r="MIZ357" s="22"/>
      <c r="MJA357" s="22"/>
      <c r="MJB357" s="22"/>
      <c r="MJC357" s="22"/>
      <c r="MJD357" s="22"/>
      <c r="MJE357" s="22"/>
      <c r="MJF357" s="22"/>
      <c r="MJG357" s="22"/>
      <c r="MJH357" s="22"/>
      <c r="MJI357" s="22"/>
      <c r="MJJ357" s="22"/>
      <c r="MJK357" s="22"/>
      <c r="MJL357" s="22"/>
      <c r="MJM357" s="22"/>
      <c r="MJN357" s="22"/>
      <c r="MJO357" s="22"/>
      <c r="MJP357" s="22"/>
      <c r="MJQ357" s="22"/>
      <c r="MJR357" s="22"/>
      <c r="MJS357" s="22"/>
      <c r="MJT357" s="22"/>
      <c r="MJU357" s="22"/>
      <c r="MJV357" s="22"/>
      <c r="MJW357" s="22"/>
      <c r="MJX357" s="22"/>
      <c r="MJY357" s="22"/>
      <c r="MJZ357" s="22"/>
      <c r="MKA357" s="22"/>
      <c r="MKB357" s="22"/>
      <c r="MKC357" s="22"/>
      <c r="MKD357" s="22"/>
      <c r="MKE357" s="22"/>
      <c r="MKF357" s="22"/>
      <c r="MKG357" s="22"/>
      <c r="MKH357" s="22"/>
      <c r="MKI357" s="22"/>
      <c r="MKJ357" s="22"/>
      <c r="MKK357" s="22"/>
      <c r="MKL357" s="22"/>
      <c r="MKM357" s="22"/>
      <c r="MKN357" s="22"/>
      <c r="MKO357" s="22"/>
      <c r="MKP357" s="22"/>
      <c r="MKQ357" s="22"/>
      <c r="MKR357" s="22"/>
      <c r="MKS357" s="22"/>
      <c r="MKT357" s="22"/>
      <c r="MKU357" s="22"/>
      <c r="MKV357" s="22"/>
      <c r="MKW357" s="22"/>
      <c r="MKX357" s="22"/>
      <c r="MKY357" s="22"/>
      <c r="MKZ357" s="22"/>
      <c r="MLA357" s="22"/>
      <c r="MLB357" s="22"/>
      <c r="MLC357" s="22"/>
      <c r="MLD357" s="22"/>
      <c r="MLE357" s="22"/>
      <c r="MLF357" s="22"/>
      <c r="MLG357" s="22"/>
      <c r="MLH357" s="22"/>
      <c r="MLI357" s="22"/>
      <c r="MLJ357" s="22"/>
      <c r="MLK357" s="22"/>
      <c r="MLL357" s="22"/>
      <c r="MLM357" s="22"/>
      <c r="MLN357" s="22"/>
      <c r="MLO357" s="22"/>
      <c r="MLP357" s="22"/>
      <c r="MLQ357" s="22"/>
      <c r="MLR357" s="22"/>
      <c r="MLS357" s="22"/>
      <c r="MLT357" s="22"/>
      <c r="MLU357" s="22"/>
      <c r="MLV357" s="22"/>
      <c r="MLW357" s="22"/>
      <c r="MLX357" s="22"/>
      <c r="MLY357" s="22"/>
      <c r="MLZ357" s="22"/>
      <c r="MMA357" s="22"/>
      <c r="MMB357" s="22"/>
      <c r="MMC357" s="22"/>
      <c r="MMD357" s="22"/>
      <c r="MME357" s="22"/>
      <c r="MMF357" s="22"/>
      <c r="MMG357" s="22"/>
      <c r="MMH357" s="22"/>
      <c r="MMI357" s="22"/>
      <c r="MMJ357" s="22"/>
      <c r="MMK357" s="22"/>
      <c r="MML357" s="22"/>
      <c r="MMM357" s="22"/>
      <c r="MMN357" s="22"/>
      <c r="MMO357" s="22"/>
      <c r="MMP357" s="22"/>
      <c r="MMQ357" s="22"/>
      <c r="MMR357" s="22"/>
      <c r="MMS357" s="22"/>
      <c r="MMT357" s="22"/>
      <c r="MMU357" s="22"/>
      <c r="MMV357" s="22"/>
      <c r="MMW357" s="22"/>
      <c r="MMX357" s="22"/>
      <c r="MMY357" s="22"/>
      <c r="MMZ357" s="22"/>
      <c r="MNA357" s="22"/>
      <c r="MNB357" s="22"/>
      <c r="MNC357" s="22"/>
      <c r="MND357" s="22"/>
      <c r="MNE357" s="22"/>
      <c r="MNF357" s="22"/>
      <c r="MNG357" s="22"/>
      <c r="MNH357" s="22"/>
      <c r="MNI357" s="22"/>
      <c r="MNJ357" s="22"/>
      <c r="MNK357" s="22"/>
      <c r="MNL357" s="22"/>
      <c r="MNM357" s="22"/>
      <c r="MNN357" s="22"/>
      <c r="MNO357" s="22"/>
      <c r="MNP357" s="22"/>
      <c r="MNQ357" s="22"/>
      <c r="MNR357" s="22"/>
      <c r="MNS357" s="22"/>
      <c r="MNT357" s="22"/>
      <c r="MNU357" s="22"/>
      <c r="MNV357" s="22"/>
      <c r="MNW357" s="22"/>
      <c r="MNX357" s="22"/>
      <c r="MNY357" s="22"/>
      <c r="MNZ357" s="22"/>
      <c r="MOA357" s="22"/>
      <c r="MOB357" s="22"/>
      <c r="MOC357" s="22"/>
      <c r="MOD357" s="22"/>
      <c r="MOE357" s="22"/>
      <c r="MOF357" s="22"/>
      <c r="MOG357" s="22"/>
      <c r="MOH357" s="22"/>
      <c r="MOI357" s="22"/>
      <c r="MOJ357" s="22"/>
      <c r="MOK357" s="22"/>
      <c r="MOL357" s="22"/>
      <c r="MOM357" s="22"/>
      <c r="MON357" s="22"/>
      <c r="MOO357" s="22"/>
      <c r="MOP357" s="22"/>
      <c r="MOQ357" s="22"/>
      <c r="MOR357" s="22"/>
      <c r="MOS357" s="22"/>
      <c r="MOT357" s="22"/>
      <c r="MOU357" s="22"/>
      <c r="MOV357" s="22"/>
      <c r="MOW357" s="22"/>
      <c r="MOX357" s="22"/>
      <c r="MOY357" s="22"/>
      <c r="MOZ357" s="22"/>
      <c r="MPA357" s="22"/>
      <c r="MPB357" s="22"/>
      <c r="MPC357" s="22"/>
      <c r="MPD357" s="22"/>
      <c r="MPE357" s="22"/>
      <c r="MPF357" s="22"/>
      <c r="MPG357" s="22"/>
      <c r="MPH357" s="22"/>
      <c r="MPI357" s="22"/>
      <c r="MPJ357" s="22"/>
      <c r="MPK357" s="22"/>
      <c r="MPL357" s="22"/>
      <c r="MPM357" s="22"/>
      <c r="MPN357" s="22"/>
      <c r="MPO357" s="22"/>
      <c r="MPP357" s="22"/>
      <c r="MPQ357" s="22"/>
      <c r="MPR357" s="22"/>
      <c r="MPS357" s="22"/>
      <c r="MPT357" s="22"/>
      <c r="MPU357" s="22"/>
      <c r="MPV357" s="22"/>
      <c r="MPW357" s="22"/>
      <c r="MPX357" s="22"/>
      <c r="MPY357" s="22"/>
      <c r="MPZ357" s="22"/>
      <c r="MQA357" s="22"/>
      <c r="MQB357" s="22"/>
      <c r="MQC357" s="22"/>
      <c r="MQD357" s="22"/>
      <c r="MQE357" s="22"/>
      <c r="MQF357" s="22"/>
      <c r="MQG357" s="22"/>
      <c r="MQH357" s="22"/>
      <c r="MQI357" s="22"/>
      <c r="MQJ357" s="22"/>
      <c r="MQK357" s="22"/>
      <c r="MQL357" s="22"/>
      <c r="MQM357" s="22"/>
      <c r="MQN357" s="22"/>
      <c r="MQO357" s="22"/>
      <c r="MQP357" s="22"/>
      <c r="MQQ357" s="22"/>
      <c r="MQR357" s="22"/>
      <c r="MQS357" s="22"/>
      <c r="MQT357" s="22"/>
      <c r="MQU357" s="22"/>
      <c r="MQV357" s="22"/>
      <c r="MQW357" s="22"/>
      <c r="MQX357" s="22"/>
      <c r="MQY357" s="22"/>
      <c r="MQZ357" s="22"/>
      <c r="MRA357" s="22"/>
      <c r="MRB357" s="22"/>
      <c r="MRC357" s="22"/>
      <c r="MRD357" s="22"/>
      <c r="MRE357" s="22"/>
      <c r="MRF357" s="22"/>
      <c r="MRG357" s="22"/>
      <c r="MRH357" s="22"/>
      <c r="MRI357" s="22"/>
      <c r="MRJ357" s="22"/>
      <c r="MRK357" s="22"/>
      <c r="MRL357" s="22"/>
      <c r="MRM357" s="22"/>
      <c r="MRN357" s="22"/>
      <c r="MRO357" s="22"/>
      <c r="MRP357" s="22"/>
      <c r="MRQ357" s="22"/>
      <c r="MRR357" s="22"/>
      <c r="MRS357" s="22"/>
      <c r="MRT357" s="22"/>
      <c r="MRU357" s="22"/>
      <c r="MRV357" s="22"/>
      <c r="MRW357" s="22"/>
      <c r="MRX357" s="22"/>
      <c r="MRY357" s="22"/>
      <c r="MRZ357" s="22"/>
      <c r="MSA357" s="22"/>
      <c r="MSB357" s="22"/>
      <c r="MSC357" s="22"/>
      <c r="MSD357" s="22"/>
      <c r="MSE357" s="22"/>
      <c r="MSF357" s="22"/>
      <c r="MSG357" s="22"/>
      <c r="MSH357" s="22"/>
      <c r="MSI357" s="22"/>
      <c r="MSJ357" s="22"/>
      <c r="MSK357" s="22"/>
      <c r="MSL357" s="22"/>
      <c r="MSM357" s="22"/>
      <c r="MSN357" s="22"/>
      <c r="MSO357" s="22"/>
      <c r="MSP357" s="22"/>
      <c r="MSQ357" s="22"/>
      <c r="MSR357" s="22"/>
      <c r="MSS357" s="22"/>
      <c r="MST357" s="22"/>
      <c r="MSU357" s="22"/>
      <c r="MSV357" s="22"/>
      <c r="MSW357" s="22"/>
      <c r="MSX357" s="22"/>
      <c r="MSY357" s="22"/>
      <c r="MSZ357" s="22"/>
      <c r="MTA357" s="22"/>
      <c r="MTB357" s="22"/>
      <c r="MTC357" s="22"/>
      <c r="MTD357" s="22"/>
      <c r="MTE357" s="22"/>
      <c r="MTF357" s="22"/>
      <c r="MTG357" s="22"/>
      <c r="MTH357" s="22"/>
      <c r="MTI357" s="22"/>
      <c r="MTJ357" s="22"/>
      <c r="MTK357" s="22"/>
      <c r="MTL357" s="22"/>
      <c r="MTM357" s="22"/>
      <c r="MTN357" s="22"/>
      <c r="MTO357" s="22"/>
      <c r="MTP357" s="22"/>
      <c r="MTQ357" s="22"/>
      <c r="MTR357" s="22"/>
      <c r="MTS357" s="22"/>
      <c r="MTT357" s="22"/>
      <c r="MTU357" s="22"/>
      <c r="MTV357" s="22"/>
      <c r="MTW357" s="22"/>
      <c r="MTX357" s="22"/>
      <c r="MTY357" s="22"/>
      <c r="MTZ357" s="22"/>
      <c r="MUA357" s="22"/>
      <c r="MUB357" s="22"/>
      <c r="MUC357" s="22"/>
      <c r="MUD357" s="22"/>
      <c r="MUE357" s="22"/>
      <c r="MUF357" s="22"/>
      <c r="MUG357" s="22"/>
      <c r="MUH357" s="22"/>
      <c r="MUI357" s="22"/>
      <c r="MUJ357" s="22"/>
      <c r="MUK357" s="22"/>
      <c r="MUL357" s="22"/>
      <c r="MUM357" s="22"/>
      <c r="MUN357" s="22"/>
      <c r="MUO357" s="22"/>
      <c r="MUP357" s="22"/>
      <c r="MUQ357" s="22"/>
      <c r="MUR357" s="22"/>
      <c r="MUS357" s="22"/>
      <c r="MUT357" s="22"/>
      <c r="MUU357" s="22"/>
      <c r="MUV357" s="22"/>
      <c r="MUW357" s="22"/>
      <c r="MUX357" s="22"/>
      <c r="MUY357" s="22"/>
      <c r="MUZ357" s="22"/>
      <c r="MVA357" s="22"/>
      <c r="MVB357" s="22"/>
      <c r="MVC357" s="22"/>
      <c r="MVD357" s="22"/>
      <c r="MVE357" s="22"/>
      <c r="MVF357" s="22"/>
      <c r="MVG357" s="22"/>
      <c r="MVH357" s="22"/>
      <c r="MVI357" s="22"/>
      <c r="MVJ357" s="22"/>
      <c r="MVK357" s="22"/>
      <c r="MVL357" s="22"/>
      <c r="MVM357" s="22"/>
      <c r="MVN357" s="22"/>
      <c r="MVO357" s="22"/>
      <c r="MVP357" s="22"/>
      <c r="MVQ357" s="22"/>
      <c r="MVR357" s="22"/>
      <c r="MVS357" s="22"/>
      <c r="MVT357" s="22"/>
      <c r="MVU357" s="22"/>
      <c r="MVV357" s="22"/>
      <c r="MVW357" s="22"/>
      <c r="MVX357" s="22"/>
      <c r="MVY357" s="22"/>
      <c r="MVZ357" s="22"/>
      <c r="MWA357" s="22"/>
      <c r="MWB357" s="22"/>
      <c r="MWC357" s="22"/>
      <c r="MWD357" s="22"/>
      <c r="MWE357" s="22"/>
      <c r="MWF357" s="22"/>
      <c r="MWG357" s="22"/>
      <c r="MWH357" s="22"/>
      <c r="MWI357" s="22"/>
      <c r="MWJ357" s="22"/>
      <c r="MWK357" s="22"/>
      <c r="MWL357" s="22"/>
      <c r="MWM357" s="22"/>
      <c r="MWN357" s="22"/>
      <c r="MWO357" s="22"/>
      <c r="MWP357" s="22"/>
      <c r="MWQ357" s="22"/>
      <c r="MWR357" s="22"/>
      <c r="MWS357" s="22"/>
      <c r="MWT357" s="22"/>
      <c r="MWU357" s="22"/>
      <c r="MWV357" s="22"/>
      <c r="MWW357" s="22"/>
      <c r="MWX357" s="22"/>
      <c r="MWY357" s="22"/>
      <c r="MWZ357" s="22"/>
      <c r="MXA357" s="22"/>
      <c r="MXB357" s="22"/>
      <c r="MXC357" s="22"/>
      <c r="MXD357" s="22"/>
      <c r="MXE357" s="22"/>
      <c r="MXF357" s="22"/>
      <c r="MXG357" s="22"/>
      <c r="MXH357" s="22"/>
      <c r="MXI357" s="22"/>
      <c r="MXJ357" s="22"/>
      <c r="MXK357" s="22"/>
      <c r="MXL357" s="22"/>
      <c r="MXM357" s="22"/>
      <c r="MXN357" s="22"/>
      <c r="MXO357" s="22"/>
      <c r="MXP357" s="22"/>
      <c r="MXQ357" s="22"/>
      <c r="MXR357" s="22"/>
      <c r="MXS357" s="22"/>
      <c r="MXT357" s="22"/>
      <c r="MXU357" s="22"/>
      <c r="MXV357" s="22"/>
      <c r="MXW357" s="22"/>
      <c r="MXX357" s="22"/>
      <c r="MXY357" s="22"/>
      <c r="MXZ357" s="22"/>
      <c r="MYA357" s="22"/>
      <c r="MYB357" s="22"/>
      <c r="MYC357" s="22"/>
      <c r="MYD357" s="22"/>
      <c r="MYE357" s="22"/>
      <c r="MYF357" s="22"/>
      <c r="MYG357" s="22"/>
      <c r="MYH357" s="22"/>
      <c r="MYI357" s="22"/>
      <c r="MYJ357" s="22"/>
      <c r="MYK357" s="22"/>
      <c r="MYL357" s="22"/>
      <c r="MYM357" s="22"/>
      <c r="MYN357" s="22"/>
      <c r="MYO357" s="22"/>
      <c r="MYP357" s="22"/>
      <c r="MYQ357" s="22"/>
      <c r="MYR357" s="22"/>
      <c r="MYS357" s="22"/>
      <c r="MYT357" s="22"/>
      <c r="MYU357" s="22"/>
      <c r="MYV357" s="22"/>
      <c r="MYW357" s="22"/>
      <c r="MYX357" s="22"/>
      <c r="MYY357" s="22"/>
      <c r="MYZ357" s="22"/>
      <c r="MZA357" s="22"/>
      <c r="MZB357" s="22"/>
      <c r="MZC357" s="22"/>
      <c r="MZD357" s="22"/>
      <c r="MZE357" s="22"/>
      <c r="MZF357" s="22"/>
      <c r="MZG357" s="22"/>
      <c r="MZH357" s="22"/>
      <c r="MZI357" s="22"/>
      <c r="MZJ357" s="22"/>
      <c r="MZK357" s="22"/>
      <c r="MZL357" s="22"/>
      <c r="MZM357" s="22"/>
      <c r="MZN357" s="22"/>
      <c r="MZO357" s="22"/>
      <c r="MZP357" s="22"/>
      <c r="MZQ357" s="22"/>
      <c r="MZR357" s="22"/>
      <c r="MZS357" s="22"/>
      <c r="MZT357" s="22"/>
      <c r="MZU357" s="22"/>
      <c r="MZV357" s="22"/>
      <c r="MZW357" s="22"/>
      <c r="MZX357" s="22"/>
      <c r="MZY357" s="22"/>
      <c r="MZZ357" s="22"/>
      <c r="NAA357" s="22"/>
      <c r="NAB357" s="22"/>
      <c r="NAC357" s="22"/>
      <c r="NAD357" s="22"/>
      <c r="NAE357" s="22"/>
      <c r="NAF357" s="22"/>
      <c r="NAG357" s="22"/>
      <c r="NAH357" s="22"/>
      <c r="NAI357" s="22"/>
      <c r="NAJ357" s="22"/>
      <c r="NAK357" s="22"/>
      <c r="NAL357" s="22"/>
      <c r="NAM357" s="22"/>
      <c r="NAN357" s="22"/>
      <c r="NAO357" s="22"/>
      <c r="NAP357" s="22"/>
      <c r="NAQ357" s="22"/>
      <c r="NAR357" s="22"/>
      <c r="NAS357" s="22"/>
      <c r="NAT357" s="22"/>
      <c r="NAU357" s="22"/>
      <c r="NAV357" s="22"/>
      <c r="NAW357" s="22"/>
      <c r="NAX357" s="22"/>
      <c r="NAY357" s="22"/>
      <c r="NAZ357" s="22"/>
      <c r="NBA357" s="22"/>
      <c r="NBB357" s="22"/>
      <c r="NBC357" s="22"/>
      <c r="NBD357" s="22"/>
      <c r="NBE357" s="22"/>
      <c r="NBF357" s="22"/>
      <c r="NBG357" s="22"/>
      <c r="NBH357" s="22"/>
      <c r="NBI357" s="22"/>
      <c r="NBJ357" s="22"/>
      <c r="NBK357" s="22"/>
      <c r="NBL357" s="22"/>
      <c r="NBM357" s="22"/>
      <c r="NBN357" s="22"/>
      <c r="NBO357" s="22"/>
      <c r="NBP357" s="22"/>
      <c r="NBQ357" s="22"/>
      <c r="NBR357" s="22"/>
      <c r="NBS357" s="22"/>
      <c r="NBT357" s="22"/>
      <c r="NBU357" s="22"/>
      <c r="NBV357" s="22"/>
      <c r="NBW357" s="22"/>
      <c r="NBX357" s="22"/>
      <c r="NBY357" s="22"/>
      <c r="NBZ357" s="22"/>
      <c r="NCA357" s="22"/>
      <c r="NCB357" s="22"/>
      <c r="NCC357" s="22"/>
      <c r="NCD357" s="22"/>
      <c r="NCE357" s="22"/>
      <c r="NCF357" s="22"/>
      <c r="NCG357" s="22"/>
      <c r="NCH357" s="22"/>
      <c r="NCI357" s="22"/>
      <c r="NCJ357" s="22"/>
      <c r="NCK357" s="22"/>
      <c r="NCL357" s="22"/>
      <c r="NCM357" s="22"/>
      <c r="NCN357" s="22"/>
      <c r="NCO357" s="22"/>
      <c r="NCP357" s="22"/>
      <c r="NCQ357" s="22"/>
      <c r="NCR357" s="22"/>
      <c r="NCS357" s="22"/>
      <c r="NCT357" s="22"/>
      <c r="NCU357" s="22"/>
      <c r="NCV357" s="22"/>
      <c r="NCW357" s="22"/>
      <c r="NCX357" s="22"/>
      <c r="NCY357" s="22"/>
      <c r="NCZ357" s="22"/>
      <c r="NDA357" s="22"/>
      <c r="NDB357" s="22"/>
      <c r="NDC357" s="22"/>
      <c r="NDD357" s="22"/>
      <c r="NDE357" s="22"/>
      <c r="NDF357" s="22"/>
      <c r="NDG357" s="22"/>
      <c r="NDH357" s="22"/>
      <c r="NDI357" s="22"/>
      <c r="NDJ357" s="22"/>
      <c r="NDK357" s="22"/>
      <c r="NDL357" s="22"/>
      <c r="NDM357" s="22"/>
      <c r="NDN357" s="22"/>
      <c r="NDO357" s="22"/>
      <c r="NDP357" s="22"/>
      <c r="NDQ357" s="22"/>
      <c r="NDR357" s="22"/>
      <c r="NDS357" s="22"/>
      <c r="NDT357" s="22"/>
      <c r="NDU357" s="22"/>
      <c r="NDV357" s="22"/>
      <c r="NDW357" s="22"/>
      <c r="NDX357" s="22"/>
      <c r="NDY357" s="22"/>
      <c r="NDZ357" s="22"/>
      <c r="NEA357" s="22"/>
      <c r="NEB357" s="22"/>
      <c r="NEC357" s="22"/>
      <c r="NED357" s="22"/>
      <c r="NEE357" s="22"/>
      <c r="NEF357" s="22"/>
      <c r="NEG357" s="22"/>
      <c r="NEH357" s="22"/>
      <c r="NEI357" s="22"/>
      <c r="NEJ357" s="22"/>
      <c r="NEK357" s="22"/>
      <c r="NEL357" s="22"/>
      <c r="NEM357" s="22"/>
      <c r="NEN357" s="22"/>
      <c r="NEO357" s="22"/>
      <c r="NEP357" s="22"/>
      <c r="NEQ357" s="22"/>
      <c r="NER357" s="22"/>
      <c r="NES357" s="22"/>
      <c r="NET357" s="22"/>
      <c r="NEU357" s="22"/>
      <c r="NEV357" s="22"/>
      <c r="NEW357" s="22"/>
      <c r="NEX357" s="22"/>
      <c r="NEY357" s="22"/>
      <c r="NEZ357" s="22"/>
      <c r="NFA357" s="22"/>
      <c r="NFB357" s="22"/>
      <c r="NFC357" s="22"/>
      <c r="NFD357" s="22"/>
      <c r="NFE357" s="22"/>
      <c r="NFF357" s="22"/>
      <c r="NFG357" s="22"/>
      <c r="NFH357" s="22"/>
      <c r="NFI357" s="22"/>
      <c r="NFJ357" s="22"/>
      <c r="NFK357" s="22"/>
      <c r="NFL357" s="22"/>
      <c r="NFM357" s="22"/>
      <c r="NFN357" s="22"/>
      <c r="NFO357" s="22"/>
      <c r="NFP357" s="22"/>
      <c r="NFQ357" s="22"/>
      <c r="NFR357" s="22"/>
      <c r="NFS357" s="22"/>
      <c r="NFT357" s="22"/>
      <c r="NFU357" s="22"/>
      <c r="NFV357" s="22"/>
      <c r="NFW357" s="22"/>
      <c r="NFX357" s="22"/>
      <c r="NFY357" s="22"/>
      <c r="NFZ357" s="22"/>
      <c r="NGA357" s="22"/>
      <c r="NGB357" s="22"/>
      <c r="NGC357" s="22"/>
      <c r="NGD357" s="22"/>
      <c r="NGE357" s="22"/>
      <c r="NGF357" s="22"/>
      <c r="NGG357" s="22"/>
      <c r="NGH357" s="22"/>
      <c r="NGI357" s="22"/>
      <c r="NGJ357" s="22"/>
      <c r="NGK357" s="22"/>
      <c r="NGL357" s="22"/>
      <c r="NGM357" s="22"/>
      <c r="NGN357" s="22"/>
      <c r="NGO357" s="22"/>
      <c r="NGP357" s="22"/>
      <c r="NGQ357" s="22"/>
      <c r="NGR357" s="22"/>
      <c r="NGS357" s="22"/>
      <c r="NGT357" s="22"/>
      <c r="NGU357" s="22"/>
      <c r="NGV357" s="22"/>
      <c r="NGW357" s="22"/>
      <c r="NGX357" s="22"/>
      <c r="NGY357" s="22"/>
      <c r="NGZ357" s="22"/>
      <c r="NHA357" s="22"/>
      <c r="NHB357" s="22"/>
      <c r="NHC357" s="22"/>
      <c r="NHD357" s="22"/>
      <c r="NHE357" s="22"/>
      <c r="NHF357" s="22"/>
      <c r="NHG357" s="22"/>
      <c r="NHH357" s="22"/>
      <c r="NHI357" s="22"/>
      <c r="NHJ357" s="22"/>
      <c r="NHK357" s="22"/>
      <c r="NHL357" s="22"/>
      <c r="NHM357" s="22"/>
      <c r="NHN357" s="22"/>
      <c r="NHO357" s="22"/>
      <c r="NHP357" s="22"/>
      <c r="NHQ357" s="22"/>
      <c r="NHR357" s="22"/>
      <c r="NHS357" s="22"/>
      <c r="NHT357" s="22"/>
      <c r="NHU357" s="22"/>
      <c r="NHV357" s="22"/>
      <c r="NHW357" s="22"/>
      <c r="NHX357" s="22"/>
      <c r="NHY357" s="22"/>
      <c r="NHZ357" s="22"/>
      <c r="NIA357" s="22"/>
      <c r="NIB357" s="22"/>
      <c r="NIC357" s="22"/>
      <c r="NID357" s="22"/>
      <c r="NIE357" s="22"/>
      <c r="NIF357" s="22"/>
      <c r="NIG357" s="22"/>
      <c r="NIH357" s="22"/>
      <c r="NII357" s="22"/>
      <c r="NIJ357" s="22"/>
      <c r="NIK357" s="22"/>
      <c r="NIL357" s="22"/>
      <c r="NIM357" s="22"/>
      <c r="NIN357" s="22"/>
      <c r="NIO357" s="22"/>
      <c r="NIP357" s="22"/>
      <c r="NIQ357" s="22"/>
      <c r="NIR357" s="22"/>
      <c r="NIS357" s="22"/>
      <c r="NIT357" s="22"/>
      <c r="NIU357" s="22"/>
      <c r="NIV357" s="22"/>
      <c r="NIW357" s="22"/>
      <c r="NIX357" s="22"/>
      <c r="NIY357" s="22"/>
      <c r="NIZ357" s="22"/>
      <c r="NJA357" s="22"/>
      <c r="NJB357" s="22"/>
      <c r="NJC357" s="22"/>
      <c r="NJD357" s="22"/>
      <c r="NJE357" s="22"/>
      <c r="NJF357" s="22"/>
      <c r="NJG357" s="22"/>
      <c r="NJH357" s="22"/>
      <c r="NJI357" s="22"/>
      <c r="NJJ357" s="22"/>
      <c r="NJK357" s="22"/>
      <c r="NJL357" s="22"/>
      <c r="NJM357" s="22"/>
      <c r="NJN357" s="22"/>
      <c r="NJO357" s="22"/>
      <c r="NJP357" s="22"/>
      <c r="NJQ357" s="22"/>
      <c r="NJR357" s="22"/>
      <c r="NJS357" s="22"/>
      <c r="NJT357" s="22"/>
      <c r="NJU357" s="22"/>
      <c r="NJV357" s="22"/>
      <c r="NJW357" s="22"/>
      <c r="NJX357" s="22"/>
      <c r="NJY357" s="22"/>
      <c r="NJZ357" s="22"/>
      <c r="NKA357" s="22"/>
      <c r="NKB357" s="22"/>
      <c r="NKC357" s="22"/>
      <c r="NKD357" s="22"/>
      <c r="NKE357" s="22"/>
      <c r="NKF357" s="22"/>
      <c r="NKG357" s="22"/>
      <c r="NKH357" s="22"/>
      <c r="NKI357" s="22"/>
      <c r="NKJ357" s="22"/>
      <c r="NKK357" s="22"/>
      <c r="NKL357" s="22"/>
      <c r="NKM357" s="22"/>
      <c r="NKN357" s="22"/>
      <c r="NKO357" s="22"/>
      <c r="NKP357" s="22"/>
      <c r="NKQ357" s="22"/>
      <c r="NKR357" s="22"/>
      <c r="NKS357" s="22"/>
      <c r="NKT357" s="22"/>
      <c r="NKU357" s="22"/>
      <c r="NKV357" s="22"/>
      <c r="NKW357" s="22"/>
      <c r="NKX357" s="22"/>
      <c r="NKY357" s="22"/>
      <c r="NKZ357" s="22"/>
      <c r="NLA357" s="22"/>
      <c r="NLB357" s="22"/>
      <c r="NLC357" s="22"/>
      <c r="NLD357" s="22"/>
      <c r="NLE357" s="22"/>
      <c r="NLF357" s="22"/>
      <c r="NLG357" s="22"/>
      <c r="NLH357" s="22"/>
      <c r="NLI357" s="22"/>
      <c r="NLJ357" s="22"/>
      <c r="NLK357" s="22"/>
      <c r="NLL357" s="22"/>
      <c r="NLM357" s="22"/>
      <c r="NLN357" s="22"/>
      <c r="NLO357" s="22"/>
      <c r="NLP357" s="22"/>
      <c r="NLQ357" s="22"/>
      <c r="NLR357" s="22"/>
      <c r="NLS357" s="22"/>
      <c r="NLT357" s="22"/>
      <c r="NLU357" s="22"/>
      <c r="NLV357" s="22"/>
      <c r="NLW357" s="22"/>
      <c r="NLX357" s="22"/>
      <c r="NLY357" s="22"/>
      <c r="NLZ357" s="22"/>
      <c r="NMA357" s="22"/>
      <c r="NMB357" s="22"/>
      <c r="NMC357" s="22"/>
      <c r="NMD357" s="22"/>
      <c r="NME357" s="22"/>
      <c r="NMF357" s="22"/>
      <c r="NMG357" s="22"/>
      <c r="NMH357" s="22"/>
      <c r="NMI357" s="22"/>
      <c r="NMJ357" s="22"/>
      <c r="NMK357" s="22"/>
      <c r="NML357" s="22"/>
      <c r="NMM357" s="22"/>
      <c r="NMN357" s="22"/>
      <c r="NMO357" s="22"/>
      <c r="NMP357" s="22"/>
      <c r="NMQ357" s="22"/>
      <c r="NMR357" s="22"/>
      <c r="NMS357" s="22"/>
      <c r="NMT357" s="22"/>
      <c r="NMU357" s="22"/>
      <c r="NMV357" s="22"/>
      <c r="NMW357" s="22"/>
      <c r="NMX357" s="22"/>
      <c r="NMY357" s="22"/>
      <c r="NMZ357" s="22"/>
      <c r="NNA357" s="22"/>
      <c r="NNB357" s="22"/>
      <c r="NNC357" s="22"/>
      <c r="NND357" s="22"/>
      <c r="NNE357" s="22"/>
      <c r="NNF357" s="22"/>
      <c r="NNG357" s="22"/>
      <c r="NNH357" s="22"/>
      <c r="NNI357" s="22"/>
      <c r="NNJ357" s="22"/>
      <c r="NNK357" s="22"/>
      <c r="NNL357" s="22"/>
      <c r="NNM357" s="22"/>
      <c r="NNN357" s="22"/>
      <c r="NNO357" s="22"/>
      <c r="NNP357" s="22"/>
      <c r="NNQ357" s="22"/>
      <c r="NNR357" s="22"/>
      <c r="NNS357" s="22"/>
      <c r="NNT357" s="22"/>
      <c r="NNU357" s="22"/>
      <c r="NNV357" s="22"/>
      <c r="NNW357" s="22"/>
      <c r="NNX357" s="22"/>
      <c r="NNY357" s="22"/>
      <c r="NNZ357" s="22"/>
      <c r="NOA357" s="22"/>
      <c r="NOB357" s="22"/>
      <c r="NOC357" s="22"/>
      <c r="NOD357" s="22"/>
      <c r="NOE357" s="22"/>
      <c r="NOF357" s="22"/>
      <c r="NOG357" s="22"/>
      <c r="NOH357" s="22"/>
      <c r="NOI357" s="22"/>
      <c r="NOJ357" s="22"/>
      <c r="NOK357" s="22"/>
      <c r="NOL357" s="22"/>
      <c r="NOM357" s="22"/>
      <c r="NON357" s="22"/>
      <c r="NOO357" s="22"/>
      <c r="NOP357" s="22"/>
      <c r="NOQ357" s="22"/>
      <c r="NOR357" s="22"/>
      <c r="NOS357" s="22"/>
      <c r="NOT357" s="22"/>
      <c r="NOU357" s="22"/>
      <c r="NOV357" s="22"/>
      <c r="NOW357" s="22"/>
      <c r="NOX357" s="22"/>
      <c r="NOY357" s="22"/>
      <c r="NOZ357" s="22"/>
      <c r="NPA357" s="22"/>
      <c r="NPB357" s="22"/>
      <c r="NPC357" s="22"/>
      <c r="NPD357" s="22"/>
      <c r="NPE357" s="22"/>
      <c r="NPF357" s="22"/>
      <c r="NPG357" s="22"/>
      <c r="NPH357" s="22"/>
      <c r="NPI357" s="22"/>
      <c r="NPJ357" s="22"/>
      <c r="NPK357" s="22"/>
      <c r="NPL357" s="22"/>
      <c r="NPM357" s="22"/>
      <c r="NPN357" s="22"/>
      <c r="NPO357" s="22"/>
      <c r="NPP357" s="22"/>
      <c r="NPQ357" s="22"/>
      <c r="NPR357" s="22"/>
      <c r="NPS357" s="22"/>
      <c r="NPT357" s="22"/>
      <c r="NPU357" s="22"/>
      <c r="NPV357" s="22"/>
      <c r="NPW357" s="22"/>
      <c r="NPX357" s="22"/>
      <c r="NPY357" s="22"/>
      <c r="NPZ357" s="22"/>
      <c r="NQA357" s="22"/>
      <c r="NQB357" s="22"/>
      <c r="NQC357" s="22"/>
      <c r="NQD357" s="22"/>
      <c r="NQE357" s="22"/>
      <c r="NQF357" s="22"/>
      <c r="NQG357" s="22"/>
      <c r="NQH357" s="22"/>
      <c r="NQI357" s="22"/>
      <c r="NQJ357" s="22"/>
      <c r="NQK357" s="22"/>
      <c r="NQL357" s="22"/>
      <c r="NQM357" s="22"/>
      <c r="NQN357" s="22"/>
      <c r="NQO357" s="22"/>
      <c r="NQP357" s="22"/>
      <c r="NQQ357" s="22"/>
      <c r="NQR357" s="22"/>
      <c r="NQS357" s="22"/>
      <c r="NQT357" s="22"/>
      <c r="NQU357" s="22"/>
      <c r="NQV357" s="22"/>
      <c r="NQW357" s="22"/>
      <c r="NQX357" s="22"/>
      <c r="NQY357" s="22"/>
      <c r="NQZ357" s="22"/>
      <c r="NRA357" s="22"/>
      <c r="NRB357" s="22"/>
      <c r="NRC357" s="22"/>
      <c r="NRD357" s="22"/>
      <c r="NRE357" s="22"/>
      <c r="NRF357" s="22"/>
      <c r="NRG357" s="22"/>
      <c r="NRH357" s="22"/>
      <c r="NRI357" s="22"/>
      <c r="NRJ357" s="22"/>
      <c r="NRK357" s="22"/>
      <c r="NRL357" s="22"/>
      <c r="NRM357" s="22"/>
      <c r="NRN357" s="22"/>
      <c r="NRO357" s="22"/>
      <c r="NRP357" s="22"/>
      <c r="NRQ357" s="22"/>
      <c r="NRR357" s="22"/>
      <c r="NRS357" s="22"/>
      <c r="NRT357" s="22"/>
      <c r="NRU357" s="22"/>
      <c r="NRV357" s="22"/>
      <c r="NRW357" s="22"/>
      <c r="NRX357" s="22"/>
      <c r="NRY357" s="22"/>
      <c r="NRZ357" s="22"/>
      <c r="NSA357" s="22"/>
      <c r="NSB357" s="22"/>
      <c r="NSC357" s="22"/>
      <c r="NSD357" s="22"/>
      <c r="NSE357" s="22"/>
      <c r="NSF357" s="22"/>
      <c r="NSG357" s="22"/>
      <c r="NSH357" s="22"/>
      <c r="NSI357" s="22"/>
      <c r="NSJ357" s="22"/>
      <c r="NSK357" s="22"/>
      <c r="NSL357" s="22"/>
      <c r="NSM357" s="22"/>
      <c r="NSN357" s="22"/>
      <c r="NSO357" s="22"/>
      <c r="NSP357" s="22"/>
      <c r="NSQ357" s="22"/>
      <c r="NSR357" s="22"/>
      <c r="NSS357" s="22"/>
      <c r="NST357" s="22"/>
      <c r="NSU357" s="22"/>
      <c r="NSV357" s="22"/>
      <c r="NSW357" s="22"/>
      <c r="NSX357" s="22"/>
      <c r="NSY357" s="22"/>
      <c r="NSZ357" s="22"/>
      <c r="NTA357" s="22"/>
      <c r="NTB357" s="22"/>
      <c r="NTC357" s="22"/>
      <c r="NTD357" s="22"/>
      <c r="NTE357" s="22"/>
      <c r="NTF357" s="22"/>
      <c r="NTG357" s="22"/>
      <c r="NTH357" s="22"/>
      <c r="NTI357" s="22"/>
      <c r="NTJ357" s="22"/>
      <c r="NTK357" s="22"/>
      <c r="NTL357" s="22"/>
      <c r="NTM357" s="22"/>
      <c r="NTN357" s="22"/>
      <c r="NTO357" s="22"/>
      <c r="NTP357" s="22"/>
      <c r="NTQ357" s="22"/>
      <c r="NTR357" s="22"/>
      <c r="NTS357" s="22"/>
      <c r="NTT357" s="22"/>
      <c r="NTU357" s="22"/>
      <c r="NTV357" s="22"/>
      <c r="NTW357" s="22"/>
      <c r="NTX357" s="22"/>
      <c r="NTY357" s="22"/>
      <c r="NTZ357" s="22"/>
      <c r="NUA357" s="22"/>
      <c r="NUB357" s="22"/>
      <c r="NUC357" s="22"/>
      <c r="NUD357" s="22"/>
      <c r="NUE357" s="22"/>
      <c r="NUF357" s="22"/>
      <c r="NUG357" s="22"/>
      <c r="NUH357" s="22"/>
      <c r="NUI357" s="22"/>
      <c r="NUJ357" s="22"/>
      <c r="NUK357" s="22"/>
      <c r="NUL357" s="22"/>
      <c r="NUM357" s="22"/>
      <c r="NUN357" s="22"/>
      <c r="NUO357" s="22"/>
      <c r="NUP357" s="22"/>
      <c r="NUQ357" s="22"/>
      <c r="NUR357" s="22"/>
      <c r="NUS357" s="22"/>
      <c r="NUT357" s="22"/>
      <c r="NUU357" s="22"/>
      <c r="NUV357" s="22"/>
      <c r="NUW357" s="22"/>
      <c r="NUX357" s="22"/>
      <c r="NUY357" s="22"/>
      <c r="NUZ357" s="22"/>
      <c r="NVA357" s="22"/>
      <c r="NVB357" s="22"/>
      <c r="NVC357" s="22"/>
      <c r="NVD357" s="22"/>
      <c r="NVE357" s="22"/>
      <c r="NVF357" s="22"/>
      <c r="NVG357" s="22"/>
      <c r="NVH357" s="22"/>
      <c r="NVI357" s="22"/>
      <c r="NVJ357" s="22"/>
      <c r="NVK357" s="22"/>
      <c r="NVL357" s="22"/>
      <c r="NVM357" s="22"/>
      <c r="NVN357" s="22"/>
      <c r="NVO357" s="22"/>
      <c r="NVP357" s="22"/>
      <c r="NVQ357" s="22"/>
      <c r="NVR357" s="22"/>
      <c r="NVS357" s="22"/>
      <c r="NVT357" s="22"/>
      <c r="NVU357" s="22"/>
      <c r="NVV357" s="22"/>
      <c r="NVW357" s="22"/>
      <c r="NVX357" s="22"/>
      <c r="NVY357" s="22"/>
      <c r="NVZ357" s="22"/>
      <c r="NWA357" s="22"/>
      <c r="NWB357" s="22"/>
      <c r="NWC357" s="22"/>
      <c r="NWD357" s="22"/>
      <c r="NWE357" s="22"/>
      <c r="NWF357" s="22"/>
      <c r="NWG357" s="22"/>
      <c r="NWH357" s="22"/>
      <c r="NWI357" s="22"/>
      <c r="NWJ357" s="22"/>
      <c r="NWK357" s="22"/>
      <c r="NWL357" s="22"/>
      <c r="NWM357" s="22"/>
      <c r="NWN357" s="22"/>
      <c r="NWO357" s="22"/>
      <c r="NWP357" s="22"/>
      <c r="NWQ357" s="22"/>
      <c r="NWR357" s="22"/>
      <c r="NWS357" s="22"/>
      <c r="NWT357" s="22"/>
      <c r="NWU357" s="22"/>
      <c r="NWV357" s="22"/>
      <c r="NWW357" s="22"/>
      <c r="NWX357" s="22"/>
      <c r="NWY357" s="22"/>
      <c r="NWZ357" s="22"/>
      <c r="NXA357" s="22"/>
      <c r="NXB357" s="22"/>
      <c r="NXC357" s="22"/>
      <c r="NXD357" s="22"/>
      <c r="NXE357" s="22"/>
      <c r="NXF357" s="22"/>
      <c r="NXG357" s="22"/>
      <c r="NXH357" s="22"/>
      <c r="NXI357" s="22"/>
      <c r="NXJ357" s="22"/>
      <c r="NXK357" s="22"/>
      <c r="NXL357" s="22"/>
      <c r="NXM357" s="22"/>
      <c r="NXN357" s="22"/>
      <c r="NXO357" s="22"/>
      <c r="NXP357" s="22"/>
      <c r="NXQ357" s="22"/>
      <c r="NXR357" s="22"/>
      <c r="NXS357" s="22"/>
      <c r="NXT357" s="22"/>
      <c r="NXU357" s="22"/>
      <c r="NXV357" s="22"/>
      <c r="NXW357" s="22"/>
      <c r="NXX357" s="22"/>
      <c r="NXY357" s="22"/>
      <c r="NXZ357" s="22"/>
      <c r="NYA357" s="22"/>
      <c r="NYB357" s="22"/>
      <c r="NYC357" s="22"/>
      <c r="NYD357" s="22"/>
      <c r="NYE357" s="22"/>
      <c r="NYF357" s="22"/>
      <c r="NYG357" s="22"/>
      <c r="NYH357" s="22"/>
      <c r="NYI357" s="22"/>
      <c r="NYJ357" s="22"/>
      <c r="NYK357" s="22"/>
      <c r="NYL357" s="22"/>
      <c r="NYM357" s="22"/>
      <c r="NYN357" s="22"/>
      <c r="NYO357" s="22"/>
      <c r="NYP357" s="22"/>
      <c r="NYQ357" s="22"/>
      <c r="NYR357" s="22"/>
      <c r="NYS357" s="22"/>
      <c r="NYT357" s="22"/>
      <c r="NYU357" s="22"/>
      <c r="NYV357" s="22"/>
      <c r="NYW357" s="22"/>
      <c r="NYX357" s="22"/>
      <c r="NYY357" s="22"/>
      <c r="NYZ357" s="22"/>
      <c r="NZA357" s="22"/>
      <c r="NZB357" s="22"/>
      <c r="NZC357" s="22"/>
      <c r="NZD357" s="22"/>
      <c r="NZE357" s="22"/>
      <c r="NZF357" s="22"/>
      <c r="NZG357" s="22"/>
      <c r="NZH357" s="22"/>
      <c r="NZI357" s="22"/>
      <c r="NZJ357" s="22"/>
      <c r="NZK357" s="22"/>
      <c r="NZL357" s="22"/>
      <c r="NZM357" s="22"/>
      <c r="NZN357" s="22"/>
      <c r="NZO357" s="22"/>
      <c r="NZP357" s="22"/>
      <c r="NZQ357" s="22"/>
      <c r="NZR357" s="22"/>
      <c r="NZS357" s="22"/>
      <c r="NZT357" s="22"/>
      <c r="NZU357" s="22"/>
      <c r="NZV357" s="22"/>
      <c r="NZW357" s="22"/>
      <c r="NZX357" s="22"/>
      <c r="NZY357" s="22"/>
      <c r="NZZ357" s="22"/>
      <c r="OAA357" s="22"/>
      <c r="OAB357" s="22"/>
      <c r="OAC357" s="22"/>
      <c r="OAD357" s="22"/>
      <c r="OAE357" s="22"/>
      <c r="OAF357" s="22"/>
      <c r="OAG357" s="22"/>
      <c r="OAH357" s="22"/>
      <c r="OAI357" s="22"/>
      <c r="OAJ357" s="22"/>
      <c r="OAK357" s="22"/>
      <c r="OAL357" s="22"/>
      <c r="OAM357" s="22"/>
      <c r="OAN357" s="22"/>
      <c r="OAO357" s="22"/>
      <c r="OAP357" s="22"/>
      <c r="OAQ357" s="22"/>
      <c r="OAR357" s="22"/>
      <c r="OAS357" s="22"/>
      <c r="OAT357" s="22"/>
      <c r="OAU357" s="22"/>
      <c r="OAV357" s="22"/>
      <c r="OAW357" s="22"/>
      <c r="OAX357" s="22"/>
      <c r="OAY357" s="22"/>
      <c r="OAZ357" s="22"/>
      <c r="OBA357" s="22"/>
      <c r="OBB357" s="22"/>
      <c r="OBC357" s="22"/>
      <c r="OBD357" s="22"/>
      <c r="OBE357" s="22"/>
      <c r="OBF357" s="22"/>
      <c r="OBG357" s="22"/>
      <c r="OBH357" s="22"/>
      <c r="OBI357" s="22"/>
      <c r="OBJ357" s="22"/>
      <c r="OBK357" s="22"/>
      <c r="OBL357" s="22"/>
      <c r="OBM357" s="22"/>
      <c r="OBN357" s="22"/>
      <c r="OBO357" s="22"/>
      <c r="OBP357" s="22"/>
      <c r="OBQ357" s="22"/>
      <c r="OBR357" s="22"/>
      <c r="OBS357" s="22"/>
      <c r="OBT357" s="22"/>
      <c r="OBU357" s="22"/>
      <c r="OBV357" s="22"/>
      <c r="OBW357" s="22"/>
      <c r="OBX357" s="22"/>
      <c r="OBY357" s="22"/>
      <c r="OBZ357" s="22"/>
      <c r="OCA357" s="22"/>
      <c r="OCB357" s="22"/>
      <c r="OCC357" s="22"/>
      <c r="OCD357" s="22"/>
      <c r="OCE357" s="22"/>
      <c r="OCF357" s="22"/>
      <c r="OCG357" s="22"/>
      <c r="OCH357" s="22"/>
      <c r="OCI357" s="22"/>
      <c r="OCJ357" s="22"/>
      <c r="OCK357" s="22"/>
      <c r="OCL357" s="22"/>
      <c r="OCM357" s="22"/>
      <c r="OCN357" s="22"/>
      <c r="OCO357" s="22"/>
      <c r="OCP357" s="22"/>
      <c r="OCQ357" s="22"/>
      <c r="OCR357" s="22"/>
      <c r="OCS357" s="22"/>
      <c r="OCT357" s="22"/>
      <c r="OCU357" s="22"/>
      <c r="OCV357" s="22"/>
      <c r="OCW357" s="22"/>
      <c r="OCX357" s="22"/>
      <c r="OCY357" s="22"/>
      <c r="OCZ357" s="22"/>
      <c r="ODA357" s="22"/>
      <c r="ODB357" s="22"/>
      <c r="ODC357" s="22"/>
      <c r="ODD357" s="22"/>
      <c r="ODE357" s="22"/>
      <c r="ODF357" s="22"/>
      <c r="ODG357" s="22"/>
      <c r="ODH357" s="22"/>
      <c r="ODI357" s="22"/>
      <c r="ODJ357" s="22"/>
      <c r="ODK357" s="22"/>
      <c r="ODL357" s="22"/>
      <c r="ODM357" s="22"/>
      <c r="ODN357" s="22"/>
      <c r="ODO357" s="22"/>
      <c r="ODP357" s="22"/>
      <c r="ODQ357" s="22"/>
      <c r="ODR357" s="22"/>
      <c r="ODS357" s="22"/>
      <c r="ODT357" s="22"/>
      <c r="ODU357" s="22"/>
      <c r="ODV357" s="22"/>
      <c r="ODW357" s="22"/>
      <c r="ODX357" s="22"/>
      <c r="ODY357" s="22"/>
      <c r="ODZ357" s="22"/>
      <c r="OEA357" s="22"/>
      <c r="OEB357" s="22"/>
      <c r="OEC357" s="22"/>
      <c r="OED357" s="22"/>
      <c r="OEE357" s="22"/>
      <c r="OEF357" s="22"/>
      <c r="OEG357" s="22"/>
      <c r="OEH357" s="22"/>
      <c r="OEI357" s="22"/>
      <c r="OEJ357" s="22"/>
      <c r="OEK357" s="22"/>
      <c r="OEL357" s="22"/>
      <c r="OEM357" s="22"/>
      <c r="OEN357" s="22"/>
      <c r="OEO357" s="22"/>
      <c r="OEP357" s="22"/>
      <c r="OEQ357" s="22"/>
      <c r="OER357" s="22"/>
      <c r="OES357" s="22"/>
      <c r="OET357" s="22"/>
      <c r="OEU357" s="22"/>
      <c r="OEV357" s="22"/>
      <c r="OEW357" s="22"/>
      <c r="OEX357" s="22"/>
      <c r="OEY357" s="22"/>
      <c r="OEZ357" s="22"/>
      <c r="OFA357" s="22"/>
      <c r="OFB357" s="22"/>
      <c r="OFC357" s="22"/>
      <c r="OFD357" s="22"/>
      <c r="OFE357" s="22"/>
      <c r="OFF357" s="22"/>
      <c r="OFG357" s="22"/>
      <c r="OFH357" s="22"/>
      <c r="OFI357" s="22"/>
      <c r="OFJ357" s="22"/>
      <c r="OFK357" s="22"/>
      <c r="OFL357" s="22"/>
      <c r="OFM357" s="22"/>
      <c r="OFN357" s="22"/>
      <c r="OFO357" s="22"/>
      <c r="OFP357" s="22"/>
      <c r="OFQ357" s="22"/>
      <c r="OFR357" s="22"/>
      <c r="OFS357" s="22"/>
      <c r="OFT357" s="22"/>
      <c r="OFU357" s="22"/>
      <c r="OFV357" s="22"/>
      <c r="OFW357" s="22"/>
      <c r="OFX357" s="22"/>
      <c r="OFY357" s="22"/>
      <c r="OFZ357" s="22"/>
      <c r="OGA357" s="22"/>
      <c r="OGB357" s="22"/>
      <c r="OGC357" s="22"/>
      <c r="OGD357" s="22"/>
      <c r="OGE357" s="22"/>
      <c r="OGF357" s="22"/>
      <c r="OGG357" s="22"/>
      <c r="OGH357" s="22"/>
      <c r="OGI357" s="22"/>
      <c r="OGJ357" s="22"/>
      <c r="OGK357" s="22"/>
      <c r="OGL357" s="22"/>
      <c r="OGM357" s="22"/>
      <c r="OGN357" s="22"/>
      <c r="OGO357" s="22"/>
      <c r="OGP357" s="22"/>
      <c r="OGQ357" s="22"/>
      <c r="OGR357" s="22"/>
      <c r="OGS357" s="22"/>
      <c r="OGT357" s="22"/>
      <c r="OGU357" s="22"/>
      <c r="OGV357" s="22"/>
      <c r="OGW357" s="22"/>
      <c r="OGX357" s="22"/>
      <c r="OGY357" s="22"/>
      <c r="OGZ357" s="22"/>
      <c r="OHA357" s="22"/>
      <c r="OHB357" s="22"/>
      <c r="OHC357" s="22"/>
      <c r="OHD357" s="22"/>
      <c r="OHE357" s="22"/>
      <c r="OHF357" s="22"/>
      <c r="OHG357" s="22"/>
      <c r="OHH357" s="22"/>
      <c r="OHI357" s="22"/>
      <c r="OHJ357" s="22"/>
      <c r="OHK357" s="22"/>
      <c r="OHL357" s="22"/>
      <c r="OHM357" s="22"/>
      <c r="OHN357" s="22"/>
      <c r="OHO357" s="22"/>
      <c r="OHP357" s="22"/>
      <c r="OHQ357" s="22"/>
      <c r="OHR357" s="22"/>
      <c r="OHS357" s="22"/>
      <c r="OHT357" s="22"/>
      <c r="OHU357" s="22"/>
      <c r="OHV357" s="22"/>
      <c r="OHW357" s="22"/>
      <c r="OHX357" s="22"/>
      <c r="OHY357" s="22"/>
      <c r="OHZ357" s="22"/>
      <c r="OIA357" s="22"/>
      <c r="OIB357" s="22"/>
      <c r="OIC357" s="22"/>
      <c r="OID357" s="22"/>
      <c r="OIE357" s="22"/>
      <c r="OIF357" s="22"/>
      <c r="OIG357" s="22"/>
      <c r="OIH357" s="22"/>
      <c r="OII357" s="22"/>
      <c r="OIJ357" s="22"/>
      <c r="OIK357" s="22"/>
      <c r="OIL357" s="22"/>
      <c r="OIM357" s="22"/>
      <c r="OIN357" s="22"/>
      <c r="OIO357" s="22"/>
      <c r="OIP357" s="22"/>
      <c r="OIQ357" s="22"/>
      <c r="OIR357" s="22"/>
      <c r="OIS357" s="22"/>
      <c r="OIT357" s="22"/>
      <c r="OIU357" s="22"/>
      <c r="OIV357" s="22"/>
      <c r="OIW357" s="22"/>
      <c r="OIX357" s="22"/>
      <c r="OIY357" s="22"/>
      <c r="OIZ357" s="22"/>
      <c r="OJA357" s="22"/>
      <c r="OJB357" s="22"/>
      <c r="OJC357" s="22"/>
      <c r="OJD357" s="22"/>
      <c r="OJE357" s="22"/>
      <c r="OJF357" s="22"/>
      <c r="OJG357" s="22"/>
      <c r="OJH357" s="22"/>
      <c r="OJI357" s="22"/>
      <c r="OJJ357" s="22"/>
      <c r="OJK357" s="22"/>
      <c r="OJL357" s="22"/>
      <c r="OJM357" s="22"/>
      <c r="OJN357" s="22"/>
      <c r="OJO357" s="22"/>
      <c r="OJP357" s="22"/>
      <c r="OJQ357" s="22"/>
      <c r="OJR357" s="22"/>
      <c r="OJS357" s="22"/>
      <c r="OJT357" s="22"/>
      <c r="OJU357" s="22"/>
      <c r="OJV357" s="22"/>
      <c r="OJW357" s="22"/>
      <c r="OJX357" s="22"/>
      <c r="OJY357" s="22"/>
      <c r="OJZ357" s="22"/>
      <c r="OKA357" s="22"/>
      <c r="OKB357" s="22"/>
      <c r="OKC357" s="22"/>
      <c r="OKD357" s="22"/>
      <c r="OKE357" s="22"/>
      <c r="OKF357" s="22"/>
      <c r="OKG357" s="22"/>
      <c r="OKH357" s="22"/>
      <c r="OKI357" s="22"/>
      <c r="OKJ357" s="22"/>
      <c r="OKK357" s="22"/>
      <c r="OKL357" s="22"/>
      <c r="OKM357" s="22"/>
      <c r="OKN357" s="22"/>
      <c r="OKO357" s="22"/>
      <c r="OKP357" s="22"/>
      <c r="OKQ357" s="22"/>
      <c r="OKR357" s="22"/>
      <c r="OKS357" s="22"/>
      <c r="OKT357" s="22"/>
      <c r="OKU357" s="22"/>
      <c r="OKV357" s="22"/>
      <c r="OKW357" s="22"/>
      <c r="OKX357" s="22"/>
      <c r="OKY357" s="22"/>
      <c r="OKZ357" s="22"/>
      <c r="OLA357" s="22"/>
      <c r="OLB357" s="22"/>
      <c r="OLC357" s="22"/>
      <c r="OLD357" s="22"/>
      <c r="OLE357" s="22"/>
      <c r="OLF357" s="22"/>
      <c r="OLG357" s="22"/>
      <c r="OLH357" s="22"/>
      <c r="OLI357" s="22"/>
      <c r="OLJ357" s="22"/>
      <c r="OLK357" s="22"/>
      <c r="OLL357" s="22"/>
      <c r="OLM357" s="22"/>
      <c r="OLN357" s="22"/>
      <c r="OLO357" s="22"/>
      <c r="OLP357" s="22"/>
      <c r="OLQ357" s="22"/>
      <c r="OLR357" s="22"/>
      <c r="OLS357" s="22"/>
      <c r="OLT357" s="22"/>
      <c r="OLU357" s="22"/>
      <c r="OLV357" s="22"/>
      <c r="OLW357" s="22"/>
      <c r="OLX357" s="22"/>
      <c r="OLY357" s="22"/>
      <c r="OLZ357" s="22"/>
      <c r="OMA357" s="22"/>
      <c r="OMB357" s="22"/>
      <c r="OMC357" s="22"/>
      <c r="OMD357" s="22"/>
      <c r="OME357" s="22"/>
      <c r="OMF357" s="22"/>
      <c r="OMG357" s="22"/>
      <c r="OMH357" s="22"/>
      <c r="OMI357" s="22"/>
      <c r="OMJ357" s="22"/>
      <c r="OMK357" s="22"/>
      <c r="OML357" s="22"/>
      <c r="OMM357" s="22"/>
      <c r="OMN357" s="22"/>
      <c r="OMO357" s="22"/>
      <c r="OMP357" s="22"/>
      <c r="OMQ357" s="22"/>
      <c r="OMR357" s="22"/>
      <c r="OMS357" s="22"/>
      <c r="OMT357" s="22"/>
      <c r="OMU357" s="22"/>
      <c r="OMV357" s="22"/>
      <c r="OMW357" s="22"/>
      <c r="OMX357" s="22"/>
      <c r="OMY357" s="22"/>
      <c r="OMZ357" s="22"/>
      <c r="ONA357" s="22"/>
      <c r="ONB357" s="22"/>
      <c r="ONC357" s="22"/>
      <c r="OND357" s="22"/>
      <c r="ONE357" s="22"/>
      <c r="ONF357" s="22"/>
      <c r="ONG357" s="22"/>
      <c r="ONH357" s="22"/>
      <c r="ONI357" s="22"/>
      <c r="ONJ357" s="22"/>
      <c r="ONK357" s="22"/>
      <c r="ONL357" s="22"/>
      <c r="ONM357" s="22"/>
      <c r="ONN357" s="22"/>
      <c r="ONO357" s="22"/>
      <c r="ONP357" s="22"/>
      <c r="ONQ357" s="22"/>
      <c r="ONR357" s="22"/>
      <c r="ONS357" s="22"/>
      <c r="ONT357" s="22"/>
      <c r="ONU357" s="22"/>
      <c r="ONV357" s="22"/>
      <c r="ONW357" s="22"/>
      <c r="ONX357" s="22"/>
      <c r="ONY357" s="22"/>
      <c r="ONZ357" s="22"/>
      <c r="OOA357" s="22"/>
      <c r="OOB357" s="22"/>
      <c r="OOC357" s="22"/>
      <c r="OOD357" s="22"/>
      <c r="OOE357" s="22"/>
      <c r="OOF357" s="22"/>
      <c r="OOG357" s="22"/>
      <c r="OOH357" s="22"/>
      <c r="OOI357" s="22"/>
      <c r="OOJ357" s="22"/>
      <c r="OOK357" s="22"/>
      <c r="OOL357" s="22"/>
      <c r="OOM357" s="22"/>
      <c r="OON357" s="22"/>
      <c r="OOO357" s="22"/>
      <c r="OOP357" s="22"/>
      <c r="OOQ357" s="22"/>
      <c r="OOR357" s="22"/>
      <c r="OOS357" s="22"/>
      <c r="OOT357" s="22"/>
      <c r="OOU357" s="22"/>
      <c r="OOV357" s="22"/>
      <c r="OOW357" s="22"/>
      <c r="OOX357" s="22"/>
      <c r="OOY357" s="22"/>
      <c r="OOZ357" s="22"/>
      <c r="OPA357" s="22"/>
      <c r="OPB357" s="22"/>
      <c r="OPC357" s="22"/>
      <c r="OPD357" s="22"/>
      <c r="OPE357" s="22"/>
      <c r="OPF357" s="22"/>
      <c r="OPG357" s="22"/>
      <c r="OPH357" s="22"/>
      <c r="OPI357" s="22"/>
      <c r="OPJ357" s="22"/>
      <c r="OPK357" s="22"/>
      <c r="OPL357" s="22"/>
      <c r="OPM357" s="22"/>
      <c r="OPN357" s="22"/>
      <c r="OPO357" s="22"/>
      <c r="OPP357" s="22"/>
      <c r="OPQ357" s="22"/>
      <c r="OPR357" s="22"/>
      <c r="OPS357" s="22"/>
      <c r="OPT357" s="22"/>
      <c r="OPU357" s="22"/>
      <c r="OPV357" s="22"/>
      <c r="OPW357" s="22"/>
      <c r="OPX357" s="22"/>
      <c r="OPY357" s="22"/>
      <c r="OPZ357" s="22"/>
      <c r="OQA357" s="22"/>
      <c r="OQB357" s="22"/>
      <c r="OQC357" s="22"/>
      <c r="OQD357" s="22"/>
      <c r="OQE357" s="22"/>
      <c r="OQF357" s="22"/>
      <c r="OQG357" s="22"/>
      <c r="OQH357" s="22"/>
      <c r="OQI357" s="22"/>
      <c r="OQJ357" s="22"/>
      <c r="OQK357" s="22"/>
      <c r="OQL357" s="22"/>
      <c r="OQM357" s="22"/>
      <c r="OQN357" s="22"/>
      <c r="OQO357" s="22"/>
      <c r="OQP357" s="22"/>
      <c r="OQQ357" s="22"/>
      <c r="OQR357" s="22"/>
      <c r="OQS357" s="22"/>
      <c r="OQT357" s="22"/>
      <c r="OQU357" s="22"/>
      <c r="OQV357" s="22"/>
      <c r="OQW357" s="22"/>
      <c r="OQX357" s="22"/>
      <c r="OQY357" s="22"/>
      <c r="OQZ357" s="22"/>
      <c r="ORA357" s="22"/>
      <c r="ORB357" s="22"/>
      <c r="ORC357" s="22"/>
      <c r="ORD357" s="22"/>
      <c r="ORE357" s="22"/>
      <c r="ORF357" s="22"/>
      <c r="ORG357" s="22"/>
      <c r="ORH357" s="22"/>
      <c r="ORI357" s="22"/>
      <c r="ORJ357" s="22"/>
      <c r="ORK357" s="22"/>
      <c r="ORL357" s="22"/>
      <c r="ORM357" s="22"/>
      <c r="ORN357" s="22"/>
      <c r="ORO357" s="22"/>
      <c r="ORP357" s="22"/>
      <c r="ORQ357" s="22"/>
      <c r="ORR357" s="22"/>
      <c r="ORS357" s="22"/>
      <c r="ORT357" s="22"/>
      <c r="ORU357" s="22"/>
      <c r="ORV357" s="22"/>
      <c r="ORW357" s="22"/>
      <c r="ORX357" s="22"/>
      <c r="ORY357" s="22"/>
      <c r="ORZ357" s="22"/>
      <c r="OSA357" s="22"/>
      <c r="OSB357" s="22"/>
      <c r="OSC357" s="22"/>
      <c r="OSD357" s="22"/>
      <c r="OSE357" s="22"/>
      <c r="OSF357" s="22"/>
      <c r="OSG357" s="22"/>
      <c r="OSH357" s="22"/>
      <c r="OSI357" s="22"/>
      <c r="OSJ357" s="22"/>
      <c r="OSK357" s="22"/>
      <c r="OSL357" s="22"/>
      <c r="OSM357" s="22"/>
      <c r="OSN357" s="22"/>
      <c r="OSO357" s="22"/>
      <c r="OSP357" s="22"/>
      <c r="OSQ357" s="22"/>
      <c r="OSR357" s="22"/>
      <c r="OSS357" s="22"/>
      <c r="OST357" s="22"/>
      <c r="OSU357" s="22"/>
      <c r="OSV357" s="22"/>
      <c r="OSW357" s="22"/>
      <c r="OSX357" s="22"/>
      <c r="OSY357" s="22"/>
      <c r="OSZ357" s="22"/>
      <c r="OTA357" s="22"/>
      <c r="OTB357" s="22"/>
      <c r="OTC357" s="22"/>
      <c r="OTD357" s="22"/>
      <c r="OTE357" s="22"/>
      <c r="OTF357" s="22"/>
      <c r="OTG357" s="22"/>
      <c r="OTH357" s="22"/>
      <c r="OTI357" s="22"/>
      <c r="OTJ357" s="22"/>
      <c r="OTK357" s="22"/>
      <c r="OTL357" s="22"/>
      <c r="OTM357" s="22"/>
      <c r="OTN357" s="22"/>
      <c r="OTO357" s="22"/>
      <c r="OTP357" s="22"/>
      <c r="OTQ357" s="22"/>
      <c r="OTR357" s="22"/>
      <c r="OTS357" s="22"/>
      <c r="OTT357" s="22"/>
      <c r="OTU357" s="22"/>
      <c r="OTV357" s="22"/>
      <c r="OTW357" s="22"/>
      <c r="OTX357" s="22"/>
      <c r="OTY357" s="22"/>
      <c r="OTZ357" s="22"/>
      <c r="OUA357" s="22"/>
      <c r="OUB357" s="22"/>
      <c r="OUC357" s="22"/>
      <c r="OUD357" s="22"/>
      <c r="OUE357" s="22"/>
      <c r="OUF357" s="22"/>
      <c r="OUG357" s="22"/>
      <c r="OUH357" s="22"/>
      <c r="OUI357" s="22"/>
      <c r="OUJ357" s="22"/>
      <c r="OUK357" s="22"/>
      <c r="OUL357" s="22"/>
      <c r="OUM357" s="22"/>
      <c r="OUN357" s="22"/>
      <c r="OUO357" s="22"/>
      <c r="OUP357" s="22"/>
      <c r="OUQ357" s="22"/>
      <c r="OUR357" s="22"/>
      <c r="OUS357" s="22"/>
      <c r="OUT357" s="22"/>
      <c r="OUU357" s="22"/>
      <c r="OUV357" s="22"/>
      <c r="OUW357" s="22"/>
      <c r="OUX357" s="22"/>
      <c r="OUY357" s="22"/>
      <c r="OUZ357" s="22"/>
      <c r="OVA357" s="22"/>
      <c r="OVB357" s="22"/>
      <c r="OVC357" s="22"/>
      <c r="OVD357" s="22"/>
      <c r="OVE357" s="22"/>
      <c r="OVF357" s="22"/>
      <c r="OVG357" s="22"/>
      <c r="OVH357" s="22"/>
      <c r="OVI357" s="22"/>
      <c r="OVJ357" s="22"/>
      <c r="OVK357" s="22"/>
      <c r="OVL357" s="22"/>
      <c r="OVM357" s="22"/>
      <c r="OVN357" s="22"/>
      <c r="OVO357" s="22"/>
      <c r="OVP357" s="22"/>
      <c r="OVQ357" s="22"/>
      <c r="OVR357" s="22"/>
      <c r="OVS357" s="22"/>
      <c r="OVT357" s="22"/>
      <c r="OVU357" s="22"/>
      <c r="OVV357" s="22"/>
      <c r="OVW357" s="22"/>
      <c r="OVX357" s="22"/>
      <c r="OVY357" s="22"/>
      <c r="OVZ357" s="22"/>
      <c r="OWA357" s="22"/>
      <c r="OWB357" s="22"/>
      <c r="OWC357" s="22"/>
      <c r="OWD357" s="22"/>
      <c r="OWE357" s="22"/>
      <c r="OWF357" s="22"/>
      <c r="OWG357" s="22"/>
      <c r="OWH357" s="22"/>
      <c r="OWI357" s="22"/>
      <c r="OWJ357" s="22"/>
      <c r="OWK357" s="22"/>
      <c r="OWL357" s="22"/>
      <c r="OWM357" s="22"/>
      <c r="OWN357" s="22"/>
      <c r="OWO357" s="22"/>
      <c r="OWP357" s="22"/>
      <c r="OWQ357" s="22"/>
      <c r="OWR357" s="22"/>
      <c r="OWS357" s="22"/>
      <c r="OWT357" s="22"/>
      <c r="OWU357" s="22"/>
      <c r="OWV357" s="22"/>
      <c r="OWW357" s="22"/>
      <c r="OWX357" s="22"/>
      <c r="OWY357" s="22"/>
      <c r="OWZ357" s="22"/>
      <c r="OXA357" s="22"/>
      <c r="OXB357" s="22"/>
      <c r="OXC357" s="22"/>
      <c r="OXD357" s="22"/>
      <c r="OXE357" s="22"/>
      <c r="OXF357" s="22"/>
      <c r="OXG357" s="22"/>
      <c r="OXH357" s="22"/>
      <c r="OXI357" s="22"/>
      <c r="OXJ357" s="22"/>
      <c r="OXK357" s="22"/>
      <c r="OXL357" s="22"/>
      <c r="OXM357" s="22"/>
      <c r="OXN357" s="22"/>
      <c r="OXO357" s="22"/>
      <c r="OXP357" s="22"/>
      <c r="OXQ357" s="22"/>
      <c r="OXR357" s="22"/>
      <c r="OXS357" s="22"/>
      <c r="OXT357" s="22"/>
      <c r="OXU357" s="22"/>
      <c r="OXV357" s="22"/>
      <c r="OXW357" s="22"/>
      <c r="OXX357" s="22"/>
      <c r="OXY357" s="22"/>
      <c r="OXZ357" s="22"/>
      <c r="OYA357" s="22"/>
      <c r="OYB357" s="22"/>
      <c r="OYC357" s="22"/>
      <c r="OYD357" s="22"/>
      <c r="OYE357" s="22"/>
      <c r="OYF357" s="22"/>
      <c r="OYG357" s="22"/>
      <c r="OYH357" s="22"/>
      <c r="OYI357" s="22"/>
      <c r="OYJ357" s="22"/>
      <c r="OYK357" s="22"/>
      <c r="OYL357" s="22"/>
      <c r="OYM357" s="22"/>
      <c r="OYN357" s="22"/>
      <c r="OYO357" s="22"/>
      <c r="OYP357" s="22"/>
      <c r="OYQ357" s="22"/>
      <c r="OYR357" s="22"/>
      <c r="OYS357" s="22"/>
      <c r="OYT357" s="22"/>
      <c r="OYU357" s="22"/>
      <c r="OYV357" s="22"/>
      <c r="OYW357" s="22"/>
      <c r="OYX357" s="22"/>
      <c r="OYY357" s="22"/>
      <c r="OYZ357" s="22"/>
      <c r="OZA357" s="22"/>
      <c r="OZB357" s="22"/>
      <c r="OZC357" s="22"/>
      <c r="OZD357" s="22"/>
      <c r="OZE357" s="22"/>
      <c r="OZF357" s="22"/>
      <c r="OZG357" s="22"/>
      <c r="OZH357" s="22"/>
      <c r="OZI357" s="22"/>
      <c r="OZJ357" s="22"/>
      <c r="OZK357" s="22"/>
      <c r="OZL357" s="22"/>
      <c r="OZM357" s="22"/>
      <c r="OZN357" s="22"/>
      <c r="OZO357" s="22"/>
      <c r="OZP357" s="22"/>
      <c r="OZQ357" s="22"/>
      <c r="OZR357" s="22"/>
      <c r="OZS357" s="22"/>
      <c r="OZT357" s="22"/>
      <c r="OZU357" s="22"/>
      <c r="OZV357" s="22"/>
      <c r="OZW357" s="22"/>
      <c r="OZX357" s="22"/>
      <c r="OZY357" s="22"/>
      <c r="OZZ357" s="22"/>
      <c r="PAA357" s="22"/>
      <c r="PAB357" s="22"/>
      <c r="PAC357" s="22"/>
      <c r="PAD357" s="22"/>
      <c r="PAE357" s="22"/>
      <c r="PAF357" s="22"/>
      <c r="PAG357" s="22"/>
      <c r="PAH357" s="22"/>
      <c r="PAI357" s="22"/>
      <c r="PAJ357" s="22"/>
      <c r="PAK357" s="22"/>
      <c r="PAL357" s="22"/>
      <c r="PAM357" s="22"/>
      <c r="PAN357" s="22"/>
      <c r="PAO357" s="22"/>
      <c r="PAP357" s="22"/>
      <c r="PAQ357" s="22"/>
      <c r="PAR357" s="22"/>
      <c r="PAS357" s="22"/>
      <c r="PAT357" s="22"/>
      <c r="PAU357" s="22"/>
      <c r="PAV357" s="22"/>
      <c r="PAW357" s="22"/>
      <c r="PAX357" s="22"/>
      <c r="PAY357" s="22"/>
      <c r="PAZ357" s="22"/>
      <c r="PBA357" s="22"/>
      <c r="PBB357" s="22"/>
      <c r="PBC357" s="22"/>
      <c r="PBD357" s="22"/>
      <c r="PBE357" s="22"/>
      <c r="PBF357" s="22"/>
      <c r="PBG357" s="22"/>
      <c r="PBH357" s="22"/>
      <c r="PBI357" s="22"/>
      <c r="PBJ357" s="22"/>
      <c r="PBK357" s="22"/>
      <c r="PBL357" s="22"/>
      <c r="PBM357" s="22"/>
      <c r="PBN357" s="22"/>
      <c r="PBO357" s="22"/>
      <c r="PBP357" s="22"/>
      <c r="PBQ357" s="22"/>
      <c r="PBR357" s="22"/>
      <c r="PBS357" s="22"/>
      <c r="PBT357" s="22"/>
      <c r="PBU357" s="22"/>
      <c r="PBV357" s="22"/>
      <c r="PBW357" s="22"/>
      <c r="PBX357" s="22"/>
      <c r="PBY357" s="22"/>
      <c r="PBZ357" s="22"/>
      <c r="PCA357" s="22"/>
      <c r="PCB357" s="22"/>
      <c r="PCC357" s="22"/>
      <c r="PCD357" s="22"/>
      <c r="PCE357" s="22"/>
      <c r="PCF357" s="22"/>
      <c r="PCG357" s="22"/>
      <c r="PCH357" s="22"/>
      <c r="PCI357" s="22"/>
      <c r="PCJ357" s="22"/>
      <c r="PCK357" s="22"/>
      <c r="PCL357" s="22"/>
      <c r="PCM357" s="22"/>
      <c r="PCN357" s="22"/>
      <c r="PCO357" s="22"/>
      <c r="PCP357" s="22"/>
      <c r="PCQ357" s="22"/>
      <c r="PCR357" s="22"/>
      <c r="PCS357" s="22"/>
      <c r="PCT357" s="22"/>
      <c r="PCU357" s="22"/>
      <c r="PCV357" s="22"/>
      <c r="PCW357" s="22"/>
      <c r="PCX357" s="22"/>
      <c r="PCY357" s="22"/>
      <c r="PCZ357" s="22"/>
      <c r="PDA357" s="22"/>
      <c r="PDB357" s="22"/>
      <c r="PDC357" s="22"/>
      <c r="PDD357" s="22"/>
      <c r="PDE357" s="22"/>
      <c r="PDF357" s="22"/>
      <c r="PDG357" s="22"/>
      <c r="PDH357" s="22"/>
      <c r="PDI357" s="22"/>
      <c r="PDJ357" s="22"/>
      <c r="PDK357" s="22"/>
      <c r="PDL357" s="22"/>
      <c r="PDM357" s="22"/>
      <c r="PDN357" s="22"/>
      <c r="PDO357" s="22"/>
      <c r="PDP357" s="22"/>
      <c r="PDQ357" s="22"/>
      <c r="PDR357" s="22"/>
      <c r="PDS357" s="22"/>
      <c r="PDT357" s="22"/>
      <c r="PDU357" s="22"/>
      <c r="PDV357" s="22"/>
      <c r="PDW357" s="22"/>
      <c r="PDX357" s="22"/>
      <c r="PDY357" s="22"/>
      <c r="PDZ357" s="22"/>
      <c r="PEA357" s="22"/>
      <c r="PEB357" s="22"/>
      <c r="PEC357" s="22"/>
      <c r="PED357" s="22"/>
      <c r="PEE357" s="22"/>
      <c r="PEF357" s="22"/>
      <c r="PEG357" s="22"/>
      <c r="PEH357" s="22"/>
      <c r="PEI357" s="22"/>
      <c r="PEJ357" s="22"/>
      <c r="PEK357" s="22"/>
      <c r="PEL357" s="22"/>
      <c r="PEM357" s="22"/>
      <c r="PEN357" s="22"/>
      <c r="PEO357" s="22"/>
      <c r="PEP357" s="22"/>
      <c r="PEQ357" s="22"/>
      <c r="PER357" s="22"/>
      <c r="PES357" s="22"/>
      <c r="PET357" s="22"/>
      <c r="PEU357" s="22"/>
      <c r="PEV357" s="22"/>
      <c r="PEW357" s="22"/>
      <c r="PEX357" s="22"/>
      <c r="PEY357" s="22"/>
      <c r="PEZ357" s="22"/>
      <c r="PFA357" s="22"/>
      <c r="PFB357" s="22"/>
      <c r="PFC357" s="22"/>
      <c r="PFD357" s="22"/>
      <c r="PFE357" s="22"/>
      <c r="PFF357" s="22"/>
      <c r="PFG357" s="22"/>
      <c r="PFH357" s="22"/>
      <c r="PFI357" s="22"/>
      <c r="PFJ357" s="22"/>
      <c r="PFK357" s="22"/>
      <c r="PFL357" s="22"/>
      <c r="PFM357" s="22"/>
      <c r="PFN357" s="22"/>
      <c r="PFO357" s="22"/>
      <c r="PFP357" s="22"/>
      <c r="PFQ357" s="22"/>
      <c r="PFR357" s="22"/>
      <c r="PFS357" s="22"/>
      <c r="PFT357" s="22"/>
      <c r="PFU357" s="22"/>
      <c r="PFV357" s="22"/>
      <c r="PFW357" s="22"/>
      <c r="PFX357" s="22"/>
      <c r="PFY357" s="22"/>
      <c r="PFZ357" s="22"/>
      <c r="PGA357" s="22"/>
      <c r="PGB357" s="22"/>
      <c r="PGC357" s="22"/>
      <c r="PGD357" s="22"/>
      <c r="PGE357" s="22"/>
      <c r="PGF357" s="22"/>
      <c r="PGG357" s="22"/>
      <c r="PGH357" s="22"/>
      <c r="PGI357" s="22"/>
      <c r="PGJ357" s="22"/>
      <c r="PGK357" s="22"/>
      <c r="PGL357" s="22"/>
      <c r="PGM357" s="22"/>
      <c r="PGN357" s="22"/>
      <c r="PGO357" s="22"/>
      <c r="PGP357" s="22"/>
      <c r="PGQ357" s="22"/>
      <c r="PGR357" s="22"/>
      <c r="PGS357" s="22"/>
      <c r="PGT357" s="22"/>
      <c r="PGU357" s="22"/>
      <c r="PGV357" s="22"/>
      <c r="PGW357" s="22"/>
      <c r="PGX357" s="22"/>
      <c r="PGY357" s="22"/>
      <c r="PGZ357" s="22"/>
      <c r="PHA357" s="22"/>
      <c r="PHB357" s="22"/>
      <c r="PHC357" s="22"/>
      <c r="PHD357" s="22"/>
      <c r="PHE357" s="22"/>
      <c r="PHF357" s="22"/>
      <c r="PHG357" s="22"/>
      <c r="PHH357" s="22"/>
      <c r="PHI357" s="22"/>
      <c r="PHJ357" s="22"/>
      <c r="PHK357" s="22"/>
      <c r="PHL357" s="22"/>
      <c r="PHM357" s="22"/>
      <c r="PHN357" s="22"/>
      <c r="PHO357" s="22"/>
      <c r="PHP357" s="22"/>
      <c r="PHQ357" s="22"/>
      <c r="PHR357" s="22"/>
      <c r="PHS357" s="22"/>
      <c r="PHT357" s="22"/>
      <c r="PHU357" s="22"/>
      <c r="PHV357" s="22"/>
      <c r="PHW357" s="22"/>
      <c r="PHX357" s="22"/>
      <c r="PHY357" s="22"/>
      <c r="PHZ357" s="22"/>
      <c r="PIA357" s="22"/>
      <c r="PIB357" s="22"/>
      <c r="PIC357" s="22"/>
      <c r="PID357" s="22"/>
      <c r="PIE357" s="22"/>
      <c r="PIF357" s="22"/>
      <c r="PIG357" s="22"/>
      <c r="PIH357" s="22"/>
      <c r="PII357" s="22"/>
      <c r="PIJ357" s="22"/>
      <c r="PIK357" s="22"/>
      <c r="PIL357" s="22"/>
      <c r="PIM357" s="22"/>
      <c r="PIN357" s="22"/>
      <c r="PIO357" s="22"/>
      <c r="PIP357" s="22"/>
      <c r="PIQ357" s="22"/>
      <c r="PIR357" s="22"/>
      <c r="PIS357" s="22"/>
      <c r="PIT357" s="22"/>
      <c r="PIU357" s="22"/>
      <c r="PIV357" s="22"/>
      <c r="PIW357" s="22"/>
      <c r="PIX357" s="22"/>
      <c r="PIY357" s="22"/>
      <c r="PIZ357" s="22"/>
      <c r="PJA357" s="22"/>
      <c r="PJB357" s="22"/>
      <c r="PJC357" s="22"/>
      <c r="PJD357" s="22"/>
      <c r="PJE357" s="22"/>
      <c r="PJF357" s="22"/>
      <c r="PJG357" s="22"/>
      <c r="PJH357" s="22"/>
      <c r="PJI357" s="22"/>
      <c r="PJJ357" s="22"/>
      <c r="PJK357" s="22"/>
      <c r="PJL357" s="22"/>
      <c r="PJM357" s="22"/>
      <c r="PJN357" s="22"/>
      <c r="PJO357" s="22"/>
      <c r="PJP357" s="22"/>
      <c r="PJQ357" s="22"/>
      <c r="PJR357" s="22"/>
      <c r="PJS357" s="22"/>
      <c r="PJT357" s="22"/>
      <c r="PJU357" s="22"/>
      <c r="PJV357" s="22"/>
      <c r="PJW357" s="22"/>
      <c r="PJX357" s="22"/>
      <c r="PJY357" s="22"/>
      <c r="PJZ357" s="22"/>
      <c r="PKA357" s="22"/>
      <c r="PKB357" s="22"/>
      <c r="PKC357" s="22"/>
      <c r="PKD357" s="22"/>
      <c r="PKE357" s="22"/>
      <c r="PKF357" s="22"/>
      <c r="PKG357" s="22"/>
      <c r="PKH357" s="22"/>
      <c r="PKI357" s="22"/>
      <c r="PKJ357" s="22"/>
      <c r="PKK357" s="22"/>
      <c r="PKL357" s="22"/>
      <c r="PKM357" s="22"/>
      <c r="PKN357" s="22"/>
      <c r="PKO357" s="22"/>
      <c r="PKP357" s="22"/>
      <c r="PKQ357" s="22"/>
      <c r="PKR357" s="22"/>
      <c r="PKS357" s="22"/>
      <c r="PKT357" s="22"/>
      <c r="PKU357" s="22"/>
      <c r="PKV357" s="22"/>
      <c r="PKW357" s="22"/>
      <c r="PKX357" s="22"/>
      <c r="PKY357" s="22"/>
      <c r="PKZ357" s="22"/>
      <c r="PLA357" s="22"/>
      <c r="PLB357" s="22"/>
      <c r="PLC357" s="22"/>
      <c r="PLD357" s="22"/>
      <c r="PLE357" s="22"/>
      <c r="PLF357" s="22"/>
      <c r="PLG357" s="22"/>
      <c r="PLH357" s="22"/>
      <c r="PLI357" s="22"/>
      <c r="PLJ357" s="22"/>
      <c r="PLK357" s="22"/>
      <c r="PLL357" s="22"/>
      <c r="PLM357" s="22"/>
      <c r="PLN357" s="22"/>
      <c r="PLO357" s="22"/>
      <c r="PLP357" s="22"/>
      <c r="PLQ357" s="22"/>
      <c r="PLR357" s="22"/>
      <c r="PLS357" s="22"/>
      <c r="PLT357" s="22"/>
      <c r="PLU357" s="22"/>
      <c r="PLV357" s="22"/>
      <c r="PLW357" s="22"/>
      <c r="PLX357" s="22"/>
      <c r="PLY357" s="22"/>
      <c r="PLZ357" s="22"/>
      <c r="PMA357" s="22"/>
      <c r="PMB357" s="22"/>
      <c r="PMC357" s="22"/>
      <c r="PMD357" s="22"/>
      <c r="PME357" s="22"/>
      <c r="PMF357" s="22"/>
      <c r="PMG357" s="22"/>
      <c r="PMH357" s="22"/>
      <c r="PMI357" s="22"/>
      <c r="PMJ357" s="22"/>
      <c r="PMK357" s="22"/>
      <c r="PML357" s="22"/>
      <c r="PMM357" s="22"/>
      <c r="PMN357" s="22"/>
      <c r="PMO357" s="22"/>
      <c r="PMP357" s="22"/>
      <c r="PMQ357" s="22"/>
      <c r="PMR357" s="22"/>
      <c r="PMS357" s="22"/>
      <c r="PMT357" s="22"/>
      <c r="PMU357" s="22"/>
      <c r="PMV357" s="22"/>
      <c r="PMW357" s="22"/>
      <c r="PMX357" s="22"/>
      <c r="PMY357" s="22"/>
      <c r="PMZ357" s="22"/>
      <c r="PNA357" s="22"/>
      <c r="PNB357" s="22"/>
      <c r="PNC357" s="22"/>
      <c r="PND357" s="22"/>
      <c r="PNE357" s="22"/>
      <c r="PNF357" s="22"/>
      <c r="PNG357" s="22"/>
      <c r="PNH357" s="22"/>
      <c r="PNI357" s="22"/>
      <c r="PNJ357" s="22"/>
      <c r="PNK357" s="22"/>
      <c r="PNL357" s="22"/>
      <c r="PNM357" s="22"/>
      <c r="PNN357" s="22"/>
      <c r="PNO357" s="22"/>
      <c r="PNP357" s="22"/>
      <c r="PNQ357" s="22"/>
      <c r="PNR357" s="22"/>
      <c r="PNS357" s="22"/>
      <c r="PNT357" s="22"/>
      <c r="PNU357" s="22"/>
      <c r="PNV357" s="22"/>
      <c r="PNW357" s="22"/>
      <c r="PNX357" s="22"/>
      <c r="PNY357" s="22"/>
      <c r="PNZ357" s="22"/>
      <c r="POA357" s="22"/>
      <c r="POB357" s="22"/>
      <c r="POC357" s="22"/>
      <c r="POD357" s="22"/>
      <c r="POE357" s="22"/>
      <c r="POF357" s="22"/>
      <c r="POG357" s="22"/>
      <c r="POH357" s="22"/>
      <c r="POI357" s="22"/>
      <c r="POJ357" s="22"/>
      <c r="POK357" s="22"/>
      <c r="POL357" s="22"/>
      <c r="POM357" s="22"/>
      <c r="PON357" s="22"/>
      <c r="POO357" s="22"/>
      <c r="POP357" s="22"/>
      <c r="POQ357" s="22"/>
      <c r="POR357" s="22"/>
      <c r="POS357" s="22"/>
      <c r="POT357" s="22"/>
      <c r="POU357" s="22"/>
      <c r="POV357" s="22"/>
      <c r="POW357" s="22"/>
      <c r="POX357" s="22"/>
      <c r="POY357" s="22"/>
      <c r="POZ357" s="22"/>
      <c r="PPA357" s="22"/>
      <c r="PPB357" s="22"/>
      <c r="PPC357" s="22"/>
      <c r="PPD357" s="22"/>
      <c r="PPE357" s="22"/>
      <c r="PPF357" s="22"/>
      <c r="PPG357" s="22"/>
      <c r="PPH357" s="22"/>
      <c r="PPI357" s="22"/>
      <c r="PPJ357" s="22"/>
      <c r="PPK357" s="22"/>
      <c r="PPL357" s="22"/>
      <c r="PPM357" s="22"/>
      <c r="PPN357" s="22"/>
      <c r="PPO357" s="22"/>
      <c r="PPP357" s="22"/>
      <c r="PPQ357" s="22"/>
      <c r="PPR357" s="22"/>
      <c r="PPS357" s="22"/>
      <c r="PPT357" s="22"/>
      <c r="PPU357" s="22"/>
      <c r="PPV357" s="22"/>
      <c r="PPW357" s="22"/>
      <c r="PPX357" s="22"/>
      <c r="PPY357" s="22"/>
      <c r="PPZ357" s="22"/>
      <c r="PQA357" s="22"/>
      <c r="PQB357" s="22"/>
      <c r="PQC357" s="22"/>
      <c r="PQD357" s="22"/>
      <c r="PQE357" s="22"/>
      <c r="PQF357" s="22"/>
      <c r="PQG357" s="22"/>
      <c r="PQH357" s="22"/>
      <c r="PQI357" s="22"/>
      <c r="PQJ357" s="22"/>
      <c r="PQK357" s="22"/>
      <c r="PQL357" s="22"/>
      <c r="PQM357" s="22"/>
      <c r="PQN357" s="22"/>
      <c r="PQO357" s="22"/>
      <c r="PQP357" s="22"/>
      <c r="PQQ357" s="22"/>
      <c r="PQR357" s="22"/>
      <c r="PQS357" s="22"/>
      <c r="PQT357" s="22"/>
      <c r="PQU357" s="22"/>
      <c r="PQV357" s="22"/>
      <c r="PQW357" s="22"/>
      <c r="PQX357" s="22"/>
      <c r="PQY357" s="22"/>
      <c r="PQZ357" s="22"/>
      <c r="PRA357" s="22"/>
      <c r="PRB357" s="22"/>
      <c r="PRC357" s="22"/>
      <c r="PRD357" s="22"/>
      <c r="PRE357" s="22"/>
      <c r="PRF357" s="22"/>
      <c r="PRG357" s="22"/>
      <c r="PRH357" s="22"/>
      <c r="PRI357" s="22"/>
      <c r="PRJ357" s="22"/>
      <c r="PRK357" s="22"/>
      <c r="PRL357" s="22"/>
      <c r="PRM357" s="22"/>
      <c r="PRN357" s="22"/>
      <c r="PRO357" s="22"/>
      <c r="PRP357" s="22"/>
      <c r="PRQ357" s="22"/>
      <c r="PRR357" s="22"/>
      <c r="PRS357" s="22"/>
      <c r="PRT357" s="22"/>
      <c r="PRU357" s="22"/>
      <c r="PRV357" s="22"/>
      <c r="PRW357" s="22"/>
      <c r="PRX357" s="22"/>
      <c r="PRY357" s="22"/>
      <c r="PRZ357" s="22"/>
      <c r="PSA357" s="22"/>
      <c r="PSB357" s="22"/>
      <c r="PSC357" s="22"/>
      <c r="PSD357" s="22"/>
      <c r="PSE357" s="22"/>
      <c r="PSF357" s="22"/>
      <c r="PSG357" s="22"/>
      <c r="PSH357" s="22"/>
      <c r="PSI357" s="22"/>
      <c r="PSJ357" s="22"/>
      <c r="PSK357" s="22"/>
      <c r="PSL357" s="22"/>
      <c r="PSM357" s="22"/>
      <c r="PSN357" s="22"/>
      <c r="PSO357" s="22"/>
      <c r="PSP357" s="22"/>
      <c r="PSQ357" s="22"/>
      <c r="PSR357" s="22"/>
      <c r="PSS357" s="22"/>
      <c r="PST357" s="22"/>
      <c r="PSU357" s="22"/>
      <c r="PSV357" s="22"/>
      <c r="PSW357" s="22"/>
      <c r="PSX357" s="22"/>
      <c r="PSY357" s="22"/>
      <c r="PSZ357" s="22"/>
      <c r="PTA357" s="22"/>
      <c r="PTB357" s="22"/>
      <c r="PTC357" s="22"/>
      <c r="PTD357" s="22"/>
      <c r="PTE357" s="22"/>
      <c r="PTF357" s="22"/>
      <c r="PTG357" s="22"/>
      <c r="PTH357" s="22"/>
      <c r="PTI357" s="22"/>
      <c r="PTJ357" s="22"/>
      <c r="PTK357" s="22"/>
      <c r="PTL357" s="22"/>
      <c r="PTM357" s="22"/>
      <c r="PTN357" s="22"/>
      <c r="PTO357" s="22"/>
      <c r="PTP357" s="22"/>
      <c r="PTQ357" s="22"/>
      <c r="PTR357" s="22"/>
      <c r="PTS357" s="22"/>
      <c r="PTT357" s="22"/>
      <c r="PTU357" s="22"/>
      <c r="PTV357" s="22"/>
      <c r="PTW357" s="22"/>
      <c r="PTX357" s="22"/>
      <c r="PTY357" s="22"/>
      <c r="PTZ357" s="22"/>
      <c r="PUA357" s="22"/>
      <c r="PUB357" s="22"/>
      <c r="PUC357" s="22"/>
      <c r="PUD357" s="22"/>
      <c r="PUE357" s="22"/>
      <c r="PUF357" s="22"/>
      <c r="PUG357" s="22"/>
      <c r="PUH357" s="22"/>
      <c r="PUI357" s="22"/>
      <c r="PUJ357" s="22"/>
      <c r="PUK357" s="22"/>
      <c r="PUL357" s="22"/>
      <c r="PUM357" s="22"/>
      <c r="PUN357" s="22"/>
      <c r="PUO357" s="22"/>
      <c r="PUP357" s="22"/>
      <c r="PUQ357" s="22"/>
      <c r="PUR357" s="22"/>
      <c r="PUS357" s="22"/>
      <c r="PUT357" s="22"/>
      <c r="PUU357" s="22"/>
      <c r="PUV357" s="22"/>
      <c r="PUW357" s="22"/>
      <c r="PUX357" s="22"/>
      <c r="PUY357" s="22"/>
      <c r="PUZ357" s="22"/>
      <c r="PVA357" s="22"/>
      <c r="PVB357" s="22"/>
      <c r="PVC357" s="22"/>
      <c r="PVD357" s="22"/>
      <c r="PVE357" s="22"/>
      <c r="PVF357" s="22"/>
      <c r="PVG357" s="22"/>
      <c r="PVH357" s="22"/>
      <c r="PVI357" s="22"/>
      <c r="PVJ357" s="22"/>
      <c r="PVK357" s="22"/>
      <c r="PVL357" s="22"/>
      <c r="PVM357" s="22"/>
      <c r="PVN357" s="22"/>
      <c r="PVO357" s="22"/>
      <c r="PVP357" s="22"/>
      <c r="PVQ357" s="22"/>
      <c r="PVR357" s="22"/>
      <c r="PVS357" s="22"/>
      <c r="PVT357" s="22"/>
      <c r="PVU357" s="22"/>
      <c r="PVV357" s="22"/>
      <c r="PVW357" s="22"/>
      <c r="PVX357" s="22"/>
      <c r="PVY357" s="22"/>
      <c r="PVZ357" s="22"/>
      <c r="PWA357" s="22"/>
      <c r="PWB357" s="22"/>
      <c r="PWC357" s="22"/>
      <c r="PWD357" s="22"/>
      <c r="PWE357" s="22"/>
      <c r="PWF357" s="22"/>
      <c r="PWG357" s="22"/>
      <c r="PWH357" s="22"/>
      <c r="PWI357" s="22"/>
      <c r="PWJ357" s="22"/>
      <c r="PWK357" s="22"/>
      <c r="PWL357" s="22"/>
      <c r="PWM357" s="22"/>
      <c r="PWN357" s="22"/>
      <c r="PWO357" s="22"/>
      <c r="PWP357" s="22"/>
      <c r="PWQ357" s="22"/>
      <c r="PWR357" s="22"/>
      <c r="PWS357" s="22"/>
      <c r="PWT357" s="22"/>
      <c r="PWU357" s="22"/>
      <c r="PWV357" s="22"/>
      <c r="PWW357" s="22"/>
      <c r="PWX357" s="22"/>
      <c r="PWY357" s="22"/>
      <c r="PWZ357" s="22"/>
      <c r="PXA357" s="22"/>
      <c r="PXB357" s="22"/>
      <c r="PXC357" s="22"/>
      <c r="PXD357" s="22"/>
      <c r="PXE357" s="22"/>
      <c r="PXF357" s="22"/>
      <c r="PXG357" s="22"/>
      <c r="PXH357" s="22"/>
      <c r="PXI357" s="22"/>
      <c r="PXJ357" s="22"/>
      <c r="PXK357" s="22"/>
      <c r="PXL357" s="22"/>
      <c r="PXM357" s="22"/>
      <c r="PXN357" s="22"/>
      <c r="PXO357" s="22"/>
      <c r="PXP357" s="22"/>
      <c r="PXQ357" s="22"/>
      <c r="PXR357" s="22"/>
      <c r="PXS357" s="22"/>
      <c r="PXT357" s="22"/>
      <c r="PXU357" s="22"/>
      <c r="PXV357" s="22"/>
      <c r="PXW357" s="22"/>
      <c r="PXX357" s="22"/>
      <c r="PXY357" s="22"/>
      <c r="PXZ357" s="22"/>
      <c r="PYA357" s="22"/>
      <c r="PYB357" s="22"/>
      <c r="PYC357" s="22"/>
      <c r="PYD357" s="22"/>
      <c r="PYE357" s="22"/>
      <c r="PYF357" s="22"/>
      <c r="PYG357" s="22"/>
      <c r="PYH357" s="22"/>
      <c r="PYI357" s="22"/>
      <c r="PYJ357" s="22"/>
      <c r="PYK357" s="22"/>
      <c r="PYL357" s="22"/>
      <c r="PYM357" s="22"/>
      <c r="PYN357" s="22"/>
      <c r="PYO357" s="22"/>
      <c r="PYP357" s="22"/>
      <c r="PYQ357" s="22"/>
      <c r="PYR357" s="22"/>
      <c r="PYS357" s="22"/>
      <c r="PYT357" s="22"/>
      <c r="PYU357" s="22"/>
      <c r="PYV357" s="22"/>
      <c r="PYW357" s="22"/>
      <c r="PYX357" s="22"/>
      <c r="PYY357" s="22"/>
      <c r="PYZ357" s="22"/>
      <c r="PZA357" s="22"/>
      <c r="PZB357" s="22"/>
      <c r="PZC357" s="22"/>
      <c r="PZD357" s="22"/>
      <c r="PZE357" s="22"/>
      <c r="PZF357" s="22"/>
      <c r="PZG357" s="22"/>
      <c r="PZH357" s="22"/>
      <c r="PZI357" s="22"/>
      <c r="PZJ357" s="22"/>
      <c r="PZK357" s="22"/>
      <c r="PZL357" s="22"/>
      <c r="PZM357" s="22"/>
      <c r="PZN357" s="22"/>
      <c r="PZO357" s="22"/>
      <c r="PZP357" s="22"/>
      <c r="PZQ357" s="22"/>
      <c r="PZR357" s="22"/>
      <c r="PZS357" s="22"/>
      <c r="PZT357" s="22"/>
      <c r="PZU357" s="22"/>
      <c r="PZV357" s="22"/>
      <c r="PZW357" s="22"/>
      <c r="PZX357" s="22"/>
      <c r="PZY357" s="22"/>
      <c r="PZZ357" s="22"/>
      <c r="QAA357" s="22"/>
      <c r="QAB357" s="22"/>
      <c r="QAC357" s="22"/>
      <c r="QAD357" s="22"/>
      <c r="QAE357" s="22"/>
      <c r="QAF357" s="22"/>
      <c r="QAG357" s="22"/>
      <c r="QAH357" s="22"/>
      <c r="QAI357" s="22"/>
      <c r="QAJ357" s="22"/>
      <c r="QAK357" s="22"/>
      <c r="QAL357" s="22"/>
      <c r="QAM357" s="22"/>
      <c r="QAN357" s="22"/>
      <c r="QAO357" s="22"/>
      <c r="QAP357" s="22"/>
      <c r="QAQ357" s="22"/>
      <c r="QAR357" s="22"/>
      <c r="QAS357" s="22"/>
      <c r="QAT357" s="22"/>
      <c r="QAU357" s="22"/>
      <c r="QAV357" s="22"/>
      <c r="QAW357" s="22"/>
      <c r="QAX357" s="22"/>
      <c r="QAY357" s="22"/>
      <c r="QAZ357" s="22"/>
      <c r="QBA357" s="22"/>
      <c r="QBB357" s="22"/>
      <c r="QBC357" s="22"/>
      <c r="QBD357" s="22"/>
      <c r="QBE357" s="22"/>
      <c r="QBF357" s="22"/>
      <c r="QBG357" s="22"/>
      <c r="QBH357" s="22"/>
      <c r="QBI357" s="22"/>
      <c r="QBJ357" s="22"/>
      <c r="QBK357" s="22"/>
      <c r="QBL357" s="22"/>
      <c r="QBM357" s="22"/>
      <c r="QBN357" s="22"/>
      <c r="QBO357" s="22"/>
      <c r="QBP357" s="22"/>
      <c r="QBQ357" s="22"/>
      <c r="QBR357" s="22"/>
      <c r="QBS357" s="22"/>
      <c r="QBT357" s="22"/>
      <c r="QBU357" s="22"/>
      <c r="QBV357" s="22"/>
      <c r="QBW357" s="22"/>
      <c r="QBX357" s="22"/>
      <c r="QBY357" s="22"/>
      <c r="QBZ357" s="22"/>
      <c r="QCA357" s="22"/>
      <c r="QCB357" s="22"/>
      <c r="QCC357" s="22"/>
      <c r="QCD357" s="22"/>
      <c r="QCE357" s="22"/>
      <c r="QCF357" s="22"/>
      <c r="QCG357" s="22"/>
      <c r="QCH357" s="22"/>
      <c r="QCI357" s="22"/>
      <c r="QCJ357" s="22"/>
      <c r="QCK357" s="22"/>
      <c r="QCL357" s="22"/>
      <c r="QCM357" s="22"/>
      <c r="QCN357" s="22"/>
      <c r="QCO357" s="22"/>
      <c r="QCP357" s="22"/>
      <c r="QCQ357" s="22"/>
      <c r="QCR357" s="22"/>
      <c r="QCS357" s="22"/>
      <c r="QCT357" s="22"/>
      <c r="QCU357" s="22"/>
      <c r="QCV357" s="22"/>
      <c r="QCW357" s="22"/>
      <c r="QCX357" s="22"/>
      <c r="QCY357" s="22"/>
      <c r="QCZ357" s="22"/>
      <c r="QDA357" s="22"/>
      <c r="QDB357" s="22"/>
      <c r="QDC357" s="22"/>
      <c r="QDD357" s="22"/>
      <c r="QDE357" s="22"/>
      <c r="QDF357" s="22"/>
      <c r="QDG357" s="22"/>
      <c r="QDH357" s="22"/>
      <c r="QDI357" s="22"/>
      <c r="QDJ357" s="22"/>
      <c r="QDK357" s="22"/>
      <c r="QDL357" s="22"/>
      <c r="QDM357" s="22"/>
      <c r="QDN357" s="22"/>
      <c r="QDO357" s="22"/>
      <c r="QDP357" s="22"/>
      <c r="QDQ357" s="22"/>
      <c r="QDR357" s="22"/>
      <c r="QDS357" s="22"/>
      <c r="QDT357" s="22"/>
      <c r="QDU357" s="22"/>
      <c r="QDV357" s="22"/>
      <c r="QDW357" s="22"/>
      <c r="QDX357" s="22"/>
      <c r="QDY357" s="22"/>
      <c r="QDZ357" s="22"/>
      <c r="QEA357" s="22"/>
      <c r="QEB357" s="22"/>
      <c r="QEC357" s="22"/>
      <c r="QED357" s="22"/>
      <c r="QEE357" s="22"/>
      <c r="QEF357" s="22"/>
      <c r="QEG357" s="22"/>
      <c r="QEH357" s="22"/>
      <c r="QEI357" s="22"/>
      <c r="QEJ357" s="22"/>
      <c r="QEK357" s="22"/>
      <c r="QEL357" s="22"/>
      <c r="QEM357" s="22"/>
      <c r="QEN357" s="22"/>
      <c r="QEO357" s="22"/>
      <c r="QEP357" s="22"/>
      <c r="QEQ357" s="22"/>
      <c r="QER357" s="22"/>
      <c r="QES357" s="22"/>
      <c r="QET357" s="22"/>
      <c r="QEU357" s="22"/>
      <c r="QEV357" s="22"/>
      <c r="QEW357" s="22"/>
      <c r="QEX357" s="22"/>
      <c r="QEY357" s="22"/>
      <c r="QEZ357" s="22"/>
      <c r="QFA357" s="22"/>
      <c r="QFB357" s="22"/>
      <c r="QFC357" s="22"/>
      <c r="QFD357" s="22"/>
      <c r="QFE357" s="22"/>
      <c r="QFF357" s="22"/>
      <c r="QFG357" s="22"/>
      <c r="QFH357" s="22"/>
      <c r="QFI357" s="22"/>
      <c r="QFJ357" s="22"/>
      <c r="QFK357" s="22"/>
      <c r="QFL357" s="22"/>
      <c r="QFM357" s="22"/>
      <c r="QFN357" s="22"/>
      <c r="QFO357" s="22"/>
      <c r="QFP357" s="22"/>
      <c r="QFQ357" s="22"/>
      <c r="QFR357" s="22"/>
      <c r="QFS357" s="22"/>
      <c r="QFT357" s="22"/>
      <c r="QFU357" s="22"/>
      <c r="QFV357" s="22"/>
      <c r="QFW357" s="22"/>
      <c r="QFX357" s="22"/>
      <c r="QFY357" s="22"/>
      <c r="QFZ357" s="22"/>
      <c r="QGA357" s="22"/>
      <c r="QGB357" s="22"/>
      <c r="QGC357" s="22"/>
      <c r="QGD357" s="22"/>
      <c r="QGE357" s="22"/>
      <c r="QGF357" s="22"/>
      <c r="QGG357" s="22"/>
      <c r="QGH357" s="22"/>
      <c r="QGI357" s="22"/>
      <c r="QGJ357" s="22"/>
      <c r="QGK357" s="22"/>
      <c r="QGL357" s="22"/>
      <c r="QGM357" s="22"/>
      <c r="QGN357" s="22"/>
      <c r="QGO357" s="22"/>
      <c r="QGP357" s="22"/>
      <c r="QGQ357" s="22"/>
      <c r="QGR357" s="22"/>
      <c r="QGS357" s="22"/>
      <c r="QGT357" s="22"/>
      <c r="QGU357" s="22"/>
      <c r="QGV357" s="22"/>
      <c r="QGW357" s="22"/>
      <c r="QGX357" s="22"/>
      <c r="QGY357" s="22"/>
      <c r="QGZ357" s="22"/>
      <c r="QHA357" s="22"/>
      <c r="QHB357" s="22"/>
      <c r="QHC357" s="22"/>
      <c r="QHD357" s="22"/>
      <c r="QHE357" s="22"/>
      <c r="QHF357" s="22"/>
      <c r="QHG357" s="22"/>
      <c r="QHH357" s="22"/>
      <c r="QHI357" s="22"/>
      <c r="QHJ357" s="22"/>
      <c r="QHK357" s="22"/>
      <c r="QHL357" s="22"/>
      <c r="QHM357" s="22"/>
      <c r="QHN357" s="22"/>
      <c r="QHO357" s="22"/>
      <c r="QHP357" s="22"/>
      <c r="QHQ357" s="22"/>
      <c r="QHR357" s="22"/>
      <c r="QHS357" s="22"/>
      <c r="QHT357" s="22"/>
      <c r="QHU357" s="22"/>
      <c r="QHV357" s="22"/>
      <c r="QHW357" s="22"/>
      <c r="QHX357" s="22"/>
      <c r="QHY357" s="22"/>
      <c r="QHZ357" s="22"/>
      <c r="QIA357" s="22"/>
      <c r="QIB357" s="22"/>
      <c r="QIC357" s="22"/>
      <c r="QID357" s="22"/>
      <c r="QIE357" s="22"/>
      <c r="QIF357" s="22"/>
      <c r="QIG357" s="22"/>
      <c r="QIH357" s="22"/>
      <c r="QII357" s="22"/>
      <c r="QIJ357" s="22"/>
      <c r="QIK357" s="22"/>
      <c r="QIL357" s="22"/>
      <c r="QIM357" s="22"/>
      <c r="QIN357" s="22"/>
      <c r="QIO357" s="22"/>
      <c r="QIP357" s="22"/>
      <c r="QIQ357" s="22"/>
      <c r="QIR357" s="22"/>
      <c r="QIS357" s="22"/>
      <c r="QIT357" s="22"/>
      <c r="QIU357" s="22"/>
      <c r="QIV357" s="22"/>
      <c r="QIW357" s="22"/>
      <c r="QIX357" s="22"/>
      <c r="QIY357" s="22"/>
      <c r="QIZ357" s="22"/>
      <c r="QJA357" s="22"/>
      <c r="QJB357" s="22"/>
      <c r="QJC357" s="22"/>
      <c r="QJD357" s="22"/>
      <c r="QJE357" s="22"/>
      <c r="QJF357" s="22"/>
      <c r="QJG357" s="22"/>
      <c r="QJH357" s="22"/>
      <c r="QJI357" s="22"/>
      <c r="QJJ357" s="22"/>
      <c r="QJK357" s="22"/>
      <c r="QJL357" s="22"/>
      <c r="QJM357" s="22"/>
      <c r="QJN357" s="22"/>
      <c r="QJO357" s="22"/>
      <c r="QJP357" s="22"/>
      <c r="QJQ357" s="22"/>
      <c r="QJR357" s="22"/>
      <c r="QJS357" s="22"/>
      <c r="QJT357" s="22"/>
      <c r="QJU357" s="22"/>
      <c r="QJV357" s="22"/>
      <c r="QJW357" s="22"/>
      <c r="QJX357" s="22"/>
      <c r="QJY357" s="22"/>
      <c r="QJZ357" s="22"/>
      <c r="QKA357" s="22"/>
      <c r="QKB357" s="22"/>
      <c r="QKC357" s="22"/>
      <c r="QKD357" s="22"/>
      <c r="QKE357" s="22"/>
      <c r="QKF357" s="22"/>
      <c r="QKG357" s="22"/>
      <c r="QKH357" s="22"/>
      <c r="QKI357" s="22"/>
      <c r="QKJ357" s="22"/>
      <c r="QKK357" s="22"/>
      <c r="QKL357" s="22"/>
      <c r="QKM357" s="22"/>
      <c r="QKN357" s="22"/>
      <c r="QKO357" s="22"/>
      <c r="QKP357" s="22"/>
      <c r="QKQ357" s="22"/>
      <c r="QKR357" s="22"/>
      <c r="QKS357" s="22"/>
      <c r="QKT357" s="22"/>
      <c r="QKU357" s="22"/>
      <c r="QKV357" s="22"/>
      <c r="QKW357" s="22"/>
      <c r="QKX357" s="22"/>
      <c r="QKY357" s="22"/>
      <c r="QKZ357" s="22"/>
      <c r="QLA357" s="22"/>
      <c r="QLB357" s="22"/>
      <c r="QLC357" s="22"/>
      <c r="QLD357" s="22"/>
      <c r="QLE357" s="22"/>
      <c r="QLF357" s="22"/>
      <c r="QLG357" s="22"/>
      <c r="QLH357" s="22"/>
      <c r="QLI357" s="22"/>
      <c r="QLJ357" s="22"/>
      <c r="QLK357" s="22"/>
      <c r="QLL357" s="22"/>
      <c r="QLM357" s="22"/>
      <c r="QLN357" s="22"/>
      <c r="QLO357" s="22"/>
      <c r="QLP357" s="22"/>
      <c r="QLQ357" s="22"/>
      <c r="QLR357" s="22"/>
      <c r="QLS357" s="22"/>
      <c r="QLT357" s="22"/>
      <c r="QLU357" s="22"/>
      <c r="QLV357" s="22"/>
      <c r="QLW357" s="22"/>
      <c r="QLX357" s="22"/>
      <c r="QLY357" s="22"/>
      <c r="QLZ357" s="22"/>
      <c r="QMA357" s="22"/>
      <c r="QMB357" s="22"/>
      <c r="QMC357" s="22"/>
      <c r="QMD357" s="22"/>
      <c r="QME357" s="22"/>
      <c r="QMF357" s="22"/>
      <c r="QMG357" s="22"/>
      <c r="QMH357" s="22"/>
      <c r="QMI357" s="22"/>
      <c r="QMJ357" s="22"/>
      <c r="QMK357" s="22"/>
      <c r="QML357" s="22"/>
      <c r="QMM357" s="22"/>
      <c r="QMN357" s="22"/>
      <c r="QMO357" s="22"/>
      <c r="QMP357" s="22"/>
      <c r="QMQ357" s="22"/>
      <c r="QMR357" s="22"/>
      <c r="QMS357" s="22"/>
      <c r="QMT357" s="22"/>
      <c r="QMU357" s="22"/>
      <c r="QMV357" s="22"/>
      <c r="QMW357" s="22"/>
      <c r="QMX357" s="22"/>
      <c r="QMY357" s="22"/>
      <c r="QMZ357" s="22"/>
      <c r="QNA357" s="22"/>
      <c r="QNB357" s="22"/>
      <c r="QNC357" s="22"/>
      <c r="QND357" s="22"/>
      <c r="QNE357" s="22"/>
      <c r="QNF357" s="22"/>
      <c r="QNG357" s="22"/>
      <c r="QNH357" s="22"/>
      <c r="QNI357" s="22"/>
      <c r="QNJ357" s="22"/>
      <c r="QNK357" s="22"/>
      <c r="QNL357" s="22"/>
      <c r="QNM357" s="22"/>
      <c r="QNN357" s="22"/>
      <c r="QNO357" s="22"/>
      <c r="QNP357" s="22"/>
      <c r="QNQ357" s="22"/>
      <c r="QNR357" s="22"/>
      <c r="QNS357" s="22"/>
      <c r="QNT357" s="22"/>
      <c r="QNU357" s="22"/>
      <c r="QNV357" s="22"/>
      <c r="QNW357" s="22"/>
      <c r="QNX357" s="22"/>
      <c r="QNY357" s="22"/>
      <c r="QNZ357" s="22"/>
      <c r="QOA357" s="22"/>
      <c r="QOB357" s="22"/>
      <c r="QOC357" s="22"/>
      <c r="QOD357" s="22"/>
      <c r="QOE357" s="22"/>
      <c r="QOF357" s="22"/>
      <c r="QOG357" s="22"/>
      <c r="QOH357" s="22"/>
      <c r="QOI357" s="22"/>
      <c r="QOJ357" s="22"/>
      <c r="QOK357" s="22"/>
      <c r="QOL357" s="22"/>
      <c r="QOM357" s="22"/>
      <c r="QON357" s="22"/>
      <c r="QOO357" s="22"/>
      <c r="QOP357" s="22"/>
      <c r="QOQ357" s="22"/>
      <c r="QOR357" s="22"/>
      <c r="QOS357" s="22"/>
      <c r="QOT357" s="22"/>
      <c r="QOU357" s="22"/>
      <c r="QOV357" s="22"/>
      <c r="QOW357" s="22"/>
      <c r="QOX357" s="22"/>
      <c r="QOY357" s="22"/>
      <c r="QOZ357" s="22"/>
      <c r="QPA357" s="22"/>
      <c r="QPB357" s="22"/>
      <c r="QPC357" s="22"/>
      <c r="QPD357" s="22"/>
      <c r="QPE357" s="22"/>
      <c r="QPF357" s="22"/>
      <c r="QPG357" s="22"/>
      <c r="QPH357" s="22"/>
      <c r="QPI357" s="22"/>
      <c r="QPJ357" s="22"/>
      <c r="QPK357" s="22"/>
      <c r="QPL357" s="22"/>
      <c r="QPM357" s="22"/>
      <c r="QPN357" s="22"/>
      <c r="QPO357" s="22"/>
      <c r="QPP357" s="22"/>
      <c r="QPQ357" s="22"/>
      <c r="QPR357" s="22"/>
      <c r="QPS357" s="22"/>
      <c r="QPT357" s="22"/>
      <c r="QPU357" s="22"/>
      <c r="QPV357" s="22"/>
      <c r="QPW357" s="22"/>
      <c r="QPX357" s="22"/>
      <c r="QPY357" s="22"/>
      <c r="QPZ357" s="22"/>
      <c r="QQA357" s="22"/>
      <c r="QQB357" s="22"/>
      <c r="QQC357" s="22"/>
      <c r="QQD357" s="22"/>
      <c r="QQE357" s="22"/>
      <c r="QQF357" s="22"/>
      <c r="QQG357" s="22"/>
      <c r="QQH357" s="22"/>
      <c r="QQI357" s="22"/>
      <c r="QQJ357" s="22"/>
      <c r="QQK357" s="22"/>
      <c r="QQL357" s="22"/>
      <c r="QQM357" s="22"/>
      <c r="QQN357" s="22"/>
      <c r="QQO357" s="22"/>
      <c r="QQP357" s="22"/>
      <c r="QQQ357" s="22"/>
      <c r="QQR357" s="22"/>
      <c r="QQS357" s="22"/>
      <c r="QQT357" s="22"/>
      <c r="QQU357" s="22"/>
      <c r="QQV357" s="22"/>
      <c r="QQW357" s="22"/>
      <c r="QQX357" s="22"/>
      <c r="QQY357" s="22"/>
      <c r="QQZ357" s="22"/>
      <c r="QRA357" s="22"/>
      <c r="QRB357" s="22"/>
      <c r="QRC357" s="22"/>
      <c r="QRD357" s="22"/>
      <c r="QRE357" s="22"/>
      <c r="QRF357" s="22"/>
      <c r="QRG357" s="22"/>
      <c r="QRH357" s="22"/>
      <c r="QRI357" s="22"/>
      <c r="QRJ357" s="22"/>
      <c r="QRK357" s="22"/>
      <c r="QRL357" s="22"/>
      <c r="QRM357" s="22"/>
      <c r="QRN357" s="22"/>
      <c r="QRO357" s="22"/>
      <c r="QRP357" s="22"/>
      <c r="QRQ357" s="22"/>
      <c r="QRR357" s="22"/>
      <c r="QRS357" s="22"/>
      <c r="QRT357" s="22"/>
      <c r="QRU357" s="22"/>
      <c r="QRV357" s="22"/>
      <c r="QRW357" s="22"/>
      <c r="QRX357" s="22"/>
      <c r="QRY357" s="22"/>
      <c r="QRZ357" s="22"/>
      <c r="QSA357" s="22"/>
      <c r="QSB357" s="22"/>
      <c r="QSC357" s="22"/>
      <c r="QSD357" s="22"/>
      <c r="QSE357" s="22"/>
      <c r="QSF357" s="22"/>
      <c r="QSG357" s="22"/>
      <c r="QSH357" s="22"/>
      <c r="QSI357" s="22"/>
      <c r="QSJ357" s="22"/>
      <c r="QSK357" s="22"/>
      <c r="QSL357" s="22"/>
      <c r="QSM357" s="22"/>
      <c r="QSN357" s="22"/>
      <c r="QSO357" s="22"/>
      <c r="QSP357" s="22"/>
      <c r="QSQ357" s="22"/>
      <c r="QSR357" s="22"/>
      <c r="QSS357" s="22"/>
      <c r="QST357" s="22"/>
      <c r="QSU357" s="22"/>
      <c r="QSV357" s="22"/>
      <c r="QSW357" s="22"/>
      <c r="QSX357" s="22"/>
      <c r="QSY357" s="22"/>
      <c r="QSZ357" s="22"/>
      <c r="QTA357" s="22"/>
      <c r="QTB357" s="22"/>
      <c r="QTC357" s="22"/>
      <c r="QTD357" s="22"/>
      <c r="QTE357" s="22"/>
      <c r="QTF357" s="22"/>
      <c r="QTG357" s="22"/>
      <c r="QTH357" s="22"/>
      <c r="QTI357" s="22"/>
      <c r="QTJ357" s="22"/>
      <c r="QTK357" s="22"/>
      <c r="QTL357" s="22"/>
      <c r="QTM357" s="22"/>
      <c r="QTN357" s="22"/>
      <c r="QTO357" s="22"/>
      <c r="QTP357" s="22"/>
      <c r="QTQ357" s="22"/>
      <c r="QTR357" s="22"/>
      <c r="QTS357" s="22"/>
      <c r="QTT357" s="22"/>
      <c r="QTU357" s="22"/>
      <c r="QTV357" s="22"/>
      <c r="QTW357" s="22"/>
      <c r="QTX357" s="22"/>
      <c r="QTY357" s="22"/>
      <c r="QTZ357" s="22"/>
      <c r="QUA357" s="22"/>
      <c r="QUB357" s="22"/>
      <c r="QUC357" s="22"/>
      <c r="QUD357" s="22"/>
      <c r="QUE357" s="22"/>
      <c r="QUF357" s="22"/>
      <c r="QUG357" s="22"/>
      <c r="QUH357" s="22"/>
      <c r="QUI357" s="22"/>
      <c r="QUJ357" s="22"/>
      <c r="QUK357" s="22"/>
      <c r="QUL357" s="22"/>
      <c r="QUM357" s="22"/>
      <c r="QUN357" s="22"/>
      <c r="QUO357" s="22"/>
      <c r="QUP357" s="22"/>
      <c r="QUQ357" s="22"/>
      <c r="QUR357" s="22"/>
      <c r="QUS357" s="22"/>
      <c r="QUT357" s="22"/>
      <c r="QUU357" s="22"/>
      <c r="QUV357" s="22"/>
      <c r="QUW357" s="22"/>
      <c r="QUX357" s="22"/>
      <c r="QUY357" s="22"/>
      <c r="QUZ357" s="22"/>
      <c r="QVA357" s="22"/>
      <c r="QVB357" s="22"/>
      <c r="QVC357" s="22"/>
      <c r="QVD357" s="22"/>
      <c r="QVE357" s="22"/>
      <c r="QVF357" s="22"/>
      <c r="QVG357" s="22"/>
      <c r="QVH357" s="22"/>
      <c r="QVI357" s="22"/>
      <c r="QVJ357" s="22"/>
      <c r="QVK357" s="22"/>
      <c r="QVL357" s="22"/>
      <c r="QVM357" s="22"/>
      <c r="QVN357" s="22"/>
      <c r="QVO357" s="22"/>
      <c r="QVP357" s="22"/>
      <c r="QVQ357" s="22"/>
      <c r="QVR357" s="22"/>
      <c r="QVS357" s="22"/>
      <c r="QVT357" s="22"/>
      <c r="QVU357" s="22"/>
      <c r="QVV357" s="22"/>
      <c r="QVW357" s="22"/>
      <c r="QVX357" s="22"/>
      <c r="QVY357" s="22"/>
      <c r="QVZ357" s="22"/>
      <c r="QWA357" s="22"/>
      <c r="QWB357" s="22"/>
      <c r="QWC357" s="22"/>
      <c r="QWD357" s="22"/>
      <c r="QWE357" s="22"/>
      <c r="QWF357" s="22"/>
      <c r="QWG357" s="22"/>
      <c r="QWH357" s="22"/>
      <c r="QWI357" s="22"/>
      <c r="QWJ357" s="22"/>
      <c r="QWK357" s="22"/>
      <c r="QWL357" s="22"/>
      <c r="QWM357" s="22"/>
      <c r="QWN357" s="22"/>
      <c r="QWO357" s="22"/>
      <c r="QWP357" s="22"/>
      <c r="QWQ357" s="22"/>
      <c r="QWR357" s="22"/>
      <c r="QWS357" s="22"/>
      <c r="QWT357" s="22"/>
      <c r="QWU357" s="22"/>
      <c r="QWV357" s="22"/>
      <c r="QWW357" s="22"/>
      <c r="QWX357" s="22"/>
      <c r="QWY357" s="22"/>
      <c r="QWZ357" s="22"/>
      <c r="QXA357" s="22"/>
      <c r="QXB357" s="22"/>
      <c r="QXC357" s="22"/>
      <c r="QXD357" s="22"/>
      <c r="QXE357" s="22"/>
      <c r="QXF357" s="22"/>
      <c r="QXG357" s="22"/>
      <c r="QXH357" s="22"/>
      <c r="QXI357" s="22"/>
      <c r="QXJ357" s="22"/>
      <c r="QXK357" s="22"/>
      <c r="QXL357" s="22"/>
      <c r="QXM357" s="22"/>
      <c r="QXN357" s="22"/>
      <c r="QXO357" s="22"/>
      <c r="QXP357" s="22"/>
      <c r="QXQ357" s="22"/>
      <c r="QXR357" s="22"/>
      <c r="QXS357" s="22"/>
      <c r="QXT357" s="22"/>
      <c r="QXU357" s="22"/>
      <c r="QXV357" s="22"/>
      <c r="QXW357" s="22"/>
      <c r="QXX357" s="22"/>
      <c r="QXY357" s="22"/>
      <c r="QXZ357" s="22"/>
      <c r="QYA357" s="22"/>
      <c r="QYB357" s="22"/>
      <c r="QYC357" s="22"/>
      <c r="QYD357" s="22"/>
      <c r="QYE357" s="22"/>
      <c r="QYF357" s="22"/>
      <c r="QYG357" s="22"/>
      <c r="QYH357" s="22"/>
      <c r="QYI357" s="22"/>
      <c r="QYJ357" s="22"/>
      <c r="QYK357" s="22"/>
      <c r="QYL357" s="22"/>
      <c r="QYM357" s="22"/>
      <c r="QYN357" s="22"/>
      <c r="QYO357" s="22"/>
      <c r="QYP357" s="22"/>
      <c r="QYQ357" s="22"/>
      <c r="QYR357" s="22"/>
      <c r="QYS357" s="22"/>
      <c r="QYT357" s="22"/>
      <c r="QYU357" s="22"/>
      <c r="QYV357" s="22"/>
      <c r="QYW357" s="22"/>
      <c r="QYX357" s="22"/>
      <c r="QYY357" s="22"/>
      <c r="QYZ357" s="22"/>
      <c r="QZA357" s="22"/>
      <c r="QZB357" s="22"/>
      <c r="QZC357" s="22"/>
      <c r="QZD357" s="22"/>
      <c r="QZE357" s="22"/>
      <c r="QZF357" s="22"/>
      <c r="QZG357" s="22"/>
      <c r="QZH357" s="22"/>
      <c r="QZI357" s="22"/>
      <c r="QZJ357" s="22"/>
      <c r="QZK357" s="22"/>
      <c r="QZL357" s="22"/>
      <c r="QZM357" s="22"/>
      <c r="QZN357" s="22"/>
      <c r="QZO357" s="22"/>
      <c r="QZP357" s="22"/>
      <c r="QZQ357" s="22"/>
      <c r="QZR357" s="22"/>
      <c r="QZS357" s="22"/>
      <c r="QZT357" s="22"/>
      <c r="QZU357" s="22"/>
      <c r="QZV357" s="22"/>
      <c r="QZW357" s="22"/>
      <c r="QZX357" s="22"/>
      <c r="QZY357" s="22"/>
      <c r="QZZ357" s="22"/>
      <c r="RAA357" s="22"/>
      <c r="RAB357" s="22"/>
      <c r="RAC357" s="22"/>
      <c r="RAD357" s="22"/>
      <c r="RAE357" s="22"/>
      <c r="RAF357" s="22"/>
      <c r="RAG357" s="22"/>
      <c r="RAH357" s="22"/>
      <c r="RAI357" s="22"/>
      <c r="RAJ357" s="22"/>
      <c r="RAK357" s="22"/>
      <c r="RAL357" s="22"/>
      <c r="RAM357" s="22"/>
      <c r="RAN357" s="22"/>
      <c r="RAO357" s="22"/>
      <c r="RAP357" s="22"/>
      <c r="RAQ357" s="22"/>
      <c r="RAR357" s="22"/>
      <c r="RAS357" s="22"/>
      <c r="RAT357" s="22"/>
      <c r="RAU357" s="22"/>
      <c r="RAV357" s="22"/>
      <c r="RAW357" s="22"/>
      <c r="RAX357" s="22"/>
      <c r="RAY357" s="22"/>
      <c r="RAZ357" s="22"/>
      <c r="RBA357" s="22"/>
      <c r="RBB357" s="22"/>
      <c r="RBC357" s="22"/>
      <c r="RBD357" s="22"/>
      <c r="RBE357" s="22"/>
      <c r="RBF357" s="22"/>
      <c r="RBG357" s="22"/>
      <c r="RBH357" s="22"/>
      <c r="RBI357" s="22"/>
      <c r="RBJ357" s="22"/>
      <c r="RBK357" s="22"/>
      <c r="RBL357" s="22"/>
      <c r="RBM357" s="22"/>
      <c r="RBN357" s="22"/>
      <c r="RBO357" s="22"/>
      <c r="RBP357" s="22"/>
      <c r="RBQ357" s="22"/>
      <c r="RBR357" s="22"/>
      <c r="RBS357" s="22"/>
      <c r="RBT357" s="22"/>
      <c r="RBU357" s="22"/>
      <c r="RBV357" s="22"/>
      <c r="RBW357" s="22"/>
      <c r="RBX357" s="22"/>
      <c r="RBY357" s="22"/>
      <c r="RBZ357" s="22"/>
      <c r="RCA357" s="22"/>
      <c r="RCB357" s="22"/>
      <c r="RCC357" s="22"/>
      <c r="RCD357" s="22"/>
      <c r="RCE357" s="22"/>
      <c r="RCF357" s="22"/>
      <c r="RCG357" s="22"/>
      <c r="RCH357" s="22"/>
      <c r="RCI357" s="22"/>
      <c r="RCJ357" s="22"/>
      <c r="RCK357" s="22"/>
      <c r="RCL357" s="22"/>
      <c r="RCM357" s="22"/>
      <c r="RCN357" s="22"/>
      <c r="RCO357" s="22"/>
      <c r="RCP357" s="22"/>
      <c r="RCQ357" s="22"/>
      <c r="RCR357" s="22"/>
      <c r="RCS357" s="22"/>
      <c r="RCT357" s="22"/>
      <c r="RCU357" s="22"/>
      <c r="RCV357" s="22"/>
      <c r="RCW357" s="22"/>
      <c r="RCX357" s="22"/>
      <c r="RCY357" s="22"/>
      <c r="RCZ357" s="22"/>
      <c r="RDA357" s="22"/>
      <c r="RDB357" s="22"/>
      <c r="RDC357" s="22"/>
      <c r="RDD357" s="22"/>
      <c r="RDE357" s="22"/>
      <c r="RDF357" s="22"/>
      <c r="RDG357" s="22"/>
      <c r="RDH357" s="22"/>
      <c r="RDI357" s="22"/>
      <c r="RDJ357" s="22"/>
      <c r="RDK357" s="22"/>
      <c r="RDL357" s="22"/>
      <c r="RDM357" s="22"/>
      <c r="RDN357" s="22"/>
      <c r="RDO357" s="22"/>
      <c r="RDP357" s="22"/>
      <c r="RDQ357" s="22"/>
      <c r="RDR357" s="22"/>
      <c r="RDS357" s="22"/>
      <c r="RDT357" s="22"/>
      <c r="RDU357" s="22"/>
      <c r="RDV357" s="22"/>
      <c r="RDW357" s="22"/>
      <c r="RDX357" s="22"/>
      <c r="RDY357" s="22"/>
      <c r="RDZ357" s="22"/>
      <c r="REA357" s="22"/>
      <c r="REB357" s="22"/>
      <c r="REC357" s="22"/>
      <c r="RED357" s="22"/>
      <c r="REE357" s="22"/>
      <c r="REF357" s="22"/>
      <c r="REG357" s="22"/>
      <c r="REH357" s="22"/>
      <c r="REI357" s="22"/>
      <c r="REJ357" s="22"/>
      <c r="REK357" s="22"/>
      <c r="REL357" s="22"/>
      <c r="REM357" s="22"/>
      <c r="REN357" s="22"/>
      <c r="REO357" s="22"/>
      <c r="REP357" s="22"/>
      <c r="REQ357" s="22"/>
      <c r="RER357" s="22"/>
      <c r="RES357" s="22"/>
      <c r="RET357" s="22"/>
      <c r="REU357" s="22"/>
      <c r="REV357" s="22"/>
      <c r="REW357" s="22"/>
      <c r="REX357" s="22"/>
      <c r="REY357" s="22"/>
      <c r="REZ357" s="22"/>
      <c r="RFA357" s="22"/>
      <c r="RFB357" s="22"/>
      <c r="RFC357" s="22"/>
      <c r="RFD357" s="22"/>
      <c r="RFE357" s="22"/>
      <c r="RFF357" s="22"/>
      <c r="RFG357" s="22"/>
      <c r="RFH357" s="22"/>
      <c r="RFI357" s="22"/>
      <c r="RFJ357" s="22"/>
      <c r="RFK357" s="22"/>
      <c r="RFL357" s="22"/>
      <c r="RFM357" s="22"/>
      <c r="RFN357" s="22"/>
      <c r="RFO357" s="22"/>
      <c r="RFP357" s="22"/>
      <c r="RFQ357" s="22"/>
      <c r="RFR357" s="22"/>
      <c r="RFS357" s="22"/>
      <c r="RFT357" s="22"/>
      <c r="RFU357" s="22"/>
      <c r="RFV357" s="22"/>
      <c r="RFW357" s="22"/>
      <c r="RFX357" s="22"/>
      <c r="RFY357" s="22"/>
      <c r="RFZ357" s="22"/>
      <c r="RGA357" s="22"/>
      <c r="RGB357" s="22"/>
      <c r="RGC357" s="22"/>
      <c r="RGD357" s="22"/>
      <c r="RGE357" s="22"/>
      <c r="RGF357" s="22"/>
      <c r="RGG357" s="22"/>
      <c r="RGH357" s="22"/>
      <c r="RGI357" s="22"/>
      <c r="RGJ357" s="22"/>
      <c r="RGK357" s="22"/>
      <c r="RGL357" s="22"/>
      <c r="RGM357" s="22"/>
      <c r="RGN357" s="22"/>
      <c r="RGO357" s="22"/>
      <c r="RGP357" s="22"/>
      <c r="RGQ357" s="22"/>
      <c r="RGR357" s="22"/>
      <c r="RGS357" s="22"/>
      <c r="RGT357" s="22"/>
      <c r="RGU357" s="22"/>
      <c r="RGV357" s="22"/>
      <c r="RGW357" s="22"/>
      <c r="RGX357" s="22"/>
      <c r="RGY357" s="22"/>
      <c r="RGZ357" s="22"/>
      <c r="RHA357" s="22"/>
      <c r="RHB357" s="22"/>
      <c r="RHC357" s="22"/>
      <c r="RHD357" s="22"/>
      <c r="RHE357" s="22"/>
      <c r="RHF357" s="22"/>
      <c r="RHG357" s="22"/>
      <c r="RHH357" s="22"/>
      <c r="RHI357" s="22"/>
      <c r="RHJ357" s="22"/>
      <c r="RHK357" s="22"/>
      <c r="RHL357" s="22"/>
      <c r="RHM357" s="22"/>
      <c r="RHN357" s="22"/>
      <c r="RHO357" s="22"/>
      <c r="RHP357" s="22"/>
      <c r="RHQ357" s="22"/>
      <c r="RHR357" s="22"/>
      <c r="RHS357" s="22"/>
      <c r="RHT357" s="22"/>
      <c r="RHU357" s="22"/>
      <c r="RHV357" s="22"/>
      <c r="RHW357" s="22"/>
      <c r="RHX357" s="22"/>
      <c r="RHY357" s="22"/>
      <c r="RHZ357" s="22"/>
      <c r="RIA357" s="22"/>
      <c r="RIB357" s="22"/>
      <c r="RIC357" s="22"/>
      <c r="RID357" s="22"/>
      <c r="RIE357" s="22"/>
      <c r="RIF357" s="22"/>
      <c r="RIG357" s="22"/>
      <c r="RIH357" s="22"/>
      <c r="RII357" s="22"/>
      <c r="RIJ357" s="22"/>
      <c r="RIK357" s="22"/>
      <c r="RIL357" s="22"/>
      <c r="RIM357" s="22"/>
      <c r="RIN357" s="22"/>
      <c r="RIO357" s="22"/>
      <c r="RIP357" s="22"/>
      <c r="RIQ357" s="22"/>
      <c r="RIR357" s="22"/>
      <c r="RIS357" s="22"/>
      <c r="RIT357" s="22"/>
      <c r="RIU357" s="22"/>
      <c r="RIV357" s="22"/>
      <c r="RIW357" s="22"/>
      <c r="RIX357" s="22"/>
      <c r="RIY357" s="22"/>
      <c r="RIZ357" s="22"/>
      <c r="RJA357" s="22"/>
      <c r="RJB357" s="22"/>
      <c r="RJC357" s="22"/>
      <c r="RJD357" s="22"/>
      <c r="RJE357" s="22"/>
      <c r="RJF357" s="22"/>
      <c r="RJG357" s="22"/>
      <c r="RJH357" s="22"/>
      <c r="RJI357" s="22"/>
      <c r="RJJ357" s="22"/>
      <c r="RJK357" s="22"/>
      <c r="RJL357" s="22"/>
      <c r="RJM357" s="22"/>
      <c r="RJN357" s="22"/>
      <c r="RJO357" s="22"/>
      <c r="RJP357" s="22"/>
      <c r="RJQ357" s="22"/>
      <c r="RJR357" s="22"/>
      <c r="RJS357" s="22"/>
      <c r="RJT357" s="22"/>
      <c r="RJU357" s="22"/>
      <c r="RJV357" s="22"/>
      <c r="RJW357" s="22"/>
      <c r="RJX357" s="22"/>
      <c r="RJY357" s="22"/>
      <c r="RJZ357" s="22"/>
      <c r="RKA357" s="22"/>
      <c r="RKB357" s="22"/>
      <c r="RKC357" s="22"/>
      <c r="RKD357" s="22"/>
      <c r="RKE357" s="22"/>
      <c r="RKF357" s="22"/>
      <c r="RKG357" s="22"/>
      <c r="RKH357" s="22"/>
      <c r="RKI357" s="22"/>
      <c r="RKJ357" s="22"/>
      <c r="RKK357" s="22"/>
      <c r="RKL357" s="22"/>
      <c r="RKM357" s="22"/>
      <c r="RKN357" s="22"/>
      <c r="RKO357" s="22"/>
      <c r="RKP357" s="22"/>
      <c r="RKQ357" s="22"/>
      <c r="RKR357" s="22"/>
      <c r="RKS357" s="22"/>
      <c r="RKT357" s="22"/>
      <c r="RKU357" s="22"/>
      <c r="RKV357" s="22"/>
      <c r="RKW357" s="22"/>
      <c r="RKX357" s="22"/>
      <c r="RKY357" s="22"/>
      <c r="RKZ357" s="22"/>
      <c r="RLA357" s="22"/>
      <c r="RLB357" s="22"/>
      <c r="RLC357" s="22"/>
      <c r="RLD357" s="22"/>
      <c r="RLE357" s="22"/>
      <c r="RLF357" s="22"/>
      <c r="RLG357" s="22"/>
      <c r="RLH357" s="22"/>
      <c r="RLI357" s="22"/>
      <c r="RLJ357" s="22"/>
      <c r="RLK357" s="22"/>
      <c r="RLL357" s="22"/>
      <c r="RLM357" s="22"/>
      <c r="RLN357" s="22"/>
      <c r="RLO357" s="22"/>
      <c r="RLP357" s="22"/>
      <c r="RLQ357" s="22"/>
      <c r="RLR357" s="22"/>
      <c r="RLS357" s="22"/>
      <c r="RLT357" s="22"/>
      <c r="RLU357" s="22"/>
      <c r="RLV357" s="22"/>
      <c r="RLW357" s="22"/>
      <c r="RLX357" s="22"/>
      <c r="RLY357" s="22"/>
      <c r="RLZ357" s="22"/>
      <c r="RMA357" s="22"/>
      <c r="RMB357" s="22"/>
      <c r="RMC357" s="22"/>
      <c r="RMD357" s="22"/>
      <c r="RME357" s="22"/>
      <c r="RMF357" s="22"/>
      <c r="RMG357" s="22"/>
      <c r="RMH357" s="22"/>
      <c r="RMI357" s="22"/>
      <c r="RMJ357" s="22"/>
      <c r="RMK357" s="22"/>
      <c r="RML357" s="22"/>
      <c r="RMM357" s="22"/>
      <c r="RMN357" s="22"/>
      <c r="RMO357" s="22"/>
      <c r="RMP357" s="22"/>
      <c r="RMQ357" s="22"/>
      <c r="RMR357" s="22"/>
      <c r="RMS357" s="22"/>
      <c r="RMT357" s="22"/>
      <c r="RMU357" s="22"/>
      <c r="RMV357" s="22"/>
      <c r="RMW357" s="22"/>
      <c r="RMX357" s="22"/>
      <c r="RMY357" s="22"/>
      <c r="RMZ357" s="22"/>
      <c r="RNA357" s="22"/>
      <c r="RNB357" s="22"/>
      <c r="RNC357" s="22"/>
      <c r="RND357" s="22"/>
      <c r="RNE357" s="22"/>
      <c r="RNF357" s="22"/>
      <c r="RNG357" s="22"/>
      <c r="RNH357" s="22"/>
      <c r="RNI357" s="22"/>
      <c r="RNJ357" s="22"/>
      <c r="RNK357" s="22"/>
      <c r="RNL357" s="22"/>
      <c r="RNM357" s="22"/>
      <c r="RNN357" s="22"/>
      <c r="RNO357" s="22"/>
      <c r="RNP357" s="22"/>
      <c r="RNQ357" s="22"/>
      <c r="RNR357" s="22"/>
      <c r="RNS357" s="22"/>
      <c r="RNT357" s="22"/>
      <c r="RNU357" s="22"/>
      <c r="RNV357" s="22"/>
      <c r="RNW357" s="22"/>
      <c r="RNX357" s="22"/>
      <c r="RNY357" s="22"/>
      <c r="RNZ357" s="22"/>
      <c r="ROA357" s="22"/>
      <c r="ROB357" s="22"/>
      <c r="ROC357" s="22"/>
      <c r="ROD357" s="22"/>
      <c r="ROE357" s="22"/>
      <c r="ROF357" s="22"/>
      <c r="ROG357" s="22"/>
      <c r="ROH357" s="22"/>
      <c r="ROI357" s="22"/>
      <c r="ROJ357" s="22"/>
      <c r="ROK357" s="22"/>
      <c r="ROL357" s="22"/>
      <c r="ROM357" s="22"/>
      <c r="RON357" s="22"/>
      <c r="ROO357" s="22"/>
      <c r="ROP357" s="22"/>
      <c r="ROQ357" s="22"/>
      <c r="ROR357" s="22"/>
      <c r="ROS357" s="22"/>
      <c r="ROT357" s="22"/>
      <c r="ROU357" s="22"/>
      <c r="ROV357" s="22"/>
      <c r="ROW357" s="22"/>
      <c r="ROX357" s="22"/>
      <c r="ROY357" s="22"/>
      <c r="ROZ357" s="22"/>
      <c r="RPA357" s="22"/>
      <c r="RPB357" s="22"/>
      <c r="RPC357" s="22"/>
      <c r="RPD357" s="22"/>
      <c r="RPE357" s="22"/>
      <c r="RPF357" s="22"/>
      <c r="RPG357" s="22"/>
      <c r="RPH357" s="22"/>
      <c r="RPI357" s="22"/>
      <c r="RPJ357" s="22"/>
      <c r="RPK357" s="22"/>
      <c r="RPL357" s="22"/>
      <c r="RPM357" s="22"/>
      <c r="RPN357" s="22"/>
      <c r="RPO357" s="22"/>
      <c r="RPP357" s="22"/>
      <c r="RPQ357" s="22"/>
      <c r="RPR357" s="22"/>
      <c r="RPS357" s="22"/>
      <c r="RPT357" s="22"/>
      <c r="RPU357" s="22"/>
      <c r="RPV357" s="22"/>
      <c r="RPW357" s="22"/>
      <c r="RPX357" s="22"/>
      <c r="RPY357" s="22"/>
      <c r="RPZ357" s="22"/>
      <c r="RQA357" s="22"/>
      <c r="RQB357" s="22"/>
      <c r="RQC357" s="22"/>
      <c r="RQD357" s="22"/>
      <c r="RQE357" s="22"/>
      <c r="RQF357" s="22"/>
      <c r="RQG357" s="22"/>
      <c r="RQH357" s="22"/>
      <c r="RQI357" s="22"/>
      <c r="RQJ357" s="22"/>
      <c r="RQK357" s="22"/>
      <c r="RQL357" s="22"/>
      <c r="RQM357" s="22"/>
      <c r="RQN357" s="22"/>
      <c r="RQO357" s="22"/>
      <c r="RQP357" s="22"/>
      <c r="RQQ357" s="22"/>
      <c r="RQR357" s="22"/>
      <c r="RQS357" s="22"/>
      <c r="RQT357" s="22"/>
      <c r="RQU357" s="22"/>
      <c r="RQV357" s="22"/>
      <c r="RQW357" s="22"/>
      <c r="RQX357" s="22"/>
      <c r="RQY357" s="22"/>
      <c r="RQZ357" s="22"/>
      <c r="RRA357" s="22"/>
      <c r="RRB357" s="22"/>
      <c r="RRC357" s="22"/>
      <c r="RRD357" s="22"/>
      <c r="RRE357" s="22"/>
      <c r="RRF357" s="22"/>
      <c r="RRG357" s="22"/>
      <c r="RRH357" s="22"/>
      <c r="RRI357" s="22"/>
      <c r="RRJ357" s="22"/>
      <c r="RRK357" s="22"/>
      <c r="RRL357" s="22"/>
      <c r="RRM357" s="22"/>
      <c r="RRN357" s="22"/>
      <c r="RRO357" s="22"/>
      <c r="RRP357" s="22"/>
      <c r="RRQ357" s="22"/>
      <c r="RRR357" s="22"/>
      <c r="RRS357" s="22"/>
      <c r="RRT357" s="22"/>
      <c r="RRU357" s="22"/>
      <c r="RRV357" s="22"/>
      <c r="RRW357" s="22"/>
      <c r="RRX357" s="22"/>
      <c r="RRY357" s="22"/>
      <c r="RRZ357" s="22"/>
      <c r="RSA357" s="22"/>
      <c r="RSB357" s="22"/>
      <c r="RSC357" s="22"/>
      <c r="RSD357" s="22"/>
      <c r="RSE357" s="22"/>
      <c r="RSF357" s="22"/>
      <c r="RSG357" s="22"/>
      <c r="RSH357" s="22"/>
      <c r="RSI357" s="22"/>
      <c r="RSJ357" s="22"/>
      <c r="RSK357" s="22"/>
      <c r="RSL357" s="22"/>
      <c r="RSM357" s="22"/>
      <c r="RSN357" s="22"/>
      <c r="RSO357" s="22"/>
      <c r="RSP357" s="22"/>
      <c r="RSQ357" s="22"/>
      <c r="RSR357" s="22"/>
      <c r="RSS357" s="22"/>
      <c r="RST357" s="22"/>
      <c r="RSU357" s="22"/>
      <c r="RSV357" s="22"/>
      <c r="RSW357" s="22"/>
      <c r="RSX357" s="22"/>
      <c r="RSY357" s="22"/>
      <c r="RSZ357" s="22"/>
      <c r="RTA357" s="22"/>
      <c r="RTB357" s="22"/>
      <c r="RTC357" s="22"/>
      <c r="RTD357" s="22"/>
      <c r="RTE357" s="22"/>
      <c r="RTF357" s="22"/>
      <c r="RTG357" s="22"/>
      <c r="RTH357" s="22"/>
      <c r="RTI357" s="22"/>
      <c r="RTJ357" s="22"/>
      <c r="RTK357" s="22"/>
      <c r="RTL357" s="22"/>
      <c r="RTM357" s="22"/>
      <c r="RTN357" s="22"/>
      <c r="RTO357" s="22"/>
      <c r="RTP357" s="22"/>
      <c r="RTQ357" s="22"/>
      <c r="RTR357" s="22"/>
      <c r="RTS357" s="22"/>
      <c r="RTT357" s="22"/>
      <c r="RTU357" s="22"/>
      <c r="RTV357" s="22"/>
      <c r="RTW357" s="22"/>
      <c r="RTX357" s="22"/>
      <c r="RTY357" s="22"/>
      <c r="RTZ357" s="22"/>
      <c r="RUA357" s="22"/>
      <c r="RUB357" s="22"/>
      <c r="RUC357" s="22"/>
      <c r="RUD357" s="22"/>
      <c r="RUE357" s="22"/>
      <c r="RUF357" s="22"/>
      <c r="RUG357" s="22"/>
      <c r="RUH357" s="22"/>
      <c r="RUI357" s="22"/>
      <c r="RUJ357" s="22"/>
      <c r="RUK357" s="22"/>
      <c r="RUL357" s="22"/>
      <c r="RUM357" s="22"/>
      <c r="RUN357" s="22"/>
      <c r="RUO357" s="22"/>
      <c r="RUP357" s="22"/>
      <c r="RUQ357" s="22"/>
      <c r="RUR357" s="22"/>
      <c r="RUS357" s="22"/>
      <c r="RUT357" s="22"/>
      <c r="RUU357" s="22"/>
      <c r="RUV357" s="22"/>
      <c r="RUW357" s="22"/>
      <c r="RUX357" s="22"/>
      <c r="RUY357" s="22"/>
      <c r="RUZ357" s="22"/>
      <c r="RVA357" s="22"/>
      <c r="RVB357" s="22"/>
      <c r="RVC357" s="22"/>
      <c r="RVD357" s="22"/>
      <c r="RVE357" s="22"/>
      <c r="RVF357" s="22"/>
      <c r="RVG357" s="22"/>
      <c r="RVH357" s="22"/>
      <c r="RVI357" s="22"/>
      <c r="RVJ357" s="22"/>
      <c r="RVK357" s="22"/>
      <c r="RVL357" s="22"/>
      <c r="RVM357" s="22"/>
      <c r="RVN357" s="22"/>
      <c r="RVO357" s="22"/>
      <c r="RVP357" s="22"/>
      <c r="RVQ357" s="22"/>
      <c r="RVR357" s="22"/>
      <c r="RVS357" s="22"/>
      <c r="RVT357" s="22"/>
      <c r="RVU357" s="22"/>
      <c r="RVV357" s="22"/>
      <c r="RVW357" s="22"/>
      <c r="RVX357" s="22"/>
      <c r="RVY357" s="22"/>
      <c r="RVZ357" s="22"/>
      <c r="RWA357" s="22"/>
      <c r="RWB357" s="22"/>
      <c r="RWC357" s="22"/>
      <c r="RWD357" s="22"/>
      <c r="RWE357" s="22"/>
      <c r="RWF357" s="22"/>
      <c r="RWG357" s="22"/>
      <c r="RWH357" s="22"/>
      <c r="RWI357" s="22"/>
      <c r="RWJ357" s="22"/>
      <c r="RWK357" s="22"/>
      <c r="RWL357" s="22"/>
      <c r="RWM357" s="22"/>
      <c r="RWN357" s="22"/>
      <c r="RWO357" s="22"/>
      <c r="RWP357" s="22"/>
      <c r="RWQ357" s="22"/>
      <c r="RWR357" s="22"/>
      <c r="RWS357" s="22"/>
      <c r="RWT357" s="22"/>
      <c r="RWU357" s="22"/>
      <c r="RWV357" s="22"/>
      <c r="RWW357" s="22"/>
      <c r="RWX357" s="22"/>
      <c r="RWY357" s="22"/>
      <c r="RWZ357" s="22"/>
      <c r="RXA357" s="22"/>
      <c r="RXB357" s="22"/>
      <c r="RXC357" s="22"/>
      <c r="RXD357" s="22"/>
      <c r="RXE357" s="22"/>
      <c r="RXF357" s="22"/>
      <c r="RXG357" s="22"/>
      <c r="RXH357" s="22"/>
      <c r="RXI357" s="22"/>
      <c r="RXJ357" s="22"/>
      <c r="RXK357" s="22"/>
      <c r="RXL357" s="22"/>
      <c r="RXM357" s="22"/>
      <c r="RXN357" s="22"/>
      <c r="RXO357" s="22"/>
      <c r="RXP357" s="22"/>
      <c r="RXQ357" s="22"/>
      <c r="RXR357" s="22"/>
      <c r="RXS357" s="22"/>
      <c r="RXT357" s="22"/>
      <c r="RXU357" s="22"/>
      <c r="RXV357" s="22"/>
      <c r="RXW357" s="22"/>
      <c r="RXX357" s="22"/>
      <c r="RXY357" s="22"/>
      <c r="RXZ357" s="22"/>
      <c r="RYA357" s="22"/>
      <c r="RYB357" s="22"/>
      <c r="RYC357" s="22"/>
      <c r="RYD357" s="22"/>
      <c r="RYE357" s="22"/>
      <c r="RYF357" s="22"/>
      <c r="RYG357" s="22"/>
      <c r="RYH357" s="22"/>
      <c r="RYI357" s="22"/>
      <c r="RYJ357" s="22"/>
      <c r="RYK357" s="22"/>
      <c r="RYL357" s="22"/>
      <c r="RYM357" s="22"/>
      <c r="RYN357" s="22"/>
      <c r="RYO357" s="22"/>
      <c r="RYP357" s="22"/>
      <c r="RYQ357" s="22"/>
      <c r="RYR357" s="22"/>
      <c r="RYS357" s="22"/>
      <c r="RYT357" s="22"/>
      <c r="RYU357" s="22"/>
      <c r="RYV357" s="22"/>
      <c r="RYW357" s="22"/>
      <c r="RYX357" s="22"/>
      <c r="RYY357" s="22"/>
      <c r="RYZ357" s="22"/>
      <c r="RZA357" s="22"/>
      <c r="RZB357" s="22"/>
      <c r="RZC357" s="22"/>
      <c r="RZD357" s="22"/>
      <c r="RZE357" s="22"/>
      <c r="RZF357" s="22"/>
      <c r="RZG357" s="22"/>
      <c r="RZH357" s="22"/>
      <c r="RZI357" s="22"/>
      <c r="RZJ357" s="22"/>
      <c r="RZK357" s="22"/>
      <c r="RZL357" s="22"/>
      <c r="RZM357" s="22"/>
      <c r="RZN357" s="22"/>
      <c r="RZO357" s="22"/>
      <c r="RZP357" s="22"/>
      <c r="RZQ357" s="22"/>
      <c r="RZR357" s="22"/>
      <c r="RZS357" s="22"/>
      <c r="RZT357" s="22"/>
      <c r="RZU357" s="22"/>
      <c r="RZV357" s="22"/>
      <c r="RZW357" s="22"/>
      <c r="RZX357" s="22"/>
      <c r="RZY357" s="22"/>
      <c r="RZZ357" s="22"/>
      <c r="SAA357" s="22"/>
      <c r="SAB357" s="22"/>
      <c r="SAC357" s="22"/>
      <c r="SAD357" s="22"/>
      <c r="SAE357" s="22"/>
      <c r="SAF357" s="22"/>
      <c r="SAG357" s="22"/>
      <c r="SAH357" s="22"/>
      <c r="SAI357" s="22"/>
      <c r="SAJ357" s="22"/>
      <c r="SAK357" s="22"/>
      <c r="SAL357" s="22"/>
      <c r="SAM357" s="22"/>
      <c r="SAN357" s="22"/>
      <c r="SAO357" s="22"/>
      <c r="SAP357" s="22"/>
      <c r="SAQ357" s="22"/>
      <c r="SAR357" s="22"/>
      <c r="SAS357" s="22"/>
      <c r="SAT357" s="22"/>
      <c r="SAU357" s="22"/>
      <c r="SAV357" s="22"/>
      <c r="SAW357" s="22"/>
      <c r="SAX357" s="22"/>
      <c r="SAY357" s="22"/>
      <c r="SAZ357" s="22"/>
      <c r="SBA357" s="22"/>
      <c r="SBB357" s="22"/>
      <c r="SBC357" s="22"/>
      <c r="SBD357" s="22"/>
      <c r="SBE357" s="22"/>
      <c r="SBF357" s="22"/>
      <c r="SBG357" s="22"/>
      <c r="SBH357" s="22"/>
      <c r="SBI357" s="22"/>
      <c r="SBJ357" s="22"/>
      <c r="SBK357" s="22"/>
      <c r="SBL357" s="22"/>
      <c r="SBM357" s="22"/>
      <c r="SBN357" s="22"/>
      <c r="SBO357" s="22"/>
      <c r="SBP357" s="22"/>
      <c r="SBQ357" s="22"/>
      <c r="SBR357" s="22"/>
      <c r="SBS357" s="22"/>
      <c r="SBT357" s="22"/>
      <c r="SBU357" s="22"/>
      <c r="SBV357" s="22"/>
      <c r="SBW357" s="22"/>
      <c r="SBX357" s="22"/>
      <c r="SBY357" s="22"/>
      <c r="SBZ357" s="22"/>
      <c r="SCA357" s="22"/>
      <c r="SCB357" s="22"/>
      <c r="SCC357" s="22"/>
      <c r="SCD357" s="22"/>
      <c r="SCE357" s="22"/>
      <c r="SCF357" s="22"/>
      <c r="SCG357" s="22"/>
      <c r="SCH357" s="22"/>
      <c r="SCI357" s="22"/>
      <c r="SCJ357" s="22"/>
      <c r="SCK357" s="22"/>
      <c r="SCL357" s="22"/>
      <c r="SCM357" s="22"/>
      <c r="SCN357" s="22"/>
      <c r="SCO357" s="22"/>
      <c r="SCP357" s="22"/>
      <c r="SCQ357" s="22"/>
      <c r="SCR357" s="22"/>
      <c r="SCS357" s="22"/>
      <c r="SCT357" s="22"/>
      <c r="SCU357" s="22"/>
      <c r="SCV357" s="22"/>
      <c r="SCW357" s="22"/>
      <c r="SCX357" s="22"/>
      <c r="SCY357" s="22"/>
      <c r="SCZ357" s="22"/>
      <c r="SDA357" s="22"/>
      <c r="SDB357" s="22"/>
      <c r="SDC357" s="22"/>
      <c r="SDD357" s="22"/>
      <c r="SDE357" s="22"/>
      <c r="SDF357" s="22"/>
      <c r="SDG357" s="22"/>
      <c r="SDH357" s="22"/>
      <c r="SDI357" s="22"/>
      <c r="SDJ357" s="22"/>
      <c r="SDK357" s="22"/>
      <c r="SDL357" s="22"/>
      <c r="SDM357" s="22"/>
      <c r="SDN357" s="22"/>
      <c r="SDO357" s="22"/>
      <c r="SDP357" s="22"/>
      <c r="SDQ357" s="22"/>
      <c r="SDR357" s="22"/>
      <c r="SDS357" s="22"/>
      <c r="SDT357" s="22"/>
      <c r="SDU357" s="22"/>
      <c r="SDV357" s="22"/>
      <c r="SDW357" s="22"/>
      <c r="SDX357" s="22"/>
      <c r="SDY357" s="22"/>
      <c r="SDZ357" s="22"/>
      <c r="SEA357" s="22"/>
      <c r="SEB357" s="22"/>
      <c r="SEC357" s="22"/>
      <c r="SED357" s="22"/>
      <c r="SEE357" s="22"/>
      <c r="SEF357" s="22"/>
      <c r="SEG357" s="22"/>
      <c r="SEH357" s="22"/>
      <c r="SEI357" s="22"/>
      <c r="SEJ357" s="22"/>
      <c r="SEK357" s="22"/>
      <c r="SEL357" s="22"/>
      <c r="SEM357" s="22"/>
      <c r="SEN357" s="22"/>
      <c r="SEO357" s="22"/>
      <c r="SEP357" s="22"/>
      <c r="SEQ357" s="22"/>
      <c r="SER357" s="22"/>
      <c r="SES357" s="22"/>
      <c r="SET357" s="22"/>
      <c r="SEU357" s="22"/>
      <c r="SEV357" s="22"/>
      <c r="SEW357" s="22"/>
      <c r="SEX357" s="22"/>
      <c r="SEY357" s="22"/>
      <c r="SEZ357" s="22"/>
      <c r="SFA357" s="22"/>
      <c r="SFB357" s="22"/>
      <c r="SFC357" s="22"/>
      <c r="SFD357" s="22"/>
      <c r="SFE357" s="22"/>
      <c r="SFF357" s="22"/>
      <c r="SFG357" s="22"/>
      <c r="SFH357" s="22"/>
      <c r="SFI357" s="22"/>
      <c r="SFJ357" s="22"/>
      <c r="SFK357" s="22"/>
      <c r="SFL357" s="22"/>
      <c r="SFM357" s="22"/>
      <c r="SFN357" s="22"/>
      <c r="SFO357" s="22"/>
      <c r="SFP357" s="22"/>
      <c r="SFQ357" s="22"/>
      <c r="SFR357" s="22"/>
      <c r="SFS357" s="22"/>
      <c r="SFT357" s="22"/>
      <c r="SFU357" s="22"/>
      <c r="SFV357" s="22"/>
      <c r="SFW357" s="22"/>
      <c r="SFX357" s="22"/>
      <c r="SFY357" s="22"/>
      <c r="SFZ357" s="22"/>
      <c r="SGA357" s="22"/>
      <c r="SGB357" s="22"/>
      <c r="SGC357" s="22"/>
      <c r="SGD357" s="22"/>
      <c r="SGE357" s="22"/>
      <c r="SGF357" s="22"/>
      <c r="SGG357" s="22"/>
      <c r="SGH357" s="22"/>
      <c r="SGI357" s="22"/>
      <c r="SGJ357" s="22"/>
      <c r="SGK357" s="22"/>
      <c r="SGL357" s="22"/>
      <c r="SGM357" s="22"/>
      <c r="SGN357" s="22"/>
      <c r="SGO357" s="22"/>
      <c r="SGP357" s="22"/>
      <c r="SGQ357" s="22"/>
      <c r="SGR357" s="22"/>
      <c r="SGS357" s="22"/>
      <c r="SGT357" s="22"/>
      <c r="SGU357" s="22"/>
      <c r="SGV357" s="22"/>
      <c r="SGW357" s="22"/>
      <c r="SGX357" s="22"/>
      <c r="SGY357" s="22"/>
      <c r="SGZ357" s="22"/>
      <c r="SHA357" s="22"/>
      <c r="SHB357" s="22"/>
      <c r="SHC357" s="22"/>
      <c r="SHD357" s="22"/>
      <c r="SHE357" s="22"/>
      <c r="SHF357" s="22"/>
      <c r="SHG357" s="22"/>
      <c r="SHH357" s="22"/>
      <c r="SHI357" s="22"/>
      <c r="SHJ357" s="22"/>
      <c r="SHK357" s="22"/>
      <c r="SHL357" s="22"/>
      <c r="SHM357" s="22"/>
      <c r="SHN357" s="22"/>
      <c r="SHO357" s="22"/>
      <c r="SHP357" s="22"/>
      <c r="SHQ357" s="22"/>
      <c r="SHR357" s="22"/>
      <c r="SHS357" s="22"/>
      <c r="SHT357" s="22"/>
      <c r="SHU357" s="22"/>
      <c r="SHV357" s="22"/>
      <c r="SHW357" s="22"/>
      <c r="SHX357" s="22"/>
      <c r="SHY357" s="22"/>
      <c r="SHZ357" s="22"/>
      <c r="SIA357" s="22"/>
      <c r="SIB357" s="22"/>
      <c r="SIC357" s="22"/>
      <c r="SID357" s="22"/>
      <c r="SIE357" s="22"/>
      <c r="SIF357" s="22"/>
      <c r="SIG357" s="22"/>
      <c r="SIH357" s="22"/>
      <c r="SII357" s="22"/>
      <c r="SIJ357" s="22"/>
      <c r="SIK357" s="22"/>
      <c r="SIL357" s="22"/>
      <c r="SIM357" s="22"/>
      <c r="SIN357" s="22"/>
      <c r="SIO357" s="22"/>
      <c r="SIP357" s="22"/>
      <c r="SIQ357" s="22"/>
      <c r="SIR357" s="22"/>
      <c r="SIS357" s="22"/>
      <c r="SIT357" s="22"/>
      <c r="SIU357" s="22"/>
      <c r="SIV357" s="22"/>
      <c r="SIW357" s="22"/>
      <c r="SIX357" s="22"/>
      <c r="SIY357" s="22"/>
      <c r="SIZ357" s="22"/>
      <c r="SJA357" s="22"/>
      <c r="SJB357" s="22"/>
      <c r="SJC357" s="22"/>
      <c r="SJD357" s="22"/>
      <c r="SJE357" s="22"/>
      <c r="SJF357" s="22"/>
      <c r="SJG357" s="22"/>
      <c r="SJH357" s="22"/>
      <c r="SJI357" s="22"/>
      <c r="SJJ357" s="22"/>
      <c r="SJK357" s="22"/>
      <c r="SJL357" s="22"/>
      <c r="SJM357" s="22"/>
      <c r="SJN357" s="22"/>
      <c r="SJO357" s="22"/>
      <c r="SJP357" s="22"/>
      <c r="SJQ357" s="22"/>
      <c r="SJR357" s="22"/>
      <c r="SJS357" s="22"/>
      <c r="SJT357" s="22"/>
      <c r="SJU357" s="22"/>
      <c r="SJV357" s="22"/>
      <c r="SJW357" s="22"/>
      <c r="SJX357" s="22"/>
      <c r="SJY357" s="22"/>
      <c r="SJZ357" s="22"/>
      <c r="SKA357" s="22"/>
      <c r="SKB357" s="22"/>
      <c r="SKC357" s="22"/>
      <c r="SKD357" s="22"/>
      <c r="SKE357" s="22"/>
      <c r="SKF357" s="22"/>
      <c r="SKG357" s="22"/>
      <c r="SKH357" s="22"/>
      <c r="SKI357" s="22"/>
      <c r="SKJ357" s="22"/>
      <c r="SKK357" s="22"/>
      <c r="SKL357" s="22"/>
      <c r="SKM357" s="22"/>
      <c r="SKN357" s="22"/>
      <c r="SKO357" s="22"/>
      <c r="SKP357" s="22"/>
      <c r="SKQ357" s="22"/>
      <c r="SKR357" s="22"/>
      <c r="SKS357" s="22"/>
      <c r="SKT357" s="22"/>
      <c r="SKU357" s="22"/>
      <c r="SKV357" s="22"/>
      <c r="SKW357" s="22"/>
      <c r="SKX357" s="22"/>
      <c r="SKY357" s="22"/>
      <c r="SKZ357" s="22"/>
      <c r="SLA357" s="22"/>
      <c r="SLB357" s="22"/>
      <c r="SLC357" s="22"/>
      <c r="SLD357" s="22"/>
      <c r="SLE357" s="22"/>
      <c r="SLF357" s="22"/>
      <c r="SLG357" s="22"/>
      <c r="SLH357" s="22"/>
      <c r="SLI357" s="22"/>
      <c r="SLJ357" s="22"/>
      <c r="SLK357" s="22"/>
      <c r="SLL357" s="22"/>
      <c r="SLM357" s="22"/>
      <c r="SLN357" s="22"/>
      <c r="SLO357" s="22"/>
      <c r="SLP357" s="22"/>
      <c r="SLQ357" s="22"/>
      <c r="SLR357" s="22"/>
      <c r="SLS357" s="22"/>
      <c r="SLT357" s="22"/>
      <c r="SLU357" s="22"/>
      <c r="SLV357" s="22"/>
      <c r="SLW357" s="22"/>
      <c r="SLX357" s="22"/>
      <c r="SLY357" s="22"/>
      <c r="SLZ357" s="22"/>
      <c r="SMA357" s="22"/>
      <c r="SMB357" s="22"/>
      <c r="SMC357" s="22"/>
      <c r="SMD357" s="22"/>
      <c r="SME357" s="22"/>
      <c r="SMF357" s="22"/>
      <c r="SMG357" s="22"/>
      <c r="SMH357" s="22"/>
      <c r="SMI357" s="22"/>
      <c r="SMJ357" s="22"/>
      <c r="SMK357" s="22"/>
      <c r="SML357" s="22"/>
      <c r="SMM357" s="22"/>
      <c r="SMN357" s="22"/>
      <c r="SMO357" s="22"/>
      <c r="SMP357" s="22"/>
      <c r="SMQ357" s="22"/>
      <c r="SMR357" s="22"/>
      <c r="SMS357" s="22"/>
      <c r="SMT357" s="22"/>
      <c r="SMU357" s="22"/>
      <c r="SMV357" s="22"/>
      <c r="SMW357" s="22"/>
      <c r="SMX357" s="22"/>
      <c r="SMY357" s="22"/>
      <c r="SMZ357" s="22"/>
      <c r="SNA357" s="22"/>
      <c r="SNB357" s="22"/>
      <c r="SNC357" s="22"/>
      <c r="SND357" s="22"/>
      <c r="SNE357" s="22"/>
      <c r="SNF357" s="22"/>
      <c r="SNG357" s="22"/>
      <c r="SNH357" s="22"/>
      <c r="SNI357" s="22"/>
      <c r="SNJ357" s="22"/>
      <c r="SNK357" s="22"/>
      <c r="SNL357" s="22"/>
      <c r="SNM357" s="22"/>
      <c r="SNN357" s="22"/>
      <c r="SNO357" s="22"/>
      <c r="SNP357" s="22"/>
      <c r="SNQ357" s="22"/>
      <c r="SNR357" s="22"/>
      <c r="SNS357" s="22"/>
      <c r="SNT357" s="22"/>
      <c r="SNU357" s="22"/>
      <c r="SNV357" s="22"/>
      <c r="SNW357" s="22"/>
      <c r="SNX357" s="22"/>
      <c r="SNY357" s="22"/>
      <c r="SNZ357" s="22"/>
      <c r="SOA357" s="22"/>
      <c r="SOB357" s="22"/>
      <c r="SOC357" s="22"/>
      <c r="SOD357" s="22"/>
      <c r="SOE357" s="22"/>
      <c r="SOF357" s="22"/>
      <c r="SOG357" s="22"/>
      <c r="SOH357" s="22"/>
      <c r="SOI357" s="22"/>
      <c r="SOJ357" s="22"/>
      <c r="SOK357" s="22"/>
      <c r="SOL357" s="22"/>
      <c r="SOM357" s="22"/>
      <c r="SON357" s="22"/>
      <c r="SOO357" s="22"/>
      <c r="SOP357" s="22"/>
      <c r="SOQ357" s="22"/>
      <c r="SOR357" s="22"/>
      <c r="SOS357" s="22"/>
      <c r="SOT357" s="22"/>
      <c r="SOU357" s="22"/>
      <c r="SOV357" s="22"/>
      <c r="SOW357" s="22"/>
      <c r="SOX357" s="22"/>
      <c r="SOY357" s="22"/>
      <c r="SOZ357" s="22"/>
      <c r="SPA357" s="22"/>
      <c r="SPB357" s="22"/>
      <c r="SPC357" s="22"/>
      <c r="SPD357" s="22"/>
      <c r="SPE357" s="22"/>
      <c r="SPF357" s="22"/>
      <c r="SPG357" s="22"/>
      <c r="SPH357" s="22"/>
      <c r="SPI357" s="22"/>
      <c r="SPJ357" s="22"/>
      <c r="SPK357" s="22"/>
      <c r="SPL357" s="22"/>
      <c r="SPM357" s="22"/>
      <c r="SPN357" s="22"/>
      <c r="SPO357" s="22"/>
      <c r="SPP357" s="22"/>
      <c r="SPQ357" s="22"/>
      <c r="SPR357" s="22"/>
      <c r="SPS357" s="22"/>
      <c r="SPT357" s="22"/>
      <c r="SPU357" s="22"/>
      <c r="SPV357" s="22"/>
      <c r="SPW357" s="22"/>
      <c r="SPX357" s="22"/>
      <c r="SPY357" s="22"/>
      <c r="SPZ357" s="22"/>
      <c r="SQA357" s="22"/>
      <c r="SQB357" s="22"/>
      <c r="SQC357" s="22"/>
      <c r="SQD357" s="22"/>
      <c r="SQE357" s="22"/>
      <c r="SQF357" s="22"/>
      <c r="SQG357" s="22"/>
      <c r="SQH357" s="22"/>
      <c r="SQI357" s="22"/>
      <c r="SQJ357" s="22"/>
      <c r="SQK357" s="22"/>
      <c r="SQL357" s="22"/>
      <c r="SQM357" s="22"/>
      <c r="SQN357" s="22"/>
      <c r="SQO357" s="22"/>
      <c r="SQP357" s="22"/>
      <c r="SQQ357" s="22"/>
      <c r="SQR357" s="22"/>
      <c r="SQS357" s="22"/>
      <c r="SQT357" s="22"/>
      <c r="SQU357" s="22"/>
      <c r="SQV357" s="22"/>
      <c r="SQW357" s="22"/>
      <c r="SQX357" s="22"/>
      <c r="SQY357" s="22"/>
      <c r="SQZ357" s="22"/>
      <c r="SRA357" s="22"/>
      <c r="SRB357" s="22"/>
      <c r="SRC357" s="22"/>
      <c r="SRD357" s="22"/>
      <c r="SRE357" s="22"/>
      <c r="SRF357" s="22"/>
      <c r="SRG357" s="22"/>
      <c r="SRH357" s="22"/>
      <c r="SRI357" s="22"/>
      <c r="SRJ357" s="22"/>
      <c r="SRK357" s="22"/>
      <c r="SRL357" s="22"/>
      <c r="SRM357" s="22"/>
      <c r="SRN357" s="22"/>
      <c r="SRO357" s="22"/>
      <c r="SRP357" s="22"/>
      <c r="SRQ357" s="22"/>
      <c r="SRR357" s="22"/>
      <c r="SRS357" s="22"/>
      <c r="SRT357" s="22"/>
      <c r="SRU357" s="22"/>
      <c r="SRV357" s="22"/>
      <c r="SRW357" s="22"/>
      <c r="SRX357" s="22"/>
      <c r="SRY357" s="22"/>
      <c r="SRZ357" s="22"/>
      <c r="SSA357" s="22"/>
      <c r="SSB357" s="22"/>
      <c r="SSC357" s="22"/>
      <c r="SSD357" s="22"/>
      <c r="SSE357" s="22"/>
      <c r="SSF357" s="22"/>
      <c r="SSG357" s="22"/>
      <c r="SSH357" s="22"/>
      <c r="SSI357" s="22"/>
      <c r="SSJ357" s="22"/>
      <c r="SSK357" s="22"/>
      <c r="SSL357" s="22"/>
      <c r="SSM357" s="22"/>
      <c r="SSN357" s="22"/>
      <c r="SSO357" s="22"/>
      <c r="SSP357" s="22"/>
      <c r="SSQ357" s="22"/>
      <c r="SSR357" s="22"/>
      <c r="SSS357" s="22"/>
      <c r="SST357" s="22"/>
      <c r="SSU357" s="22"/>
      <c r="SSV357" s="22"/>
      <c r="SSW357" s="22"/>
      <c r="SSX357" s="22"/>
      <c r="SSY357" s="22"/>
      <c r="SSZ357" s="22"/>
      <c r="STA357" s="22"/>
      <c r="STB357" s="22"/>
      <c r="STC357" s="22"/>
      <c r="STD357" s="22"/>
      <c r="STE357" s="22"/>
      <c r="STF357" s="22"/>
      <c r="STG357" s="22"/>
      <c r="STH357" s="22"/>
      <c r="STI357" s="22"/>
      <c r="STJ357" s="22"/>
      <c r="STK357" s="22"/>
      <c r="STL357" s="22"/>
      <c r="STM357" s="22"/>
      <c r="STN357" s="22"/>
      <c r="STO357" s="22"/>
      <c r="STP357" s="22"/>
      <c r="STQ357" s="22"/>
      <c r="STR357" s="22"/>
      <c r="STS357" s="22"/>
      <c r="STT357" s="22"/>
      <c r="STU357" s="22"/>
      <c r="STV357" s="22"/>
      <c r="STW357" s="22"/>
      <c r="STX357" s="22"/>
      <c r="STY357" s="22"/>
      <c r="STZ357" s="22"/>
      <c r="SUA357" s="22"/>
      <c r="SUB357" s="22"/>
      <c r="SUC357" s="22"/>
      <c r="SUD357" s="22"/>
      <c r="SUE357" s="22"/>
      <c r="SUF357" s="22"/>
      <c r="SUG357" s="22"/>
      <c r="SUH357" s="22"/>
      <c r="SUI357" s="22"/>
      <c r="SUJ357" s="22"/>
      <c r="SUK357" s="22"/>
      <c r="SUL357" s="22"/>
      <c r="SUM357" s="22"/>
      <c r="SUN357" s="22"/>
      <c r="SUO357" s="22"/>
      <c r="SUP357" s="22"/>
      <c r="SUQ357" s="22"/>
      <c r="SUR357" s="22"/>
      <c r="SUS357" s="22"/>
      <c r="SUT357" s="22"/>
      <c r="SUU357" s="22"/>
      <c r="SUV357" s="22"/>
      <c r="SUW357" s="22"/>
      <c r="SUX357" s="22"/>
      <c r="SUY357" s="22"/>
      <c r="SUZ357" s="22"/>
      <c r="SVA357" s="22"/>
      <c r="SVB357" s="22"/>
      <c r="SVC357" s="22"/>
      <c r="SVD357" s="22"/>
      <c r="SVE357" s="22"/>
      <c r="SVF357" s="22"/>
      <c r="SVG357" s="22"/>
      <c r="SVH357" s="22"/>
      <c r="SVI357" s="22"/>
      <c r="SVJ357" s="22"/>
      <c r="SVK357" s="22"/>
      <c r="SVL357" s="22"/>
      <c r="SVM357" s="22"/>
      <c r="SVN357" s="22"/>
      <c r="SVO357" s="22"/>
      <c r="SVP357" s="22"/>
      <c r="SVQ357" s="22"/>
      <c r="SVR357" s="22"/>
      <c r="SVS357" s="22"/>
      <c r="SVT357" s="22"/>
      <c r="SVU357" s="22"/>
      <c r="SVV357" s="22"/>
      <c r="SVW357" s="22"/>
      <c r="SVX357" s="22"/>
      <c r="SVY357" s="22"/>
      <c r="SVZ357" s="22"/>
      <c r="SWA357" s="22"/>
      <c r="SWB357" s="22"/>
      <c r="SWC357" s="22"/>
      <c r="SWD357" s="22"/>
      <c r="SWE357" s="22"/>
      <c r="SWF357" s="22"/>
      <c r="SWG357" s="22"/>
      <c r="SWH357" s="22"/>
      <c r="SWI357" s="22"/>
      <c r="SWJ357" s="22"/>
      <c r="SWK357" s="22"/>
      <c r="SWL357" s="22"/>
      <c r="SWM357" s="22"/>
      <c r="SWN357" s="22"/>
      <c r="SWO357" s="22"/>
      <c r="SWP357" s="22"/>
      <c r="SWQ357" s="22"/>
      <c r="SWR357" s="22"/>
      <c r="SWS357" s="22"/>
      <c r="SWT357" s="22"/>
      <c r="SWU357" s="22"/>
      <c r="SWV357" s="22"/>
      <c r="SWW357" s="22"/>
      <c r="SWX357" s="22"/>
      <c r="SWY357" s="22"/>
      <c r="SWZ357" s="22"/>
      <c r="SXA357" s="22"/>
      <c r="SXB357" s="22"/>
      <c r="SXC357" s="22"/>
      <c r="SXD357" s="22"/>
      <c r="SXE357" s="22"/>
      <c r="SXF357" s="22"/>
      <c r="SXG357" s="22"/>
      <c r="SXH357" s="22"/>
      <c r="SXI357" s="22"/>
      <c r="SXJ357" s="22"/>
      <c r="SXK357" s="22"/>
      <c r="SXL357" s="22"/>
      <c r="SXM357" s="22"/>
      <c r="SXN357" s="22"/>
      <c r="SXO357" s="22"/>
      <c r="SXP357" s="22"/>
      <c r="SXQ357" s="22"/>
      <c r="SXR357" s="22"/>
      <c r="SXS357" s="22"/>
      <c r="SXT357" s="22"/>
      <c r="SXU357" s="22"/>
      <c r="SXV357" s="22"/>
      <c r="SXW357" s="22"/>
      <c r="SXX357" s="22"/>
      <c r="SXY357" s="22"/>
      <c r="SXZ357" s="22"/>
      <c r="SYA357" s="22"/>
      <c r="SYB357" s="22"/>
      <c r="SYC357" s="22"/>
      <c r="SYD357" s="22"/>
      <c r="SYE357" s="22"/>
      <c r="SYF357" s="22"/>
      <c r="SYG357" s="22"/>
      <c r="SYH357" s="22"/>
      <c r="SYI357" s="22"/>
      <c r="SYJ357" s="22"/>
      <c r="SYK357" s="22"/>
      <c r="SYL357" s="22"/>
      <c r="SYM357" s="22"/>
      <c r="SYN357" s="22"/>
      <c r="SYO357" s="22"/>
      <c r="SYP357" s="22"/>
      <c r="SYQ357" s="22"/>
      <c r="SYR357" s="22"/>
      <c r="SYS357" s="22"/>
      <c r="SYT357" s="22"/>
      <c r="SYU357" s="22"/>
      <c r="SYV357" s="22"/>
      <c r="SYW357" s="22"/>
      <c r="SYX357" s="22"/>
      <c r="SYY357" s="22"/>
      <c r="SYZ357" s="22"/>
      <c r="SZA357" s="22"/>
      <c r="SZB357" s="22"/>
      <c r="SZC357" s="22"/>
      <c r="SZD357" s="22"/>
      <c r="SZE357" s="22"/>
      <c r="SZF357" s="22"/>
      <c r="SZG357" s="22"/>
      <c r="SZH357" s="22"/>
      <c r="SZI357" s="22"/>
      <c r="SZJ357" s="22"/>
      <c r="SZK357" s="22"/>
      <c r="SZL357" s="22"/>
      <c r="SZM357" s="22"/>
      <c r="SZN357" s="22"/>
      <c r="SZO357" s="22"/>
      <c r="SZP357" s="22"/>
      <c r="SZQ357" s="22"/>
      <c r="SZR357" s="22"/>
      <c r="SZS357" s="22"/>
      <c r="SZT357" s="22"/>
      <c r="SZU357" s="22"/>
      <c r="SZV357" s="22"/>
      <c r="SZW357" s="22"/>
      <c r="SZX357" s="22"/>
      <c r="SZY357" s="22"/>
      <c r="SZZ357" s="22"/>
      <c r="TAA357" s="22"/>
      <c r="TAB357" s="22"/>
      <c r="TAC357" s="22"/>
      <c r="TAD357" s="22"/>
      <c r="TAE357" s="22"/>
      <c r="TAF357" s="22"/>
      <c r="TAG357" s="22"/>
      <c r="TAH357" s="22"/>
      <c r="TAI357" s="22"/>
      <c r="TAJ357" s="22"/>
      <c r="TAK357" s="22"/>
      <c r="TAL357" s="22"/>
      <c r="TAM357" s="22"/>
      <c r="TAN357" s="22"/>
      <c r="TAO357" s="22"/>
      <c r="TAP357" s="22"/>
      <c r="TAQ357" s="22"/>
      <c r="TAR357" s="22"/>
      <c r="TAS357" s="22"/>
      <c r="TAT357" s="22"/>
      <c r="TAU357" s="22"/>
      <c r="TAV357" s="22"/>
      <c r="TAW357" s="22"/>
      <c r="TAX357" s="22"/>
      <c r="TAY357" s="22"/>
      <c r="TAZ357" s="22"/>
      <c r="TBA357" s="22"/>
      <c r="TBB357" s="22"/>
      <c r="TBC357" s="22"/>
      <c r="TBD357" s="22"/>
      <c r="TBE357" s="22"/>
      <c r="TBF357" s="22"/>
      <c r="TBG357" s="22"/>
      <c r="TBH357" s="22"/>
      <c r="TBI357" s="22"/>
      <c r="TBJ357" s="22"/>
      <c r="TBK357" s="22"/>
      <c r="TBL357" s="22"/>
      <c r="TBM357" s="22"/>
      <c r="TBN357" s="22"/>
      <c r="TBO357" s="22"/>
      <c r="TBP357" s="22"/>
      <c r="TBQ357" s="22"/>
      <c r="TBR357" s="22"/>
      <c r="TBS357" s="22"/>
      <c r="TBT357" s="22"/>
      <c r="TBU357" s="22"/>
      <c r="TBV357" s="22"/>
      <c r="TBW357" s="22"/>
      <c r="TBX357" s="22"/>
      <c r="TBY357" s="22"/>
      <c r="TBZ357" s="22"/>
      <c r="TCA357" s="22"/>
      <c r="TCB357" s="22"/>
      <c r="TCC357" s="22"/>
      <c r="TCD357" s="22"/>
      <c r="TCE357" s="22"/>
      <c r="TCF357" s="22"/>
      <c r="TCG357" s="22"/>
      <c r="TCH357" s="22"/>
      <c r="TCI357" s="22"/>
      <c r="TCJ357" s="22"/>
      <c r="TCK357" s="22"/>
      <c r="TCL357" s="22"/>
      <c r="TCM357" s="22"/>
      <c r="TCN357" s="22"/>
      <c r="TCO357" s="22"/>
      <c r="TCP357" s="22"/>
      <c r="TCQ357" s="22"/>
      <c r="TCR357" s="22"/>
      <c r="TCS357" s="22"/>
      <c r="TCT357" s="22"/>
      <c r="TCU357" s="22"/>
      <c r="TCV357" s="22"/>
      <c r="TCW357" s="22"/>
      <c r="TCX357" s="22"/>
      <c r="TCY357" s="22"/>
      <c r="TCZ357" s="22"/>
      <c r="TDA357" s="22"/>
      <c r="TDB357" s="22"/>
      <c r="TDC357" s="22"/>
      <c r="TDD357" s="22"/>
      <c r="TDE357" s="22"/>
      <c r="TDF357" s="22"/>
      <c r="TDG357" s="22"/>
      <c r="TDH357" s="22"/>
      <c r="TDI357" s="22"/>
      <c r="TDJ357" s="22"/>
      <c r="TDK357" s="22"/>
      <c r="TDL357" s="22"/>
      <c r="TDM357" s="22"/>
      <c r="TDN357" s="22"/>
      <c r="TDO357" s="22"/>
      <c r="TDP357" s="22"/>
      <c r="TDQ357" s="22"/>
      <c r="TDR357" s="22"/>
      <c r="TDS357" s="22"/>
      <c r="TDT357" s="22"/>
      <c r="TDU357" s="22"/>
      <c r="TDV357" s="22"/>
      <c r="TDW357" s="22"/>
      <c r="TDX357" s="22"/>
      <c r="TDY357" s="22"/>
      <c r="TDZ357" s="22"/>
      <c r="TEA357" s="22"/>
      <c r="TEB357" s="22"/>
      <c r="TEC357" s="22"/>
      <c r="TED357" s="22"/>
      <c r="TEE357" s="22"/>
      <c r="TEF357" s="22"/>
      <c r="TEG357" s="22"/>
      <c r="TEH357" s="22"/>
      <c r="TEI357" s="22"/>
      <c r="TEJ357" s="22"/>
      <c r="TEK357" s="22"/>
      <c r="TEL357" s="22"/>
      <c r="TEM357" s="22"/>
      <c r="TEN357" s="22"/>
      <c r="TEO357" s="22"/>
      <c r="TEP357" s="22"/>
      <c r="TEQ357" s="22"/>
      <c r="TER357" s="22"/>
      <c r="TES357" s="22"/>
      <c r="TET357" s="22"/>
      <c r="TEU357" s="22"/>
      <c r="TEV357" s="22"/>
      <c r="TEW357" s="22"/>
      <c r="TEX357" s="22"/>
      <c r="TEY357" s="22"/>
      <c r="TEZ357" s="22"/>
      <c r="TFA357" s="22"/>
      <c r="TFB357" s="22"/>
      <c r="TFC357" s="22"/>
      <c r="TFD357" s="22"/>
      <c r="TFE357" s="22"/>
      <c r="TFF357" s="22"/>
      <c r="TFG357" s="22"/>
      <c r="TFH357" s="22"/>
      <c r="TFI357" s="22"/>
      <c r="TFJ357" s="22"/>
      <c r="TFK357" s="22"/>
      <c r="TFL357" s="22"/>
      <c r="TFM357" s="22"/>
      <c r="TFN357" s="22"/>
      <c r="TFO357" s="22"/>
      <c r="TFP357" s="22"/>
      <c r="TFQ357" s="22"/>
      <c r="TFR357" s="22"/>
      <c r="TFS357" s="22"/>
      <c r="TFT357" s="22"/>
      <c r="TFU357" s="22"/>
      <c r="TFV357" s="22"/>
      <c r="TFW357" s="22"/>
      <c r="TFX357" s="22"/>
      <c r="TFY357" s="22"/>
      <c r="TFZ357" s="22"/>
      <c r="TGA357" s="22"/>
      <c r="TGB357" s="22"/>
      <c r="TGC357" s="22"/>
      <c r="TGD357" s="22"/>
      <c r="TGE357" s="22"/>
      <c r="TGF357" s="22"/>
      <c r="TGG357" s="22"/>
      <c r="TGH357" s="22"/>
      <c r="TGI357" s="22"/>
      <c r="TGJ357" s="22"/>
      <c r="TGK357" s="22"/>
      <c r="TGL357" s="22"/>
      <c r="TGM357" s="22"/>
      <c r="TGN357" s="22"/>
      <c r="TGO357" s="22"/>
      <c r="TGP357" s="22"/>
      <c r="TGQ357" s="22"/>
      <c r="TGR357" s="22"/>
      <c r="TGS357" s="22"/>
      <c r="TGT357" s="22"/>
      <c r="TGU357" s="22"/>
      <c r="TGV357" s="22"/>
      <c r="TGW357" s="22"/>
      <c r="TGX357" s="22"/>
      <c r="TGY357" s="22"/>
      <c r="TGZ357" s="22"/>
      <c r="THA357" s="22"/>
      <c r="THB357" s="22"/>
      <c r="THC357" s="22"/>
      <c r="THD357" s="22"/>
      <c r="THE357" s="22"/>
      <c r="THF357" s="22"/>
      <c r="THG357" s="22"/>
      <c r="THH357" s="22"/>
      <c r="THI357" s="22"/>
      <c r="THJ357" s="22"/>
      <c r="THK357" s="22"/>
      <c r="THL357" s="22"/>
      <c r="THM357" s="22"/>
      <c r="THN357" s="22"/>
      <c r="THO357" s="22"/>
      <c r="THP357" s="22"/>
      <c r="THQ357" s="22"/>
      <c r="THR357" s="22"/>
      <c r="THS357" s="22"/>
      <c r="THT357" s="22"/>
      <c r="THU357" s="22"/>
      <c r="THV357" s="22"/>
      <c r="THW357" s="22"/>
      <c r="THX357" s="22"/>
      <c r="THY357" s="22"/>
      <c r="THZ357" s="22"/>
      <c r="TIA357" s="22"/>
      <c r="TIB357" s="22"/>
      <c r="TIC357" s="22"/>
      <c r="TID357" s="22"/>
      <c r="TIE357" s="22"/>
      <c r="TIF357" s="22"/>
      <c r="TIG357" s="22"/>
      <c r="TIH357" s="22"/>
      <c r="TII357" s="22"/>
      <c r="TIJ357" s="22"/>
      <c r="TIK357" s="22"/>
      <c r="TIL357" s="22"/>
      <c r="TIM357" s="22"/>
      <c r="TIN357" s="22"/>
      <c r="TIO357" s="22"/>
      <c r="TIP357" s="22"/>
      <c r="TIQ357" s="22"/>
      <c r="TIR357" s="22"/>
      <c r="TIS357" s="22"/>
      <c r="TIT357" s="22"/>
      <c r="TIU357" s="22"/>
      <c r="TIV357" s="22"/>
      <c r="TIW357" s="22"/>
      <c r="TIX357" s="22"/>
      <c r="TIY357" s="22"/>
      <c r="TIZ357" s="22"/>
      <c r="TJA357" s="22"/>
      <c r="TJB357" s="22"/>
      <c r="TJC357" s="22"/>
      <c r="TJD357" s="22"/>
      <c r="TJE357" s="22"/>
      <c r="TJF357" s="22"/>
      <c r="TJG357" s="22"/>
      <c r="TJH357" s="22"/>
      <c r="TJI357" s="22"/>
      <c r="TJJ357" s="22"/>
      <c r="TJK357" s="22"/>
      <c r="TJL357" s="22"/>
      <c r="TJM357" s="22"/>
      <c r="TJN357" s="22"/>
      <c r="TJO357" s="22"/>
      <c r="TJP357" s="22"/>
      <c r="TJQ357" s="22"/>
      <c r="TJR357" s="22"/>
      <c r="TJS357" s="22"/>
      <c r="TJT357" s="22"/>
      <c r="TJU357" s="22"/>
      <c r="TJV357" s="22"/>
      <c r="TJW357" s="22"/>
      <c r="TJX357" s="22"/>
      <c r="TJY357" s="22"/>
      <c r="TJZ357" s="22"/>
      <c r="TKA357" s="22"/>
      <c r="TKB357" s="22"/>
      <c r="TKC357" s="22"/>
      <c r="TKD357" s="22"/>
      <c r="TKE357" s="22"/>
      <c r="TKF357" s="22"/>
      <c r="TKG357" s="22"/>
      <c r="TKH357" s="22"/>
      <c r="TKI357" s="22"/>
      <c r="TKJ357" s="22"/>
      <c r="TKK357" s="22"/>
      <c r="TKL357" s="22"/>
      <c r="TKM357" s="22"/>
      <c r="TKN357" s="22"/>
      <c r="TKO357" s="22"/>
      <c r="TKP357" s="22"/>
      <c r="TKQ357" s="22"/>
      <c r="TKR357" s="22"/>
      <c r="TKS357" s="22"/>
      <c r="TKT357" s="22"/>
      <c r="TKU357" s="22"/>
      <c r="TKV357" s="22"/>
      <c r="TKW357" s="22"/>
      <c r="TKX357" s="22"/>
      <c r="TKY357" s="22"/>
      <c r="TKZ357" s="22"/>
      <c r="TLA357" s="22"/>
      <c r="TLB357" s="22"/>
      <c r="TLC357" s="22"/>
      <c r="TLD357" s="22"/>
      <c r="TLE357" s="22"/>
      <c r="TLF357" s="22"/>
      <c r="TLG357" s="22"/>
      <c r="TLH357" s="22"/>
      <c r="TLI357" s="22"/>
      <c r="TLJ357" s="22"/>
      <c r="TLK357" s="22"/>
      <c r="TLL357" s="22"/>
      <c r="TLM357" s="22"/>
      <c r="TLN357" s="22"/>
      <c r="TLO357" s="22"/>
      <c r="TLP357" s="22"/>
      <c r="TLQ357" s="22"/>
      <c r="TLR357" s="22"/>
      <c r="TLS357" s="22"/>
      <c r="TLT357" s="22"/>
      <c r="TLU357" s="22"/>
      <c r="TLV357" s="22"/>
      <c r="TLW357" s="22"/>
      <c r="TLX357" s="22"/>
      <c r="TLY357" s="22"/>
      <c r="TLZ357" s="22"/>
      <c r="TMA357" s="22"/>
      <c r="TMB357" s="22"/>
      <c r="TMC357" s="22"/>
      <c r="TMD357" s="22"/>
      <c r="TME357" s="22"/>
      <c r="TMF357" s="22"/>
      <c r="TMG357" s="22"/>
      <c r="TMH357" s="22"/>
      <c r="TMI357" s="22"/>
      <c r="TMJ357" s="22"/>
      <c r="TMK357" s="22"/>
      <c r="TML357" s="22"/>
      <c r="TMM357" s="22"/>
      <c r="TMN357" s="22"/>
      <c r="TMO357" s="22"/>
      <c r="TMP357" s="22"/>
      <c r="TMQ357" s="22"/>
      <c r="TMR357" s="22"/>
      <c r="TMS357" s="22"/>
      <c r="TMT357" s="22"/>
      <c r="TMU357" s="22"/>
      <c r="TMV357" s="22"/>
      <c r="TMW357" s="22"/>
      <c r="TMX357" s="22"/>
      <c r="TMY357" s="22"/>
      <c r="TMZ357" s="22"/>
      <c r="TNA357" s="22"/>
      <c r="TNB357" s="22"/>
      <c r="TNC357" s="22"/>
      <c r="TND357" s="22"/>
      <c r="TNE357" s="22"/>
      <c r="TNF357" s="22"/>
      <c r="TNG357" s="22"/>
      <c r="TNH357" s="22"/>
      <c r="TNI357" s="22"/>
      <c r="TNJ357" s="22"/>
      <c r="TNK357" s="22"/>
      <c r="TNL357" s="22"/>
      <c r="TNM357" s="22"/>
      <c r="TNN357" s="22"/>
      <c r="TNO357" s="22"/>
      <c r="TNP357" s="22"/>
      <c r="TNQ357" s="22"/>
      <c r="TNR357" s="22"/>
      <c r="TNS357" s="22"/>
      <c r="TNT357" s="22"/>
      <c r="TNU357" s="22"/>
      <c r="TNV357" s="22"/>
      <c r="TNW357" s="22"/>
      <c r="TNX357" s="22"/>
      <c r="TNY357" s="22"/>
      <c r="TNZ357" s="22"/>
      <c r="TOA357" s="22"/>
      <c r="TOB357" s="22"/>
      <c r="TOC357" s="22"/>
      <c r="TOD357" s="22"/>
      <c r="TOE357" s="22"/>
      <c r="TOF357" s="22"/>
      <c r="TOG357" s="22"/>
      <c r="TOH357" s="22"/>
      <c r="TOI357" s="22"/>
      <c r="TOJ357" s="22"/>
      <c r="TOK357" s="22"/>
      <c r="TOL357" s="22"/>
      <c r="TOM357" s="22"/>
      <c r="TON357" s="22"/>
      <c r="TOO357" s="22"/>
      <c r="TOP357" s="22"/>
      <c r="TOQ357" s="22"/>
      <c r="TOR357" s="22"/>
      <c r="TOS357" s="22"/>
      <c r="TOT357" s="22"/>
      <c r="TOU357" s="22"/>
      <c r="TOV357" s="22"/>
      <c r="TOW357" s="22"/>
      <c r="TOX357" s="22"/>
      <c r="TOY357" s="22"/>
      <c r="TOZ357" s="22"/>
      <c r="TPA357" s="22"/>
      <c r="TPB357" s="22"/>
      <c r="TPC357" s="22"/>
      <c r="TPD357" s="22"/>
      <c r="TPE357" s="22"/>
      <c r="TPF357" s="22"/>
      <c r="TPG357" s="22"/>
      <c r="TPH357" s="22"/>
      <c r="TPI357" s="22"/>
      <c r="TPJ357" s="22"/>
      <c r="TPK357" s="22"/>
      <c r="TPL357" s="22"/>
      <c r="TPM357" s="22"/>
      <c r="TPN357" s="22"/>
      <c r="TPO357" s="22"/>
      <c r="TPP357" s="22"/>
      <c r="TPQ357" s="22"/>
      <c r="TPR357" s="22"/>
      <c r="TPS357" s="22"/>
      <c r="TPT357" s="22"/>
      <c r="TPU357" s="22"/>
      <c r="TPV357" s="22"/>
      <c r="TPW357" s="22"/>
      <c r="TPX357" s="22"/>
      <c r="TPY357" s="22"/>
      <c r="TPZ357" s="22"/>
      <c r="TQA357" s="22"/>
      <c r="TQB357" s="22"/>
      <c r="TQC357" s="22"/>
      <c r="TQD357" s="22"/>
      <c r="TQE357" s="22"/>
      <c r="TQF357" s="22"/>
      <c r="TQG357" s="22"/>
      <c r="TQH357" s="22"/>
      <c r="TQI357" s="22"/>
      <c r="TQJ357" s="22"/>
      <c r="TQK357" s="22"/>
      <c r="TQL357" s="22"/>
      <c r="TQM357" s="22"/>
      <c r="TQN357" s="22"/>
      <c r="TQO357" s="22"/>
      <c r="TQP357" s="22"/>
      <c r="TQQ357" s="22"/>
      <c r="TQR357" s="22"/>
      <c r="TQS357" s="22"/>
      <c r="TQT357" s="22"/>
      <c r="TQU357" s="22"/>
      <c r="TQV357" s="22"/>
      <c r="TQW357" s="22"/>
      <c r="TQX357" s="22"/>
      <c r="TQY357" s="22"/>
      <c r="TQZ357" s="22"/>
      <c r="TRA357" s="22"/>
      <c r="TRB357" s="22"/>
      <c r="TRC357" s="22"/>
      <c r="TRD357" s="22"/>
      <c r="TRE357" s="22"/>
      <c r="TRF357" s="22"/>
      <c r="TRG357" s="22"/>
      <c r="TRH357" s="22"/>
      <c r="TRI357" s="22"/>
      <c r="TRJ357" s="22"/>
      <c r="TRK357" s="22"/>
      <c r="TRL357" s="22"/>
      <c r="TRM357" s="22"/>
      <c r="TRN357" s="22"/>
      <c r="TRO357" s="22"/>
      <c r="TRP357" s="22"/>
      <c r="TRQ357" s="22"/>
      <c r="TRR357" s="22"/>
      <c r="TRS357" s="22"/>
      <c r="TRT357" s="22"/>
      <c r="TRU357" s="22"/>
      <c r="TRV357" s="22"/>
      <c r="TRW357" s="22"/>
      <c r="TRX357" s="22"/>
      <c r="TRY357" s="22"/>
      <c r="TRZ357" s="22"/>
      <c r="TSA357" s="22"/>
      <c r="TSB357" s="22"/>
      <c r="TSC357" s="22"/>
      <c r="TSD357" s="22"/>
      <c r="TSE357" s="22"/>
      <c r="TSF357" s="22"/>
      <c r="TSG357" s="22"/>
      <c r="TSH357" s="22"/>
      <c r="TSI357" s="22"/>
      <c r="TSJ357" s="22"/>
      <c r="TSK357" s="22"/>
      <c r="TSL357" s="22"/>
      <c r="TSM357" s="22"/>
      <c r="TSN357" s="22"/>
      <c r="TSO357" s="22"/>
      <c r="TSP357" s="22"/>
      <c r="TSQ357" s="22"/>
      <c r="TSR357" s="22"/>
      <c r="TSS357" s="22"/>
      <c r="TST357" s="22"/>
      <c r="TSU357" s="22"/>
      <c r="TSV357" s="22"/>
      <c r="TSW357" s="22"/>
      <c r="TSX357" s="22"/>
      <c r="TSY357" s="22"/>
      <c r="TSZ357" s="22"/>
      <c r="TTA357" s="22"/>
      <c r="TTB357" s="22"/>
      <c r="TTC357" s="22"/>
      <c r="TTD357" s="22"/>
      <c r="TTE357" s="22"/>
      <c r="TTF357" s="22"/>
      <c r="TTG357" s="22"/>
      <c r="TTH357" s="22"/>
      <c r="TTI357" s="22"/>
      <c r="TTJ357" s="22"/>
      <c r="TTK357" s="22"/>
      <c r="TTL357" s="22"/>
      <c r="TTM357" s="22"/>
      <c r="TTN357" s="22"/>
      <c r="TTO357" s="22"/>
      <c r="TTP357" s="22"/>
      <c r="TTQ357" s="22"/>
      <c r="TTR357" s="22"/>
      <c r="TTS357" s="22"/>
      <c r="TTT357" s="22"/>
      <c r="TTU357" s="22"/>
      <c r="TTV357" s="22"/>
      <c r="TTW357" s="22"/>
      <c r="TTX357" s="22"/>
      <c r="TTY357" s="22"/>
      <c r="TTZ357" s="22"/>
      <c r="TUA357" s="22"/>
      <c r="TUB357" s="22"/>
      <c r="TUC357" s="22"/>
      <c r="TUD357" s="22"/>
      <c r="TUE357" s="22"/>
      <c r="TUF357" s="22"/>
      <c r="TUG357" s="22"/>
      <c r="TUH357" s="22"/>
      <c r="TUI357" s="22"/>
      <c r="TUJ357" s="22"/>
      <c r="TUK357" s="22"/>
      <c r="TUL357" s="22"/>
      <c r="TUM357" s="22"/>
      <c r="TUN357" s="22"/>
      <c r="TUO357" s="22"/>
      <c r="TUP357" s="22"/>
      <c r="TUQ357" s="22"/>
      <c r="TUR357" s="22"/>
      <c r="TUS357" s="22"/>
      <c r="TUT357" s="22"/>
      <c r="TUU357" s="22"/>
      <c r="TUV357" s="22"/>
      <c r="TUW357" s="22"/>
      <c r="TUX357" s="22"/>
      <c r="TUY357" s="22"/>
      <c r="TUZ357" s="22"/>
      <c r="TVA357" s="22"/>
      <c r="TVB357" s="22"/>
      <c r="TVC357" s="22"/>
      <c r="TVD357" s="22"/>
      <c r="TVE357" s="22"/>
      <c r="TVF357" s="22"/>
      <c r="TVG357" s="22"/>
      <c r="TVH357" s="22"/>
      <c r="TVI357" s="22"/>
      <c r="TVJ357" s="22"/>
      <c r="TVK357" s="22"/>
      <c r="TVL357" s="22"/>
      <c r="TVM357" s="22"/>
      <c r="TVN357" s="22"/>
      <c r="TVO357" s="22"/>
      <c r="TVP357" s="22"/>
      <c r="TVQ357" s="22"/>
      <c r="TVR357" s="22"/>
      <c r="TVS357" s="22"/>
      <c r="TVT357" s="22"/>
      <c r="TVU357" s="22"/>
      <c r="TVV357" s="22"/>
      <c r="TVW357" s="22"/>
      <c r="TVX357" s="22"/>
      <c r="TVY357" s="22"/>
      <c r="TVZ357" s="22"/>
      <c r="TWA357" s="22"/>
      <c r="TWB357" s="22"/>
      <c r="TWC357" s="22"/>
      <c r="TWD357" s="22"/>
      <c r="TWE357" s="22"/>
      <c r="TWF357" s="22"/>
      <c r="TWG357" s="22"/>
      <c r="TWH357" s="22"/>
      <c r="TWI357" s="22"/>
      <c r="TWJ357" s="22"/>
      <c r="TWK357" s="22"/>
      <c r="TWL357" s="22"/>
      <c r="TWM357" s="22"/>
      <c r="TWN357" s="22"/>
      <c r="TWO357" s="22"/>
      <c r="TWP357" s="22"/>
      <c r="TWQ357" s="22"/>
      <c r="TWR357" s="22"/>
      <c r="TWS357" s="22"/>
      <c r="TWT357" s="22"/>
      <c r="TWU357" s="22"/>
      <c r="TWV357" s="22"/>
      <c r="TWW357" s="22"/>
      <c r="TWX357" s="22"/>
      <c r="TWY357" s="22"/>
      <c r="TWZ357" s="22"/>
      <c r="TXA357" s="22"/>
      <c r="TXB357" s="22"/>
      <c r="TXC357" s="22"/>
      <c r="TXD357" s="22"/>
      <c r="TXE357" s="22"/>
      <c r="TXF357" s="22"/>
      <c r="TXG357" s="22"/>
      <c r="TXH357" s="22"/>
      <c r="TXI357" s="22"/>
      <c r="TXJ357" s="22"/>
      <c r="TXK357" s="22"/>
      <c r="TXL357" s="22"/>
      <c r="TXM357" s="22"/>
      <c r="TXN357" s="22"/>
      <c r="TXO357" s="22"/>
      <c r="TXP357" s="22"/>
      <c r="TXQ357" s="22"/>
      <c r="TXR357" s="22"/>
      <c r="TXS357" s="22"/>
      <c r="TXT357" s="22"/>
      <c r="TXU357" s="22"/>
      <c r="TXV357" s="22"/>
      <c r="TXW357" s="22"/>
      <c r="TXX357" s="22"/>
      <c r="TXY357" s="22"/>
      <c r="TXZ357" s="22"/>
      <c r="TYA357" s="22"/>
      <c r="TYB357" s="22"/>
      <c r="TYC357" s="22"/>
      <c r="TYD357" s="22"/>
      <c r="TYE357" s="22"/>
      <c r="TYF357" s="22"/>
      <c r="TYG357" s="22"/>
      <c r="TYH357" s="22"/>
      <c r="TYI357" s="22"/>
      <c r="TYJ357" s="22"/>
      <c r="TYK357" s="22"/>
      <c r="TYL357" s="22"/>
      <c r="TYM357" s="22"/>
      <c r="TYN357" s="22"/>
      <c r="TYO357" s="22"/>
      <c r="TYP357" s="22"/>
      <c r="TYQ357" s="22"/>
      <c r="TYR357" s="22"/>
      <c r="TYS357" s="22"/>
      <c r="TYT357" s="22"/>
      <c r="TYU357" s="22"/>
      <c r="TYV357" s="22"/>
      <c r="TYW357" s="22"/>
      <c r="TYX357" s="22"/>
      <c r="TYY357" s="22"/>
      <c r="TYZ357" s="22"/>
      <c r="TZA357" s="22"/>
      <c r="TZB357" s="22"/>
      <c r="TZC357" s="22"/>
      <c r="TZD357" s="22"/>
      <c r="TZE357" s="22"/>
      <c r="TZF357" s="22"/>
      <c r="TZG357" s="22"/>
      <c r="TZH357" s="22"/>
      <c r="TZI357" s="22"/>
      <c r="TZJ357" s="22"/>
      <c r="TZK357" s="22"/>
      <c r="TZL357" s="22"/>
      <c r="TZM357" s="22"/>
      <c r="TZN357" s="22"/>
      <c r="TZO357" s="22"/>
      <c r="TZP357" s="22"/>
      <c r="TZQ357" s="22"/>
      <c r="TZR357" s="22"/>
      <c r="TZS357" s="22"/>
      <c r="TZT357" s="22"/>
      <c r="TZU357" s="22"/>
      <c r="TZV357" s="22"/>
      <c r="TZW357" s="22"/>
      <c r="TZX357" s="22"/>
      <c r="TZY357" s="22"/>
      <c r="TZZ357" s="22"/>
      <c r="UAA357" s="22"/>
      <c r="UAB357" s="22"/>
      <c r="UAC357" s="22"/>
      <c r="UAD357" s="22"/>
      <c r="UAE357" s="22"/>
      <c r="UAF357" s="22"/>
      <c r="UAG357" s="22"/>
      <c r="UAH357" s="22"/>
      <c r="UAI357" s="22"/>
      <c r="UAJ357" s="22"/>
      <c r="UAK357" s="22"/>
      <c r="UAL357" s="22"/>
      <c r="UAM357" s="22"/>
      <c r="UAN357" s="22"/>
      <c r="UAO357" s="22"/>
      <c r="UAP357" s="22"/>
      <c r="UAQ357" s="22"/>
      <c r="UAR357" s="22"/>
      <c r="UAS357" s="22"/>
      <c r="UAT357" s="22"/>
      <c r="UAU357" s="22"/>
      <c r="UAV357" s="22"/>
      <c r="UAW357" s="22"/>
      <c r="UAX357" s="22"/>
      <c r="UAY357" s="22"/>
      <c r="UAZ357" s="22"/>
      <c r="UBA357" s="22"/>
      <c r="UBB357" s="22"/>
      <c r="UBC357" s="22"/>
      <c r="UBD357" s="22"/>
      <c r="UBE357" s="22"/>
      <c r="UBF357" s="22"/>
      <c r="UBG357" s="22"/>
      <c r="UBH357" s="22"/>
      <c r="UBI357" s="22"/>
      <c r="UBJ357" s="22"/>
      <c r="UBK357" s="22"/>
      <c r="UBL357" s="22"/>
      <c r="UBM357" s="22"/>
      <c r="UBN357" s="22"/>
      <c r="UBO357" s="22"/>
      <c r="UBP357" s="22"/>
      <c r="UBQ357" s="22"/>
      <c r="UBR357" s="22"/>
      <c r="UBS357" s="22"/>
      <c r="UBT357" s="22"/>
      <c r="UBU357" s="22"/>
      <c r="UBV357" s="22"/>
      <c r="UBW357" s="22"/>
      <c r="UBX357" s="22"/>
      <c r="UBY357" s="22"/>
      <c r="UBZ357" s="22"/>
      <c r="UCA357" s="22"/>
      <c r="UCB357" s="22"/>
      <c r="UCC357" s="22"/>
      <c r="UCD357" s="22"/>
      <c r="UCE357" s="22"/>
      <c r="UCF357" s="22"/>
      <c r="UCG357" s="22"/>
      <c r="UCH357" s="22"/>
      <c r="UCI357" s="22"/>
      <c r="UCJ357" s="22"/>
      <c r="UCK357" s="22"/>
      <c r="UCL357" s="22"/>
      <c r="UCM357" s="22"/>
      <c r="UCN357" s="22"/>
      <c r="UCO357" s="22"/>
      <c r="UCP357" s="22"/>
      <c r="UCQ357" s="22"/>
      <c r="UCR357" s="22"/>
      <c r="UCS357" s="22"/>
      <c r="UCT357" s="22"/>
      <c r="UCU357" s="22"/>
      <c r="UCV357" s="22"/>
      <c r="UCW357" s="22"/>
      <c r="UCX357" s="22"/>
      <c r="UCY357" s="22"/>
      <c r="UCZ357" s="22"/>
      <c r="UDA357" s="22"/>
      <c r="UDB357" s="22"/>
      <c r="UDC357" s="22"/>
      <c r="UDD357" s="22"/>
      <c r="UDE357" s="22"/>
      <c r="UDF357" s="22"/>
      <c r="UDG357" s="22"/>
      <c r="UDH357" s="22"/>
      <c r="UDI357" s="22"/>
      <c r="UDJ357" s="22"/>
      <c r="UDK357" s="22"/>
      <c r="UDL357" s="22"/>
      <c r="UDM357" s="22"/>
      <c r="UDN357" s="22"/>
      <c r="UDO357" s="22"/>
      <c r="UDP357" s="22"/>
      <c r="UDQ357" s="22"/>
      <c r="UDR357" s="22"/>
      <c r="UDS357" s="22"/>
      <c r="UDT357" s="22"/>
      <c r="UDU357" s="22"/>
      <c r="UDV357" s="22"/>
      <c r="UDW357" s="22"/>
      <c r="UDX357" s="22"/>
      <c r="UDY357" s="22"/>
      <c r="UDZ357" s="22"/>
      <c r="UEA357" s="22"/>
      <c r="UEB357" s="22"/>
      <c r="UEC357" s="22"/>
      <c r="UED357" s="22"/>
      <c r="UEE357" s="22"/>
      <c r="UEF357" s="22"/>
      <c r="UEG357" s="22"/>
      <c r="UEH357" s="22"/>
      <c r="UEI357" s="22"/>
      <c r="UEJ357" s="22"/>
      <c r="UEK357" s="22"/>
      <c r="UEL357" s="22"/>
      <c r="UEM357" s="22"/>
      <c r="UEN357" s="22"/>
      <c r="UEO357" s="22"/>
      <c r="UEP357" s="22"/>
      <c r="UEQ357" s="22"/>
      <c r="UER357" s="22"/>
      <c r="UES357" s="22"/>
      <c r="UET357" s="22"/>
      <c r="UEU357" s="22"/>
      <c r="UEV357" s="22"/>
      <c r="UEW357" s="22"/>
      <c r="UEX357" s="22"/>
      <c r="UEY357" s="22"/>
      <c r="UEZ357" s="22"/>
      <c r="UFA357" s="22"/>
      <c r="UFB357" s="22"/>
      <c r="UFC357" s="22"/>
      <c r="UFD357" s="22"/>
      <c r="UFE357" s="22"/>
      <c r="UFF357" s="22"/>
      <c r="UFG357" s="22"/>
      <c r="UFH357" s="22"/>
      <c r="UFI357" s="22"/>
      <c r="UFJ357" s="22"/>
      <c r="UFK357" s="22"/>
      <c r="UFL357" s="22"/>
      <c r="UFM357" s="22"/>
      <c r="UFN357" s="22"/>
      <c r="UFO357" s="22"/>
      <c r="UFP357" s="22"/>
      <c r="UFQ357" s="22"/>
      <c r="UFR357" s="22"/>
      <c r="UFS357" s="22"/>
      <c r="UFT357" s="22"/>
      <c r="UFU357" s="22"/>
      <c r="UFV357" s="22"/>
      <c r="UFW357" s="22"/>
      <c r="UFX357" s="22"/>
      <c r="UFY357" s="22"/>
      <c r="UFZ357" s="22"/>
      <c r="UGA357" s="22"/>
      <c r="UGB357" s="22"/>
      <c r="UGC357" s="22"/>
      <c r="UGD357" s="22"/>
      <c r="UGE357" s="22"/>
      <c r="UGF357" s="22"/>
      <c r="UGG357" s="22"/>
      <c r="UGH357" s="22"/>
      <c r="UGI357" s="22"/>
      <c r="UGJ357" s="22"/>
      <c r="UGK357" s="22"/>
      <c r="UGL357" s="22"/>
      <c r="UGM357" s="22"/>
      <c r="UGN357" s="22"/>
      <c r="UGO357" s="22"/>
      <c r="UGP357" s="22"/>
      <c r="UGQ357" s="22"/>
      <c r="UGR357" s="22"/>
      <c r="UGS357" s="22"/>
      <c r="UGT357" s="22"/>
      <c r="UGU357" s="22"/>
      <c r="UGV357" s="22"/>
      <c r="UGW357" s="22"/>
      <c r="UGX357" s="22"/>
      <c r="UGY357" s="22"/>
      <c r="UGZ357" s="22"/>
      <c r="UHA357" s="22"/>
      <c r="UHB357" s="22"/>
      <c r="UHC357" s="22"/>
      <c r="UHD357" s="22"/>
      <c r="UHE357" s="22"/>
      <c r="UHF357" s="22"/>
      <c r="UHG357" s="22"/>
      <c r="UHH357" s="22"/>
      <c r="UHI357" s="22"/>
      <c r="UHJ357" s="22"/>
      <c r="UHK357" s="22"/>
      <c r="UHL357" s="22"/>
      <c r="UHM357" s="22"/>
      <c r="UHN357" s="22"/>
      <c r="UHO357" s="22"/>
      <c r="UHP357" s="22"/>
      <c r="UHQ357" s="22"/>
      <c r="UHR357" s="22"/>
      <c r="UHS357" s="22"/>
      <c r="UHT357" s="22"/>
      <c r="UHU357" s="22"/>
      <c r="UHV357" s="22"/>
      <c r="UHW357" s="22"/>
      <c r="UHX357" s="22"/>
      <c r="UHY357" s="22"/>
      <c r="UHZ357" s="22"/>
      <c r="UIA357" s="22"/>
      <c r="UIB357" s="22"/>
      <c r="UIC357" s="22"/>
      <c r="UID357" s="22"/>
      <c r="UIE357" s="22"/>
      <c r="UIF357" s="22"/>
      <c r="UIG357" s="22"/>
      <c r="UIH357" s="22"/>
      <c r="UII357" s="22"/>
      <c r="UIJ357" s="22"/>
      <c r="UIK357" s="22"/>
      <c r="UIL357" s="22"/>
      <c r="UIM357" s="22"/>
      <c r="UIN357" s="22"/>
      <c r="UIO357" s="22"/>
      <c r="UIP357" s="22"/>
      <c r="UIQ357" s="22"/>
      <c r="UIR357" s="22"/>
      <c r="UIS357" s="22"/>
      <c r="UIT357" s="22"/>
      <c r="UIU357" s="22"/>
      <c r="UIV357" s="22"/>
      <c r="UIW357" s="22"/>
      <c r="UIX357" s="22"/>
      <c r="UIY357" s="22"/>
      <c r="UIZ357" s="22"/>
      <c r="UJA357" s="22"/>
      <c r="UJB357" s="22"/>
      <c r="UJC357" s="22"/>
      <c r="UJD357" s="22"/>
      <c r="UJE357" s="22"/>
      <c r="UJF357" s="22"/>
      <c r="UJG357" s="22"/>
      <c r="UJH357" s="22"/>
      <c r="UJI357" s="22"/>
      <c r="UJJ357" s="22"/>
      <c r="UJK357" s="22"/>
      <c r="UJL357" s="22"/>
      <c r="UJM357" s="22"/>
      <c r="UJN357" s="22"/>
      <c r="UJO357" s="22"/>
      <c r="UJP357" s="22"/>
      <c r="UJQ357" s="22"/>
      <c r="UJR357" s="22"/>
      <c r="UJS357" s="22"/>
      <c r="UJT357" s="22"/>
      <c r="UJU357" s="22"/>
      <c r="UJV357" s="22"/>
      <c r="UJW357" s="22"/>
      <c r="UJX357" s="22"/>
      <c r="UJY357" s="22"/>
      <c r="UJZ357" s="22"/>
      <c r="UKA357" s="22"/>
      <c r="UKB357" s="22"/>
      <c r="UKC357" s="22"/>
      <c r="UKD357" s="22"/>
      <c r="UKE357" s="22"/>
      <c r="UKF357" s="22"/>
      <c r="UKG357" s="22"/>
      <c r="UKH357" s="22"/>
      <c r="UKI357" s="22"/>
      <c r="UKJ357" s="22"/>
      <c r="UKK357" s="22"/>
      <c r="UKL357" s="22"/>
      <c r="UKM357" s="22"/>
      <c r="UKN357" s="22"/>
      <c r="UKO357" s="22"/>
      <c r="UKP357" s="22"/>
      <c r="UKQ357" s="22"/>
      <c r="UKR357" s="22"/>
      <c r="UKS357" s="22"/>
      <c r="UKT357" s="22"/>
      <c r="UKU357" s="22"/>
      <c r="UKV357" s="22"/>
      <c r="UKW357" s="22"/>
      <c r="UKX357" s="22"/>
      <c r="UKY357" s="22"/>
      <c r="UKZ357" s="22"/>
      <c r="ULA357" s="22"/>
      <c r="ULB357" s="22"/>
      <c r="ULC357" s="22"/>
      <c r="ULD357" s="22"/>
      <c r="ULE357" s="22"/>
      <c r="ULF357" s="22"/>
      <c r="ULG357" s="22"/>
      <c r="ULH357" s="22"/>
      <c r="ULI357" s="22"/>
      <c r="ULJ357" s="22"/>
      <c r="ULK357" s="22"/>
      <c r="ULL357" s="22"/>
      <c r="ULM357" s="22"/>
      <c r="ULN357" s="22"/>
      <c r="ULO357" s="22"/>
      <c r="ULP357" s="22"/>
      <c r="ULQ357" s="22"/>
      <c r="ULR357" s="22"/>
      <c r="ULS357" s="22"/>
      <c r="ULT357" s="22"/>
      <c r="ULU357" s="22"/>
      <c r="ULV357" s="22"/>
      <c r="ULW357" s="22"/>
      <c r="ULX357" s="22"/>
      <c r="ULY357" s="22"/>
      <c r="ULZ357" s="22"/>
      <c r="UMA357" s="22"/>
      <c r="UMB357" s="22"/>
      <c r="UMC357" s="22"/>
      <c r="UMD357" s="22"/>
      <c r="UME357" s="22"/>
      <c r="UMF357" s="22"/>
      <c r="UMG357" s="22"/>
      <c r="UMH357" s="22"/>
      <c r="UMI357" s="22"/>
      <c r="UMJ357" s="22"/>
      <c r="UMK357" s="22"/>
      <c r="UML357" s="22"/>
      <c r="UMM357" s="22"/>
      <c r="UMN357" s="22"/>
      <c r="UMO357" s="22"/>
      <c r="UMP357" s="22"/>
      <c r="UMQ357" s="22"/>
      <c r="UMR357" s="22"/>
      <c r="UMS357" s="22"/>
      <c r="UMT357" s="22"/>
      <c r="UMU357" s="22"/>
      <c r="UMV357" s="22"/>
      <c r="UMW357" s="22"/>
      <c r="UMX357" s="22"/>
      <c r="UMY357" s="22"/>
      <c r="UMZ357" s="22"/>
      <c r="UNA357" s="22"/>
      <c r="UNB357" s="22"/>
      <c r="UNC357" s="22"/>
      <c r="UND357" s="22"/>
      <c r="UNE357" s="22"/>
      <c r="UNF357" s="22"/>
      <c r="UNG357" s="22"/>
      <c r="UNH357" s="22"/>
      <c r="UNI357" s="22"/>
      <c r="UNJ357" s="22"/>
      <c r="UNK357" s="22"/>
      <c r="UNL357" s="22"/>
      <c r="UNM357" s="22"/>
      <c r="UNN357" s="22"/>
      <c r="UNO357" s="22"/>
      <c r="UNP357" s="22"/>
      <c r="UNQ357" s="22"/>
      <c r="UNR357" s="22"/>
      <c r="UNS357" s="22"/>
      <c r="UNT357" s="22"/>
      <c r="UNU357" s="22"/>
      <c r="UNV357" s="22"/>
      <c r="UNW357" s="22"/>
      <c r="UNX357" s="22"/>
      <c r="UNY357" s="22"/>
      <c r="UNZ357" s="22"/>
      <c r="UOA357" s="22"/>
      <c r="UOB357" s="22"/>
      <c r="UOC357" s="22"/>
      <c r="UOD357" s="22"/>
      <c r="UOE357" s="22"/>
      <c r="UOF357" s="22"/>
      <c r="UOG357" s="22"/>
      <c r="UOH357" s="22"/>
      <c r="UOI357" s="22"/>
      <c r="UOJ357" s="22"/>
      <c r="UOK357" s="22"/>
      <c r="UOL357" s="22"/>
      <c r="UOM357" s="22"/>
      <c r="UON357" s="22"/>
      <c r="UOO357" s="22"/>
      <c r="UOP357" s="22"/>
      <c r="UOQ357" s="22"/>
      <c r="UOR357" s="22"/>
      <c r="UOS357" s="22"/>
      <c r="UOT357" s="22"/>
      <c r="UOU357" s="22"/>
      <c r="UOV357" s="22"/>
      <c r="UOW357" s="22"/>
      <c r="UOX357" s="22"/>
      <c r="UOY357" s="22"/>
      <c r="UOZ357" s="22"/>
      <c r="UPA357" s="22"/>
      <c r="UPB357" s="22"/>
      <c r="UPC357" s="22"/>
      <c r="UPD357" s="22"/>
      <c r="UPE357" s="22"/>
      <c r="UPF357" s="22"/>
      <c r="UPG357" s="22"/>
      <c r="UPH357" s="22"/>
      <c r="UPI357" s="22"/>
      <c r="UPJ357" s="22"/>
      <c r="UPK357" s="22"/>
      <c r="UPL357" s="22"/>
      <c r="UPM357" s="22"/>
      <c r="UPN357" s="22"/>
      <c r="UPO357" s="22"/>
      <c r="UPP357" s="22"/>
      <c r="UPQ357" s="22"/>
      <c r="UPR357" s="22"/>
      <c r="UPS357" s="22"/>
      <c r="UPT357" s="22"/>
      <c r="UPU357" s="22"/>
      <c r="UPV357" s="22"/>
      <c r="UPW357" s="22"/>
      <c r="UPX357" s="22"/>
      <c r="UPY357" s="22"/>
      <c r="UPZ357" s="22"/>
      <c r="UQA357" s="22"/>
      <c r="UQB357" s="22"/>
      <c r="UQC357" s="22"/>
      <c r="UQD357" s="22"/>
      <c r="UQE357" s="22"/>
      <c r="UQF357" s="22"/>
      <c r="UQG357" s="22"/>
      <c r="UQH357" s="22"/>
      <c r="UQI357" s="22"/>
      <c r="UQJ357" s="22"/>
      <c r="UQK357" s="22"/>
      <c r="UQL357" s="22"/>
      <c r="UQM357" s="22"/>
      <c r="UQN357" s="22"/>
      <c r="UQO357" s="22"/>
      <c r="UQP357" s="22"/>
      <c r="UQQ357" s="22"/>
      <c r="UQR357" s="22"/>
      <c r="UQS357" s="22"/>
      <c r="UQT357" s="22"/>
      <c r="UQU357" s="22"/>
      <c r="UQV357" s="22"/>
      <c r="UQW357" s="22"/>
      <c r="UQX357" s="22"/>
      <c r="UQY357" s="22"/>
      <c r="UQZ357" s="22"/>
      <c r="URA357" s="22"/>
      <c r="URB357" s="22"/>
      <c r="URC357" s="22"/>
      <c r="URD357" s="22"/>
      <c r="URE357" s="22"/>
      <c r="URF357" s="22"/>
      <c r="URG357" s="22"/>
      <c r="URH357" s="22"/>
      <c r="URI357" s="22"/>
      <c r="URJ357" s="22"/>
      <c r="URK357" s="22"/>
      <c r="URL357" s="22"/>
      <c r="URM357" s="22"/>
      <c r="URN357" s="22"/>
      <c r="URO357" s="22"/>
      <c r="URP357" s="22"/>
      <c r="URQ357" s="22"/>
      <c r="URR357" s="22"/>
      <c r="URS357" s="22"/>
      <c r="URT357" s="22"/>
      <c r="URU357" s="22"/>
      <c r="URV357" s="22"/>
      <c r="URW357" s="22"/>
      <c r="URX357" s="22"/>
      <c r="URY357" s="22"/>
      <c r="URZ357" s="22"/>
      <c r="USA357" s="22"/>
      <c r="USB357" s="22"/>
      <c r="USC357" s="22"/>
      <c r="USD357" s="22"/>
      <c r="USE357" s="22"/>
      <c r="USF357" s="22"/>
      <c r="USG357" s="22"/>
      <c r="USH357" s="22"/>
      <c r="USI357" s="22"/>
      <c r="USJ357" s="22"/>
      <c r="USK357" s="22"/>
      <c r="USL357" s="22"/>
      <c r="USM357" s="22"/>
      <c r="USN357" s="22"/>
      <c r="USO357" s="22"/>
      <c r="USP357" s="22"/>
      <c r="USQ357" s="22"/>
      <c r="USR357" s="22"/>
      <c r="USS357" s="22"/>
      <c r="UST357" s="22"/>
      <c r="USU357" s="22"/>
      <c r="USV357" s="22"/>
      <c r="USW357" s="22"/>
      <c r="USX357" s="22"/>
      <c r="USY357" s="22"/>
      <c r="USZ357" s="22"/>
      <c r="UTA357" s="22"/>
      <c r="UTB357" s="22"/>
      <c r="UTC357" s="22"/>
      <c r="UTD357" s="22"/>
      <c r="UTE357" s="22"/>
      <c r="UTF357" s="22"/>
      <c r="UTG357" s="22"/>
      <c r="UTH357" s="22"/>
      <c r="UTI357" s="22"/>
      <c r="UTJ357" s="22"/>
      <c r="UTK357" s="22"/>
      <c r="UTL357" s="22"/>
      <c r="UTM357" s="22"/>
      <c r="UTN357" s="22"/>
      <c r="UTO357" s="22"/>
      <c r="UTP357" s="22"/>
      <c r="UTQ357" s="22"/>
      <c r="UTR357" s="22"/>
      <c r="UTS357" s="22"/>
      <c r="UTT357" s="22"/>
      <c r="UTU357" s="22"/>
      <c r="UTV357" s="22"/>
      <c r="UTW357" s="22"/>
      <c r="UTX357" s="22"/>
      <c r="UTY357" s="22"/>
      <c r="UTZ357" s="22"/>
      <c r="UUA357" s="22"/>
      <c r="UUB357" s="22"/>
      <c r="UUC357" s="22"/>
      <c r="UUD357" s="22"/>
      <c r="UUE357" s="22"/>
      <c r="UUF357" s="22"/>
      <c r="UUG357" s="22"/>
      <c r="UUH357" s="22"/>
      <c r="UUI357" s="22"/>
      <c r="UUJ357" s="22"/>
      <c r="UUK357" s="22"/>
      <c r="UUL357" s="22"/>
      <c r="UUM357" s="22"/>
      <c r="UUN357" s="22"/>
      <c r="UUO357" s="22"/>
      <c r="UUP357" s="22"/>
      <c r="UUQ357" s="22"/>
      <c r="UUR357" s="22"/>
      <c r="UUS357" s="22"/>
      <c r="UUT357" s="22"/>
      <c r="UUU357" s="22"/>
      <c r="UUV357" s="22"/>
      <c r="UUW357" s="22"/>
      <c r="UUX357" s="22"/>
      <c r="UUY357" s="22"/>
      <c r="UUZ357" s="22"/>
      <c r="UVA357" s="22"/>
      <c r="UVB357" s="22"/>
      <c r="UVC357" s="22"/>
      <c r="UVD357" s="22"/>
      <c r="UVE357" s="22"/>
      <c r="UVF357" s="22"/>
      <c r="UVG357" s="22"/>
      <c r="UVH357" s="22"/>
      <c r="UVI357" s="22"/>
      <c r="UVJ357" s="22"/>
      <c r="UVK357" s="22"/>
      <c r="UVL357" s="22"/>
      <c r="UVM357" s="22"/>
      <c r="UVN357" s="22"/>
      <c r="UVO357" s="22"/>
      <c r="UVP357" s="22"/>
      <c r="UVQ357" s="22"/>
      <c r="UVR357" s="22"/>
      <c r="UVS357" s="22"/>
      <c r="UVT357" s="22"/>
      <c r="UVU357" s="22"/>
      <c r="UVV357" s="22"/>
      <c r="UVW357" s="22"/>
      <c r="UVX357" s="22"/>
      <c r="UVY357" s="22"/>
      <c r="UVZ357" s="22"/>
      <c r="UWA357" s="22"/>
      <c r="UWB357" s="22"/>
      <c r="UWC357" s="22"/>
      <c r="UWD357" s="22"/>
      <c r="UWE357" s="22"/>
      <c r="UWF357" s="22"/>
      <c r="UWG357" s="22"/>
      <c r="UWH357" s="22"/>
      <c r="UWI357" s="22"/>
      <c r="UWJ357" s="22"/>
      <c r="UWK357" s="22"/>
      <c r="UWL357" s="22"/>
      <c r="UWM357" s="22"/>
      <c r="UWN357" s="22"/>
      <c r="UWO357" s="22"/>
      <c r="UWP357" s="22"/>
      <c r="UWQ357" s="22"/>
      <c r="UWR357" s="22"/>
      <c r="UWS357" s="22"/>
      <c r="UWT357" s="22"/>
      <c r="UWU357" s="22"/>
      <c r="UWV357" s="22"/>
      <c r="UWW357" s="22"/>
      <c r="UWX357" s="22"/>
      <c r="UWY357" s="22"/>
      <c r="UWZ357" s="22"/>
      <c r="UXA357" s="22"/>
      <c r="UXB357" s="22"/>
      <c r="UXC357" s="22"/>
      <c r="UXD357" s="22"/>
      <c r="UXE357" s="22"/>
      <c r="UXF357" s="22"/>
      <c r="UXG357" s="22"/>
      <c r="UXH357" s="22"/>
      <c r="UXI357" s="22"/>
      <c r="UXJ357" s="22"/>
      <c r="UXK357" s="22"/>
      <c r="UXL357" s="22"/>
      <c r="UXM357" s="22"/>
      <c r="UXN357" s="22"/>
      <c r="UXO357" s="22"/>
      <c r="UXP357" s="22"/>
      <c r="UXQ357" s="22"/>
      <c r="UXR357" s="22"/>
      <c r="UXS357" s="22"/>
      <c r="UXT357" s="22"/>
      <c r="UXU357" s="22"/>
      <c r="UXV357" s="22"/>
      <c r="UXW357" s="22"/>
      <c r="UXX357" s="22"/>
      <c r="UXY357" s="22"/>
      <c r="UXZ357" s="22"/>
      <c r="UYA357" s="22"/>
      <c r="UYB357" s="22"/>
      <c r="UYC357" s="22"/>
      <c r="UYD357" s="22"/>
      <c r="UYE357" s="22"/>
      <c r="UYF357" s="22"/>
      <c r="UYG357" s="22"/>
      <c r="UYH357" s="22"/>
      <c r="UYI357" s="22"/>
      <c r="UYJ357" s="22"/>
      <c r="UYK357" s="22"/>
      <c r="UYL357" s="22"/>
      <c r="UYM357" s="22"/>
      <c r="UYN357" s="22"/>
      <c r="UYO357" s="22"/>
      <c r="UYP357" s="22"/>
      <c r="UYQ357" s="22"/>
      <c r="UYR357" s="22"/>
      <c r="UYS357" s="22"/>
      <c r="UYT357" s="22"/>
      <c r="UYU357" s="22"/>
      <c r="UYV357" s="22"/>
      <c r="UYW357" s="22"/>
      <c r="UYX357" s="22"/>
      <c r="UYY357" s="22"/>
      <c r="UYZ357" s="22"/>
      <c r="UZA357" s="22"/>
      <c r="UZB357" s="22"/>
      <c r="UZC357" s="22"/>
      <c r="UZD357" s="22"/>
      <c r="UZE357" s="22"/>
      <c r="UZF357" s="22"/>
      <c r="UZG357" s="22"/>
      <c r="UZH357" s="22"/>
      <c r="UZI357" s="22"/>
      <c r="UZJ357" s="22"/>
      <c r="UZK357" s="22"/>
      <c r="UZL357" s="22"/>
      <c r="UZM357" s="22"/>
      <c r="UZN357" s="22"/>
      <c r="UZO357" s="22"/>
      <c r="UZP357" s="22"/>
      <c r="UZQ357" s="22"/>
      <c r="UZR357" s="22"/>
      <c r="UZS357" s="22"/>
      <c r="UZT357" s="22"/>
      <c r="UZU357" s="22"/>
      <c r="UZV357" s="22"/>
      <c r="UZW357" s="22"/>
      <c r="UZX357" s="22"/>
      <c r="UZY357" s="22"/>
      <c r="UZZ357" s="22"/>
      <c r="VAA357" s="22"/>
      <c r="VAB357" s="22"/>
      <c r="VAC357" s="22"/>
      <c r="VAD357" s="22"/>
      <c r="VAE357" s="22"/>
      <c r="VAF357" s="22"/>
      <c r="VAG357" s="22"/>
      <c r="VAH357" s="22"/>
      <c r="VAI357" s="22"/>
      <c r="VAJ357" s="22"/>
      <c r="VAK357" s="22"/>
      <c r="VAL357" s="22"/>
      <c r="VAM357" s="22"/>
      <c r="VAN357" s="22"/>
      <c r="VAO357" s="22"/>
      <c r="VAP357" s="22"/>
      <c r="VAQ357" s="22"/>
      <c r="VAR357" s="22"/>
      <c r="VAS357" s="22"/>
      <c r="VAT357" s="22"/>
      <c r="VAU357" s="22"/>
      <c r="VAV357" s="22"/>
      <c r="VAW357" s="22"/>
      <c r="VAX357" s="22"/>
      <c r="VAY357" s="22"/>
      <c r="VAZ357" s="22"/>
      <c r="VBA357" s="22"/>
      <c r="VBB357" s="22"/>
      <c r="VBC357" s="22"/>
      <c r="VBD357" s="22"/>
      <c r="VBE357" s="22"/>
      <c r="VBF357" s="22"/>
      <c r="VBG357" s="22"/>
      <c r="VBH357" s="22"/>
      <c r="VBI357" s="22"/>
      <c r="VBJ357" s="22"/>
      <c r="VBK357" s="22"/>
      <c r="VBL357" s="22"/>
      <c r="VBM357" s="22"/>
      <c r="VBN357" s="22"/>
      <c r="VBO357" s="22"/>
      <c r="VBP357" s="22"/>
      <c r="VBQ357" s="22"/>
      <c r="VBR357" s="22"/>
      <c r="VBS357" s="22"/>
      <c r="VBT357" s="22"/>
      <c r="VBU357" s="22"/>
      <c r="VBV357" s="22"/>
      <c r="VBW357" s="22"/>
      <c r="VBX357" s="22"/>
      <c r="VBY357" s="22"/>
      <c r="VBZ357" s="22"/>
      <c r="VCA357" s="22"/>
      <c r="VCB357" s="22"/>
      <c r="VCC357" s="22"/>
      <c r="VCD357" s="22"/>
      <c r="VCE357" s="22"/>
      <c r="VCF357" s="22"/>
      <c r="VCG357" s="22"/>
      <c r="VCH357" s="22"/>
      <c r="VCI357" s="22"/>
      <c r="VCJ357" s="22"/>
      <c r="VCK357" s="22"/>
      <c r="VCL357" s="22"/>
      <c r="VCM357" s="22"/>
      <c r="VCN357" s="22"/>
      <c r="VCO357" s="22"/>
      <c r="VCP357" s="22"/>
      <c r="VCQ357" s="22"/>
      <c r="VCR357" s="22"/>
      <c r="VCS357" s="22"/>
      <c r="VCT357" s="22"/>
      <c r="VCU357" s="22"/>
      <c r="VCV357" s="22"/>
      <c r="VCW357" s="22"/>
      <c r="VCX357" s="22"/>
      <c r="VCY357" s="22"/>
      <c r="VCZ357" s="22"/>
      <c r="VDA357" s="22"/>
      <c r="VDB357" s="22"/>
      <c r="VDC357" s="22"/>
      <c r="VDD357" s="22"/>
      <c r="VDE357" s="22"/>
      <c r="VDF357" s="22"/>
      <c r="VDG357" s="22"/>
      <c r="VDH357" s="22"/>
      <c r="VDI357" s="22"/>
      <c r="VDJ357" s="22"/>
      <c r="VDK357" s="22"/>
      <c r="VDL357" s="22"/>
      <c r="VDM357" s="22"/>
      <c r="VDN357" s="22"/>
      <c r="VDO357" s="22"/>
      <c r="VDP357" s="22"/>
      <c r="VDQ357" s="22"/>
      <c r="VDR357" s="22"/>
      <c r="VDS357" s="22"/>
      <c r="VDT357" s="22"/>
      <c r="VDU357" s="22"/>
      <c r="VDV357" s="22"/>
      <c r="VDW357" s="22"/>
      <c r="VDX357" s="22"/>
      <c r="VDY357" s="22"/>
      <c r="VDZ357" s="22"/>
      <c r="VEA357" s="22"/>
      <c r="VEB357" s="22"/>
      <c r="VEC357" s="22"/>
      <c r="VED357" s="22"/>
      <c r="VEE357" s="22"/>
      <c r="VEF357" s="22"/>
      <c r="VEG357" s="22"/>
      <c r="VEH357" s="22"/>
      <c r="VEI357" s="22"/>
      <c r="VEJ357" s="22"/>
      <c r="VEK357" s="22"/>
      <c r="VEL357" s="22"/>
      <c r="VEM357" s="22"/>
      <c r="VEN357" s="22"/>
      <c r="VEO357" s="22"/>
      <c r="VEP357" s="22"/>
      <c r="VEQ357" s="22"/>
      <c r="VER357" s="22"/>
      <c r="VES357" s="22"/>
      <c r="VET357" s="22"/>
      <c r="VEU357" s="22"/>
      <c r="VEV357" s="22"/>
      <c r="VEW357" s="22"/>
      <c r="VEX357" s="22"/>
      <c r="VEY357" s="22"/>
      <c r="VEZ357" s="22"/>
      <c r="VFA357" s="22"/>
      <c r="VFB357" s="22"/>
      <c r="VFC357" s="22"/>
      <c r="VFD357" s="22"/>
      <c r="VFE357" s="22"/>
      <c r="VFF357" s="22"/>
      <c r="VFG357" s="22"/>
      <c r="VFH357" s="22"/>
      <c r="VFI357" s="22"/>
      <c r="VFJ357" s="22"/>
      <c r="VFK357" s="22"/>
      <c r="VFL357" s="22"/>
      <c r="VFM357" s="22"/>
      <c r="VFN357" s="22"/>
      <c r="VFO357" s="22"/>
      <c r="VFP357" s="22"/>
      <c r="VFQ357" s="22"/>
      <c r="VFR357" s="22"/>
      <c r="VFS357" s="22"/>
      <c r="VFT357" s="22"/>
      <c r="VFU357" s="22"/>
      <c r="VFV357" s="22"/>
      <c r="VFW357" s="22"/>
      <c r="VFX357" s="22"/>
      <c r="VFY357" s="22"/>
      <c r="VFZ357" s="22"/>
      <c r="VGA357" s="22"/>
      <c r="VGB357" s="22"/>
      <c r="VGC357" s="22"/>
      <c r="VGD357" s="22"/>
      <c r="VGE357" s="22"/>
      <c r="VGF357" s="22"/>
      <c r="VGG357" s="22"/>
      <c r="VGH357" s="22"/>
      <c r="VGI357" s="22"/>
      <c r="VGJ357" s="22"/>
      <c r="VGK357" s="22"/>
      <c r="VGL357" s="22"/>
      <c r="VGM357" s="22"/>
      <c r="VGN357" s="22"/>
      <c r="VGO357" s="22"/>
      <c r="VGP357" s="22"/>
      <c r="VGQ357" s="22"/>
      <c r="VGR357" s="22"/>
      <c r="VGS357" s="22"/>
      <c r="VGT357" s="22"/>
      <c r="VGU357" s="22"/>
      <c r="VGV357" s="22"/>
      <c r="VGW357" s="22"/>
      <c r="VGX357" s="22"/>
      <c r="VGY357" s="22"/>
      <c r="VGZ357" s="22"/>
      <c r="VHA357" s="22"/>
      <c r="VHB357" s="22"/>
      <c r="VHC357" s="22"/>
      <c r="VHD357" s="22"/>
      <c r="VHE357" s="22"/>
      <c r="VHF357" s="22"/>
      <c r="VHG357" s="22"/>
      <c r="VHH357" s="22"/>
      <c r="VHI357" s="22"/>
      <c r="VHJ357" s="22"/>
      <c r="VHK357" s="22"/>
      <c r="VHL357" s="22"/>
      <c r="VHM357" s="22"/>
      <c r="VHN357" s="22"/>
      <c r="VHO357" s="22"/>
      <c r="VHP357" s="22"/>
      <c r="VHQ357" s="22"/>
      <c r="VHR357" s="22"/>
      <c r="VHS357" s="22"/>
      <c r="VHT357" s="22"/>
      <c r="VHU357" s="22"/>
      <c r="VHV357" s="22"/>
      <c r="VHW357" s="22"/>
      <c r="VHX357" s="22"/>
      <c r="VHY357" s="22"/>
      <c r="VHZ357" s="22"/>
      <c r="VIA357" s="22"/>
      <c r="VIB357" s="22"/>
      <c r="VIC357" s="22"/>
      <c r="VID357" s="22"/>
      <c r="VIE357" s="22"/>
      <c r="VIF357" s="22"/>
      <c r="VIG357" s="22"/>
      <c r="VIH357" s="22"/>
      <c r="VII357" s="22"/>
      <c r="VIJ357" s="22"/>
      <c r="VIK357" s="22"/>
      <c r="VIL357" s="22"/>
      <c r="VIM357" s="22"/>
      <c r="VIN357" s="22"/>
      <c r="VIO357" s="22"/>
      <c r="VIP357" s="22"/>
      <c r="VIQ357" s="22"/>
      <c r="VIR357" s="22"/>
      <c r="VIS357" s="22"/>
      <c r="VIT357" s="22"/>
      <c r="VIU357" s="22"/>
      <c r="VIV357" s="22"/>
      <c r="VIW357" s="22"/>
      <c r="VIX357" s="22"/>
      <c r="VIY357" s="22"/>
      <c r="VIZ357" s="22"/>
      <c r="VJA357" s="22"/>
      <c r="VJB357" s="22"/>
      <c r="VJC357" s="22"/>
      <c r="VJD357" s="22"/>
      <c r="VJE357" s="22"/>
      <c r="VJF357" s="22"/>
      <c r="VJG357" s="22"/>
      <c r="VJH357" s="22"/>
      <c r="VJI357" s="22"/>
      <c r="VJJ357" s="22"/>
      <c r="VJK357" s="22"/>
      <c r="VJL357" s="22"/>
      <c r="VJM357" s="22"/>
      <c r="VJN357" s="22"/>
      <c r="VJO357" s="22"/>
      <c r="VJP357" s="22"/>
      <c r="VJQ357" s="22"/>
      <c r="VJR357" s="22"/>
      <c r="VJS357" s="22"/>
      <c r="VJT357" s="22"/>
      <c r="VJU357" s="22"/>
      <c r="VJV357" s="22"/>
      <c r="VJW357" s="22"/>
      <c r="VJX357" s="22"/>
      <c r="VJY357" s="22"/>
      <c r="VJZ357" s="22"/>
      <c r="VKA357" s="22"/>
      <c r="VKB357" s="22"/>
      <c r="VKC357" s="22"/>
      <c r="VKD357" s="22"/>
      <c r="VKE357" s="22"/>
      <c r="VKF357" s="22"/>
      <c r="VKG357" s="22"/>
      <c r="VKH357" s="22"/>
      <c r="VKI357" s="22"/>
      <c r="VKJ357" s="22"/>
      <c r="VKK357" s="22"/>
      <c r="VKL357" s="22"/>
      <c r="VKM357" s="22"/>
      <c r="VKN357" s="22"/>
      <c r="VKO357" s="22"/>
      <c r="VKP357" s="22"/>
      <c r="VKQ357" s="22"/>
      <c r="VKR357" s="22"/>
      <c r="VKS357" s="22"/>
      <c r="VKT357" s="22"/>
      <c r="VKU357" s="22"/>
      <c r="VKV357" s="22"/>
      <c r="VKW357" s="22"/>
      <c r="VKX357" s="22"/>
      <c r="VKY357" s="22"/>
      <c r="VKZ357" s="22"/>
      <c r="VLA357" s="22"/>
      <c r="VLB357" s="22"/>
      <c r="VLC357" s="22"/>
      <c r="VLD357" s="22"/>
      <c r="VLE357" s="22"/>
      <c r="VLF357" s="22"/>
      <c r="VLG357" s="22"/>
      <c r="VLH357" s="22"/>
      <c r="VLI357" s="22"/>
      <c r="VLJ357" s="22"/>
      <c r="VLK357" s="22"/>
      <c r="VLL357" s="22"/>
      <c r="VLM357" s="22"/>
      <c r="VLN357" s="22"/>
      <c r="VLO357" s="22"/>
      <c r="VLP357" s="22"/>
      <c r="VLQ357" s="22"/>
      <c r="VLR357" s="22"/>
      <c r="VLS357" s="22"/>
      <c r="VLT357" s="22"/>
      <c r="VLU357" s="22"/>
      <c r="VLV357" s="22"/>
      <c r="VLW357" s="22"/>
      <c r="VLX357" s="22"/>
      <c r="VLY357" s="22"/>
      <c r="VLZ357" s="22"/>
      <c r="VMA357" s="22"/>
      <c r="VMB357" s="22"/>
      <c r="VMC357" s="22"/>
      <c r="VMD357" s="22"/>
      <c r="VME357" s="22"/>
      <c r="VMF357" s="22"/>
      <c r="VMG357" s="22"/>
      <c r="VMH357" s="22"/>
      <c r="VMI357" s="22"/>
      <c r="VMJ357" s="22"/>
      <c r="VMK357" s="22"/>
      <c r="VML357" s="22"/>
      <c r="VMM357" s="22"/>
      <c r="VMN357" s="22"/>
      <c r="VMO357" s="22"/>
      <c r="VMP357" s="22"/>
      <c r="VMQ357" s="22"/>
      <c r="VMR357" s="22"/>
      <c r="VMS357" s="22"/>
      <c r="VMT357" s="22"/>
      <c r="VMU357" s="22"/>
      <c r="VMV357" s="22"/>
      <c r="VMW357" s="22"/>
      <c r="VMX357" s="22"/>
      <c r="VMY357" s="22"/>
      <c r="VMZ357" s="22"/>
      <c r="VNA357" s="22"/>
      <c r="VNB357" s="22"/>
      <c r="VNC357" s="22"/>
      <c r="VND357" s="22"/>
      <c r="VNE357" s="22"/>
      <c r="VNF357" s="22"/>
      <c r="VNG357" s="22"/>
      <c r="VNH357" s="22"/>
      <c r="VNI357" s="22"/>
      <c r="VNJ357" s="22"/>
      <c r="VNK357" s="22"/>
      <c r="VNL357" s="22"/>
      <c r="VNM357" s="22"/>
      <c r="VNN357" s="22"/>
      <c r="VNO357" s="22"/>
      <c r="VNP357" s="22"/>
      <c r="VNQ357" s="22"/>
      <c r="VNR357" s="22"/>
      <c r="VNS357" s="22"/>
      <c r="VNT357" s="22"/>
      <c r="VNU357" s="22"/>
      <c r="VNV357" s="22"/>
      <c r="VNW357" s="22"/>
      <c r="VNX357" s="22"/>
      <c r="VNY357" s="22"/>
      <c r="VNZ357" s="22"/>
      <c r="VOA357" s="22"/>
      <c r="VOB357" s="22"/>
      <c r="VOC357" s="22"/>
      <c r="VOD357" s="22"/>
      <c r="VOE357" s="22"/>
      <c r="VOF357" s="22"/>
      <c r="VOG357" s="22"/>
      <c r="VOH357" s="22"/>
      <c r="VOI357" s="22"/>
      <c r="VOJ357" s="22"/>
      <c r="VOK357" s="22"/>
      <c r="VOL357" s="22"/>
      <c r="VOM357" s="22"/>
      <c r="VON357" s="22"/>
      <c r="VOO357" s="22"/>
      <c r="VOP357" s="22"/>
      <c r="VOQ357" s="22"/>
      <c r="VOR357" s="22"/>
      <c r="VOS357" s="22"/>
      <c r="VOT357" s="22"/>
      <c r="VOU357" s="22"/>
      <c r="VOV357" s="22"/>
      <c r="VOW357" s="22"/>
      <c r="VOX357" s="22"/>
      <c r="VOY357" s="22"/>
      <c r="VOZ357" s="22"/>
      <c r="VPA357" s="22"/>
      <c r="VPB357" s="22"/>
      <c r="VPC357" s="22"/>
      <c r="VPD357" s="22"/>
      <c r="VPE357" s="22"/>
      <c r="VPF357" s="22"/>
      <c r="VPG357" s="22"/>
      <c r="VPH357" s="22"/>
      <c r="VPI357" s="22"/>
      <c r="VPJ357" s="22"/>
      <c r="VPK357" s="22"/>
      <c r="VPL357" s="22"/>
      <c r="VPM357" s="22"/>
      <c r="VPN357" s="22"/>
      <c r="VPO357" s="22"/>
      <c r="VPP357" s="22"/>
      <c r="VPQ357" s="22"/>
      <c r="VPR357" s="22"/>
      <c r="VPS357" s="22"/>
      <c r="VPT357" s="22"/>
      <c r="VPU357" s="22"/>
      <c r="VPV357" s="22"/>
      <c r="VPW357" s="22"/>
      <c r="VPX357" s="22"/>
      <c r="VPY357" s="22"/>
      <c r="VPZ357" s="22"/>
      <c r="VQA357" s="22"/>
      <c r="VQB357" s="22"/>
      <c r="VQC357" s="22"/>
      <c r="VQD357" s="22"/>
      <c r="VQE357" s="22"/>
      <c r="VQF357" s="22"/>
      <c r="VQG357" s="22"/>
      <c r="VQH357" s="22"/>
      <c r="VQI357" s="22"/>
      <c r="VQJ357" s="22"/>
      <c r="VQK357" s="22"/>
      <c r="VQL357" s="22"/>
      <c r="VQM357" s="22"/>
      <c r="VQN357" s="22"/>
      <c r="VQO357" s="22"/>
      <c r="VQP357" s="22"/>
      <c r="VQQ357" s="22"/>
      <c r="VQR357" s="22"/>
      <c r="VQS357" s="22"/>
      <c r="VQT357" s="22"/>
      <c r="VQU357" s="22"/>
      <c r="VQV357" s="22"/>
      <c r="VQW357" s="22"/>
      <c r="VQX357" s="22"/>
      <c r="VQY357" s="22"/>
      <c r="VQZ357" s="22"/>
      <c r="VRA357" s="22"/>
      <c r="VRB357" s="22"/>
      <c r="VRC357" s="22"/>
      <c r="VRD357" s="22"/>
      <c r="VRE357" s="22"/>
      <c r="VRF357" s="22"/>
      <c r="VRG357" s="22"/>
      <c r="VRH357" s="22"/>
      <c r="VRI357" s="22"/>
      <c r="VRJ357" s="22"/>
      <c r="VRK357" s="22"/>
      <c r="VRL357" s="22"/>
      <c r="VRM357" s="22"/>
      <c r="VRN357" s="22"/>
      <c r="VRO357" s="22"/>
      <c r="VRP357" s="22"/>
      <c r="VRQ357" s="22"/>
      <c r="VRR357" s="22"/>
      <c r="VRS357" s="22"/>
      <c r="VRT357" s="22"/>
      <c r="VRU357" s="22"/>
      <c r="VRV357" s="22"/>
      <c r="VRW357" s="22"/>
      <c r="VRX357" s="22"/>
      <c r="VRY357" s="22"/>
      <c r="VRZ357" s="22"/>
      <c r="VSA357" s="22"/>
      <c r="VSB357" s="22"/>
      <c r="VSC357" s="22"/>
      <c r="VSD357" s="22"/>
      <c r="VSE357" s="22"/>
      <c r="VSF357" s="22"/>
      <c r="VSG357" s="22"/>
      <c r="VSH357" s="22"/>
      <c r="VSI357" s="22"/>
      <c r="VSJ357" s="22"/>
      <c r="VSK357" s="22"/>
      <c r="VSL357" s="22"/>
      <c r="VSM357" s="22"/>
      <c r="VSN357" s="22"/>
      <c r="VSO357" s="22"/>
      <c r="VSP357" s="22"/>
      <c r="VSQ357" s="22"/>
      <c r="VSR357" s="22"/>
      <c r="VSS357" s="22"/>
      <c r="VST357" s="22"/>
      <c r="VSU357" s="22"/>
      <c r="VSV357" s="22"/>
      <c r="VSW357" s="22"/>
      <c r="VSX357" s="22"/>
      <c r="VSY357" s="22"/>
      <c r="VSZ357" s="22"/>
      <c r="VTA357" s="22"/>
      <c r="VTB357" s="22"/>
      <c r="VTC357" s="22"/>
      <c r="VTD357" s="22"/>
      <c r="VTE357" s="22"/>
      <c r="VTF357" s="22"/>
      <c r="VTG357" s="22"/>
      <c r="VTH357" s="22"/>
      <c r="VTI357" s="22"/>
      <c r="VTJ357" s="22"/>
      <c r="VTK357" s="22"/>
      <c r="VTL357" s="22"/>
      <c r="VTM357" s="22"/>
      <c r="VTN357" s="22"/>
      <c r="VTO357" s="22"/>
      <c r="VTP357" s="22"/>
      <c r="VTQ357" s="22"/>
      <c r="VTR357" s="22"/>
      <c r="VTS357" s="22"/>
      <c r="VTT357" s="22"/>
      <c r="VTU357" s="22"/>
      <c r="VTV357" s="22"/>
      <c r="VTW357" s="22"/>
      <c r="VTX357" s="22"/>
      <c r="VTY357" s="22"/>
      <c r="VTZ357" s="22"/>
      <c r="VUA357" s="22"/>
      <c r="VUB357" s="22"/>
      <c r="VUC357" s="22"/>
      <c r="VUD357" s="22"/>
      <c r="VUE357" s="22"/>
      <c r="VUF357" s="22"/>
      <c r="VUG357" s="22"/>
      <c r="VUH357" s="22"/>
      <c r="VUI357" s="22"/>
      <c r="VUJ357" s="22"/>
      <c r="VUK357" s="22"/>
      <c r="VUL357" s="22"/>
      <c r="VUM357" s="22"/>
      <c r="VUN357" s="22"/>
      <c r="VUO357" s="22"/>
      <c r="VUP357" s="22"/>
      <c r="VUQ357" s="22"/>
      <c r="VUR357" s="22"/>
      <c r="VUS357" s="22"/>
      <c r="VUT357" s="22"/>
      <c r="VUU357" s="22"/>
      <c r="VUV357" s="22"/>
      <c r="VUW357" s="22"/>
      <c r="VUX357" s="22"/>
      <c r="VUY357" s="22"/>
      <c r="VUZ357" s="22"/>
      <c r="VVA357" s="22"/>
      <c r="VVB357" s="22"/>
      <c r="VVC357" s="22"/>
      <c r="VVD357" s="22"/>
      <c r="VVE357" s="22"/>
      <c r="VVF357" s="22"/>
      <c r="VVG357" s="22"/>
      <c r="VVH357" s="22"/>
      <c r="VVI357" s="22"/>
      <c r="VVJ357" s="22"/>
      <c r="VVK357" s="22"/>
      <c r="VVL357" s="22"/>
      <c r="VVM357" s="22"/>
      <c r="VVN357" s="22"/>
      <c r="VVO357" s="22"/>
      <c r="VVP357" s="22"/>
      <c r="VVQ357" s="22"/>
      <c r="VVR357" s="22"/>
      <c r="VVS357" s="22"/>
      <c r="VVT357" s="22"/>
      <c r="VVU357" s="22"/>
      <c r="VVV357" s="22"/>
      <c r="VVW357" s="22"/>
      <c r="VVX357" s="22"/>
      <c r="VVY357" s="22"/>
      <c r="VVZ357" s="22"/>
      <c r="VWA357" s="22"/>
      <c r="VWB357" s="22"/>
      <c r="VWC357" s="22"/>
      <c r="VWD357" s="22"/>
      <c r="VWE357" s="22"/>
      <c r="VWF357" s="22"/>
      <c r="VWG357" s="22"/>
      <c r="VWH357" s="22"/>
      <c r="VWI357" s="22"/>
      <c r="VWJ357" s="22"/>
      <c r="VWK357" s="22"/>
      <c r="VWL357" s="22"/>
      <c r="VWM357" s="22"/>
      <c r="VWN357" s="22"/>
      <c r="VWO357" s="22"/>
      <c r="VWP357" s="22"/>
      <c r="VWQ357" s="22"/>
      <c r="VWR357" s="22"/>
      <c r="VWS357" s="22"/>
      <c r="VWT357" s="22"/>
      <c r="VWU357" s="22"/>
      <c r="VWV357" s="22"/>
      <c r="VWW357" s="22"/>
      <c r="VWX357" s="22"/>
      <c r="VWY357" s="22"/>
      <c r="VWZ357" s="22"/>
      <c r="VXA357" s="22"/>
      <c r="VXB357" s="22"/>
      <c r="VXC357" s="22"/>
      <c r="VXD357" s="22"/>
      <c r="VXE357" s="22"/>
      <c r="VXF357" s="22"/>
      <c r="VXG357" s="22"/>
      <c r="VXH357" s="22"/>
      <c r="VXI357" s="22"/>
      <c r="VXJ357" s="22"/>
      <c r="VXK357" s="22"/>
      <c r="VXL357" s="22"/>
      <c r="VXM357" s="22"/>
      <c r="VXN357" s="22"/>
      <c r="VXO357" s="22"/>
      <c r="VXP357" s="22"/>
      <c r="VXQ357" s="22"/>
      <c r="VXR357" s="22"/>
      <c r="VXS357" s="22"/>
      <c r="VXT357" s="22"/>
      <c r="VXU357" s="22"/>
      <c r="VXV357" s="22"/>
      <c r="VXW357" s="22"/>
      <c r="VXX357" s="22"/>
      <c r="VXY357" s="22"/>
      <c r="VXZ357" s="22"/>
      <c r="VYA357" s="22"/>
      <c r="VYB357" s="22"/>
      <c r="VYC357" s="22"/>
      <c r="VYD357" s="22"/>
      <c r="VYE357" s="22"/>
      <c r="VYF357" s="22"/>
      <c r="VYG357" s="22"/>
      <c r="VYH357" s="22"/>
      <c r="VYI357" s="22"/>
      <c r="VYJ357" s="22"/>
      <c r="VYK357" s="22"/>
      <c r="VYL357" s="22"/>
      <c r="VYM357" s="22"/>
      <c r="VYN357" s="22"/>
      <c r="VYO357" s="22"/>
      <c r="VYP357" s="22"/>
      <c r="VYQ357" s="22"/>
      <c r="VYR357" s="22"/>
      <c r="VYS357" s="22"/>
      <c r="VYT357" s="22"/>
      <c r="VYU357" s="22"/>
      <c r="VYV357" s="22"/>
      <c r="VYW357" s="22"/>
      <c r="VYX357" s="22"/>
      <c r="VYY357" s="22"/>
      <c r="VYZ357" s="22"/>
      <c r="VZA357" s="22"/>
      <c r="VZB357" s="22"/>
      <c r="VZC357" s="22"/>
      <c r="VZD357" s="22"/>
      <c r="VZE357" s="22"/>
      <c r="VZF357" s="22"/>
      <c r="VZG357" s="22"/>
      <c r="VZH357" s="22"/>
      <c r="VZI357" s="22"/>
      <c r="VZJ357" s="22"/>
      <c r="VZK357" s="22"/>
      <c r="VZL357" s="22"/>
      <c r="VZM357" s="22"/>
      <c r="VZN357" s="22"/>
      <c r="VZO357" s="22"/>
      <c r="VZP357" s="22"/>
      <c r="VZQ357" s="22"/>
      <c r="VZR357" s="22"/>
      <c r="VZS357" s="22"/>
      <c r="VZT357" s="22"/>
      <c r="VZU357" s="22"/>
      <c r="VZV357" s="22"/>
      <c r="VZW357" s="22"/>
      <c r="VZX357" s="22"/>
      <c r="VZY357" s="22"/>
      <c r="VZZ357" s="22"/>
      <c r="WAA357" s="22"/>
      <c r="WAB357" s="22"/>
      <c r="WAC357" s="22"/>
      <c r="WAD357" s="22"/>
      <c r="WAE357" s="22"/>
      <c r="WAF357" s="22"/>
      <c r="WAG357" s="22"/>
      <c r="WAH357" s="22"/>
      <c r="WAI357" s="22"/>
      <c r="WAJ357" s="22"/>
      <c r="WAK357" s="22"/>
      <c r="WAL357" s="22"/>
      <c r="WAM357" s="22"/>
      <c r="WAN357" s="22"/>
      <c r="WAO357" s="22"/>
      <c r="WAP357" s="22"/>
      <c r="WAQ357" s="22"/>
      <c r="WAR357" s="22"/>
      <c r="WAS357" s="22"/>
      <c r="WAT357" s="22"/>
      <c r="WAU357" s="22"/>
      <c r="WAV357" s="22"/>
      <c r="WAW357" s="22"/>
      <c r="WAX357" s="22"/>
      <c r="WAY357" s="22"/>
      <c r="WAZ357" s="22"/>
      <c r="WBA357" s="22"/>
      <c r="WBB357" s="22"/>
      <c r="WBC357" s="22"/>
      <c r="WBD357" s="22"/>
      <c r="WBE357" s="22"/>
      <c r="WBF357" s="22"/>
      <c r="WBG357" s="22"/>
      <c r="WBH357" s="22"/>
      <c r="WBI357" s="22"/>
      <c r="WBJ357" s="22"/>
      <c r="WBK357" s="22"/>
      <c r="WBL357" s="22"/>
      <c r="WBM357" s="22"/>
      <c r="WBN357" s="22"/>
      <c r="WBO357" s="22"/>
      <c r="WBP357" s="22"/>
      <c r="WBQ357" s="22"/>
      <c r="WBR357" s="22"/>
      <c r="WBS357" s="22"/>
      <c r="WBT357" s="22"/>
      <c r="WBU357" s="22"/>
      <c r="WBV357" s="22"/>
      <c r="WBW357" s="22"/>
      <c r="WBX357" s="22"/>
      <c r="WBY357" s="22"/>
      <c r="WBZ357" s="22"/>
      <c r="WCA357" s="22"/>
      <c r="WCB357" s="22"/>
      <c r="WCC357" s="22"/>
      <c r="WCD357" s="22"/>
      <c r="WCE357" s="22"/>
      <c r="WCF357" s="22"/>
      <c r="WCG357" s="22"/>
      <c r="WCH357" s="22"/>
      <c r="WCI357" s="22"/>
      <c r="WCJ357" s="22"/>
      <c r="WCK357" s="22"/>
      <c r="WCL357" s="22"/>
      <c r="WCM357" s="22"/>
      <c r="WCN357" s="22"/>
      <c r="WCO357" s="22"/>
      <c r="WCP357" s="22"/>
      <c r="WCQ357" s="22"/>
      <c r="WCR357" s="22"/>
      <c r="WCS357" s="22"/>
      <c r="WCT357" s="22"/>
      <c r="WCU357" s="22"/>
      <c r="WCV357" s="22"/>
      <c r="WCW357" s="22"/>
      <c r="WCX357" s="22"/>
      <c r="WCY357" s="22"/>
      <c r="WCZ357" s="22"/>
      <c r="WDA357" s="22"/>
      <c r="WDB357" s="22"/>
      <c r="WDC357" s="22"/>
      <c r="WDD357" s="22"/>
      <c r="WDE357" s="22"/>
      <c r="WDF357" s="22"/>
      <c r="WDG357" s="22"/>
      <c r="WDH357" s="22"/>
      <c r="WDI357" s="22"/>
      <c r="WDJ357" s="22"/>
      <c r="WDK357" s="22"/>
      <c r="WDL357" s="22"/>
      <c r="WDM357" s="22"/>
      <c r="WDN357" s="22"/>
      <c r="WDO357" s="22"/>
      <c r="WDP357" s="22"/>
      <c r="WDQ357" s="22"/>
      <c r="WDR357" s="22"/>
      <c r="WDS357" s="22"/>
      <c r="WDT357" s="22"/>
      <c r="WDU357" s="22"/>
      <c r="WDV357" s="22"/>
      <c r="WDW357" s="22"/>
      <c r="WDX357" s="22"/>
      <c r="WDY357" s="22"/>
      <c r="WDZ357" s="22"/>
      <c r="WEA357" s="22"/>
      <c r="WEB357" s="22"/>
      <c r="WEC357" s="22"/>
      <c r="WED357" s="22"/>
      <c r="WEE357" s="22"/>
      <c r="WEF357" s="22"/>
      <c r="WEG357" s="22"/>
      <c r="WEH357" s="22"/>
      <c r="WEI357" s="22"/>
      <c r="WEJ357" s="22"/>
      <c r="WEK357" s="22"/>
      <c r="WEL357" s="22"/>
      <c r="WEM357" s="22"/>
      <c r="WEN357" s="22"/>
      <c r="WEO357" s="22"/>
      <c r="WEP357" s="22"/>
      <c r="WEQ357" s="22"/>
      <c r="WER357" s="22"/>
      <c r="WES357" s="22"/>
      <c r="WET357" s="22"/>
      <c r="WEU357" s="22"/>
      <c r="WEV357" s="22"/>
      <c r="WEW357" s="22"/>
      <c r="WEX357" s="22"/>
      <c r="WEY357" s="22"/>
      <c r="WEZ357" s="22"/>
      <c r="WFA357" s="22"/>
      <c r="WFB357" s="22"/>
      <c r="WFC357" s="22"/>
      <c r="WFD357" s="22"/>
      <c r="WFE357" s="22"/>
      <c r="WFF357" s="22"/>
      <c r="WFG357" s="22"/>
      <c r="WFH357" s="22"/>
      <c r="WFI357" s="22"/>
      <c r="WFJ357" s="22"/>
      <c r="WFK357" s="22"/>
      <c r="WFL357" s="22"/>
      <c r="WFM357" s="22"/>
      <c r="WFN357" s="22"/>
      <c r="WFO357" s="22"/>
      <c r="WFP357" s="22"/>
      <c r="WFQ357" s="22"/>
      <c r="WFR357" s="22"/>
      <c r="WFS357" s="22"/>
      <c r="WFT357" s="22"/>
      <c r="WFU357" s="22"/>
      <c r="WFV357" s="22"/>
      <c r="WFW357" s="22"/>
      <c r="WFX357" s="22"/>
      <c r="WFY357" s="22"/>
      <c r="WFZ357" s="22"/>
      <c r="WGA357" s="22"/>
      <c r="WGB357" s="22"/>
      <c r="WGC357" s="22"/>
      <c r="WGD357" s="22"/>
      <c r="WGE357" s="22"/>
      <c r="WGF357" s="22"/>
      <c r="WGG357" s="22"/>
      <c r="WGH357" s="22"/>
      <c r="WGI357" s="22"/>
      <c r="WGJ357" s="22"/>
      <c r="WGK357" s="22"/>
      <c r="WGL357" s="22"/>
      <c r="WGM357" s="22"/>
      <c r="WGN357" s="22"/>
      <c r="WGO357" s="22"/>
      <c r="WGP357" s="22"/>
      <c r="WGQ357" s="22"/>
      <c r="WGR357" s="22"/>
      <c r="WGS357" s="22"/>
      <c r="WGT357" s="22"/>
      <c r="WGU357" s="22"/>
      <c r="WGV357" s="22"/>
      <c r="WGW357" s="22"/>
      <c r="WGX357" s="22"/>
      <c r="WGY357" s="22"/>
      <c r="WGZ357" s="22"/>
      <c r="WHA357" s="22"/>
      <c r="WHB357" s="22"/>
      <c r="WHC357" s="22"/>
      <c r="WHD357" s="22"/>
      <c r="WHE357" s="22"/>
      <c r="WHF357" s="22"/>
      <c r="WHG357" s="22"/>
      <c r="WHH357" s="22"/>
      <c r="WHI357" s="22"/>
      <c r="WHJ357" s="22"/>
      <c r="WHK357" s="22"/>
      <c r="WHL357" s="22"/>
      <c r="WHM357" s="22"/>
      <c r="WHN357" s="22"/>
      <c r="WHO357" s="22"/>
      <c r="WHP357" s="22"/>
      <c r="WHQ357" s="22"/>
      <c r="WHR357" s="22"/>
      <c r="WHS357" s="22"/>
      <c r="WHT357" s="22"/>
      <c r="WHU357" s="22"/>
      <c r="WHV357" s="22"/>
      <c r="WHW357" s="22"/>
      <c r="WHX357" s="22"/>
      <c r="WHY357" s="22"/>
      <c r="WHZ357" s="22"/>
      <c r="WIA357" s="22"/>
      <c r="WIB357" s="22"/>
      <c r="WIC357" s="22"/>
      <c r="WID357" s="22"/>
      <c r="WIE357" s="22"/>
      <c r="WIF357" s="22"/>
      <c r="WIG357" s="22"/>
      <c r="WIH357" s="22"/>
      <c r="WII357" s="22"/>
      <c r="WIJ357" s="22"/>
      <c r="WIK357" s="22"/>
      <c r="WIL357" s="22"/>
      <c r="WIM357" s="22"/>
      <c r="WIN357" s="22"/>
      <c r="WIO357" s="22"/>
      <c r="WIP357" s="22"/>
      <c r="WIQ357" s="22"/>
      <c r="WIR357" s="22"/>
      <c r="WIS357" s="22"/>
      <c r="WIT357" s="22"/>
      <c r="WIU357" s="22"/>
      <c r="WIV357" s="22"/>
      <c r="WIW357" s="22"/>
      <c r="WIX357" s="22"/>
      <c r="WIY357" s="22"/>
      <c r="WIZ357" s="22"/>
      <c r="WJA357" s="22"/>
      <c r="WJB357" s="22"/>
      <c r="WJC357" s="22"/>
      <c r="WJD357" s="22"/>
      <c r="WJE357" s="22"/>
      <c r="WJF357" s="22"/>
      <c r="WJG357" s="22"/>
      <c r="WJH357" s="22"/>
      <c r="WJI357" s="22"/>
      <c r="WJJ357" s="22"/>
      <c r="WJK357" s="22"/>
      <c r="WJL357" s="22"/>
      <c r="WJM357" s="22"/>
      <c r="WJN357" s="22"/>
      <c r="WJO357" s="22"/>
      <c r="WJP357" s="22"/>
      <c r="WJQ357" s="22"/>
      <c r="WJR357" s="22"/>
      <c r="WJS357" s="22"/>
      <c r="WJT357" s="22"/>
      <c r="WJU357" s="22"/>
      <c r="WJV357" s="22"/>
      <c r="WJW357" s="22"/>
      <c r="WJX357" s="22"/>
      <c r="WJY357" s="22"/>
      <c r="WJZ357" s="22"/>
      <c r="WKA357" s="22"/>
      <c r="WKB357" s="22"/>
      <c r="WKC357" s="22"/>
      <c r="WKD357" s="22"/>
      <c r="WKE357" s="22"/>
      <c r="WKF357" s="22"/>
      <c r="WKG357" s="22"/>
      <c r="WKH357" s="22"/>
      <c r="WKI357" s="22"/>
      <c r="WKJ357" s="22"/>
      <c r="WKK357" s="22"/>
      <c r="WKL357" s="22"/>
      <c r="WKM357" s="22"/>
      <c r="WKN357" s="22"/>
      <c r="WKO357" s="22"/>
      <c r="WKP357" s="22"/>
      <c r="WKQ357" s="22"/>
      <c r="WKR357" s="22"/>
      <c r="WKS357" s="22"/>
      <c r="WKT357" s="22"/>
      <c r="WKU357" s="22"/>
      <c r="WKV357" s="22"/>
      <c r="WKW357" s="22"/>
      <c r="WKX357" s="22"/>
      <c r="WKY357" s="22"/>
      <c r="WKZ357" s="22"/>
      <c r="WLA357" s="22"/>
      <c r="WLB357" s="22"/>
      <c r="WLC357" s="22"/>
      <c r="WLD357" s="22"/>
      <c r="WLE357" s="22"/>
      <c r="WLF357" s="22"/>
      <c r="WLG357" s="22"/>
      <c r="WLH357" s="22"/>
      <c r="WLI357" s="22"/>
      <c r="WLJ357" s="22"/>
      <c r="WLK357" s="22"/>
      <c r="WLL357" s="22"/>
      <c r="WLM357" s="22"/>
      <c r="WLN357" s="22"/>
      <c r="WLO357" s="22"/>
      <c r="WLP357" s="22"/>
      <c r="WLQ357" s="22"/>
      <c r="WLR357" s="22"/>
      <c r="WLS357" s="22"/>
      <c r="WLT357" s="22"/>
      <c r="WLU357" s="22"/>
      <c r="WLV357" s="22"/>
      <c r="WLW357" s="22"/>
      <c r="WLX357" s="22"/>
      <c r="WLY357" s="22"/>
      <c r="WLZ357" s="22"/>
      <c r="WMA357" s="22"/>
      <c r="WMB357" s="22"/>
      <c r="WMC357" s="22"/>
      <c r="WMD357" s="22"/>
      <c r="WME357" s="22"/>
      <c r="WMF357" s="22"/>
      <c r="WMG357" s="22"/>
      <c r="WMH357" s="22"/>
      <c r="WMI357" s="22"/>
      <c r="WMJ357" s="22"/>
      <c r="WMK357" s="22"/>
      <c r="WML357" s="22"/>
      <c r="WMM357" s="22"/>
      <c r="WMN357" s="22"/>
      <c r="WMO357" s="22"/>
      <c r="WMP357" s="22"/>
      <c r="WMQ357" s="22"/>
      <c r="WMR357" s="22"/>
      <c r="WMS357" s="22"/>
      <c r="WMT357" s="22"/>
      <c r="WMU357" s="22"/>
      <c r="WMV357" s="22"/>
      <c r="WMW357" s="22"/>
      <c r="WMX357" s="22"/>
      <c r="WMY357" s="22"/>
      <c r="WMZ357" s="22"/>
      <c r="WNA357" s="22"/>
      <c r="WNB357" s="22"/>
      <c r="WNC357" s="22"/>
      <c r="WND357" s="22"/>
      <c r="WNE357" s="22"/>
      <c r="WNF357" s="22"/>
      <c r="WNG357" s="22"/>
      <c r="WNH357" s="22"/>
      <c r="WNI357" s="22"/>
      <c r="WNJ357" s="22"/>
      <c r="WNK357" s="22"/>
      <c r="WNL357" s="22"/>
      <c r="WNM357" s="22"/>
      <c r="WNN357" s="22"/>
      <c r="WNO357" s="22"/>
      <c r="WNP357" s="22"/>
      <c r="WNQ357" s="22"/>
      <c r="WNR357" s="22"/>
      <c r="WNS357" s="22"/>
      <c r="WNT357" s="22"/>
      <c r="WNU357" s="22"/>
      <c r="WNV357" s="22"/>
      <c r="WNW357" s="22"/>
      <c r="WNX357" s="22"/>
      <c r="WNY357" s="22"/>
      <c r="WNZ357" s="22"/>
      <c r="WOA357" s="22"/>
      <c r="WOB357" s="22"/>
      <c r="WOC357" s="22"/>
      <c r="WOD357" s="22"/>
      <c r="WOE357" s="22"/>
      <c r="WOF357" s="22"/>
      <c r="WOG357" s="22"/>
      <c r="WOH357" s="22"/>
      <c r="WOI357" s="22"/>
      <c r="WOJ357" s="22"/>
      <c r="WOK357" s="22"/>
      <c r="WOL357" s="22"/>
      <c r="WOM357" s="22"/>
      <c r="WON357" s="22"/>
      <c r="WOO357" s="22"/>
      <c r="WOP357" s="22"/>
      <c r="WOQ357" s="22"/>
      <c r="WOR357" s="22"/>
      <c r="WOS357" s="22"/>
      <c r="WOT357" s="22"/>
      <c r="WOU357" s="22"/>
      <c r="WOV357" s="22"/>
      <c r="WOW357" s="22"/>
      <c r="WOX357" s="22"/>
      <c r="WOY357" s="22"/>
      <c r="WOZ357" s="22"/>
      <c r="WPA357" s="22"/>
      <c r="WPB357" s="22"/>
      <c r="WPC357" s="22"/>
      <c r="WPD357" s="22"/>
      <c r="WPE357" s="22"/>
      <c r="WPF357" s="22"/>
      <c r="WPG357" s="22"/>
      <c r="WPH357" s="22"/>
      <c r="WPI357" s="22"/>
      <c r="WPJ357" s="22"/>
      <c r="WPK357" s="22"/>
      <c r="WPL357" s="22"/>
      <c r="WPM357" s="22"/>
      <c r="WPN357" s="22"/>
      <c r="WPO357" s="22"/>
      <c r="WPP357" s="22"/>
      <c r="WPQ357" s="22"/>
      <c r="WPR357" s="22"/>
      <c r="WPS357" s="22"/>
      <c r="WPT357" s="22"/>
      <c r="WPU357" s="22"/>
      <c r="WPV357" s="22"/>
      <c r="WPW357" s="22"/>
      <c r="WPX357" s="22"/>
      <c r="WPY357" s="22"/>
      <c r="WPZ357" s="22"/>
      <c r="WQA357" s="22"/>
      <c r="WQB357" s="22"/>
      <c r="WQC357" s="22"/>
      <c r="WQD357" s="22"/>
      <c r="WQE357" s="22"/>
      <c r="WQF357" s="22"/>
      <c r="WQG357" s="22"/>
      <c r="WQH357" s="22"/>
      <c r="WQI357" s="22"/>
      <c r="WQJ357" s="22"/>
      <c r="WQK357" s="22"/>
      <c r="WQL357" s="22"/>
      <c r="WQM357" s="22"/>
      <c r="WQN357" s="22"/>
      <c r="WQO357" s="22"/>
      <c r="WQP357" s="22"/>
      <c r="WQQ357" s="22"/>
      <c r="WQR357" s="22"/>
      <c r="WQS357" s="22"/>
      <c r="WQT357" s="22"/>
      <c r="WQU357" s="22"/>
      <c r="WQV357" s="22"/>
      <c r="WQW357" s="22"/>
      <c r="WQX357" s="22"/>
      <c r="WQY357" s="22"/>
      <c r="WQZ357" s="22"/>
      <c r="WRA357" s="22"/>
      <c r="WRB357" s="22"/>
      <c r="WRC357" s="22"/>
      <c r="WRD357" s="22"/>
      <c r="WRE357" s="22"/>
      <c r="WRF357" s="22"/>
      <c r="WRG357" s="22"/>
      <c r="WRH357" s="22"/>
      <c r="WRI357" s="22"/>
      <c r="WRJ357" s="22"/>
      <c r="WRK357" s="22"/>
      <c r="WRL357" s="22"/>
      <c r="WRM357" s="22"/>
      <c r="WRN357" s="22"/>
      <c r="WRO357" s="22"/>
      <c r="WRP357" s="22"/>
      <c r="WRQ357" s="22"/>
      <c r="WRR357" s="22"/>
      <c r="WRS357" s="22"/>
      <c r="WRT357" s="22"/>
      <c r="WRU357" s="22"/>
      <c r="WRV357" s="22"/>
      <c r="WRW357" s="22"/>
      <c r="WRX357" s="22"/>
      <c r="WRY357" s="22"/>
      <c r="WRZ357" s="22"/>
      <c r="WSA357" s="22"/>
      <c r="WSB357" s="22"/>
      <c r="WSC357" s="22"/>
      <c r="WSD357" s="22"/>
      <c r="WSE357" s="22"/>
      <c r="WSF357" s="22"/>
      <c r="WSG357" s="22"/>
      <c r="WSH357" s="22"/>
      <c r="WSI357" s="22"/>
      <c r="WSJ357" s="22"/>
      <c r="WSK357" s="22"/>
      <c r="WSL357" s="22"/>
      <c r="WSM357" s="22"/>
      <c r="WSN357" s="22"/>
      <c r="WSO357" s="22"/>
      <c r="WSP357" s="22"/>
      <c r="WSQ357" s="22"/>
      <c r="WSR357" s="22"/>
      <c r="WSS357" s="22"/>
      <c r="WST357" s="22"/>
      <c r="WSU357" s="22"/>
      <c r="WSV357" s="22"/>
      <c r="WSW357" s="22"/>
      <c r="WSX357" s="22"/>
      <c r="WSY357" s="22"/>
      <c r="WSZ357" s="22"/>
      <c r="WTA357" s="22"/>
      <c r="WTB357" s="22"/>
      <c r="WTC357" s="22"/>
      <c r="WTD357" s="22"/>
      <c r="WTE357" s="22"/>
      <c r="WTF357" s="22"/>
      <c r="WTG357" s="22"/>
      <c r="WTH357" s="22"/>
      <c r="WTI357" s="22"/>
      <c r="WTJ357" s="22"/>
      <c r="WTK357" s="22"/>
      <c r="WTL357" s="22"/>
      <c r="WTM357" s="22"/>
      <c r="WTN357" s="22"/>
      <c r="WTO357" s="22"/>
      <c r="WTP357" s="22"/>
      <c r="WTQ357" s="22"/>
      <c r="WTR357" s="22"/>
      <c r="WTS357" s="22"/>
      <c r="WTT357" s="22"/>
      <c r="WTU357" s="22"/>
      <c r="WTV357" s="22"/>
      <c r="WTW357" s="22"/>
      <c r="WTX357" s="22"/>
      <c r="WTY357" s="22"/>
      <c r="WTZ357" s="22"/>
      <c r="WUA357" s="22"/>
      <c r="WUB357" s="22"/>
      <c r="WUC357" s="22"/>
      <c r="WUD357" s="22"/>
      <c r="WUE357" s="22"/>
      <c r="WUF357" s="22"/>
      <c r="WUG357" s="22"/>
      <c r="WUH357" s="22"/>
      <c r="WUI357" s="22"/>
      <c r="WUJ357" s="22"/>
      <c r="WUK357" s="22"/>
      <c r="WUL357" s="22"/>
      <c r="WUM357" s="22"/>
      <c r="WUN357" s="22"/>
      <c r="WUO357" s="22"/>
      <c r="WUP357" s="22"/>
      <c r="WUQ357" s="22"/>
      <c r="WUR357" s="22"/>
      <c r="WUS357" s="22"/>
      <c r="WUT357" s="22"/>
      <c r="WUU357" s="22"/>
      <c r="WUV357" s="22"/>
      <c r="WUW357" s="22"/>
      <c r="WUX357" s="22"/>
      <c r="WUY357" s="22"/>
      <c r="WUZ357" s="22"/>
      <c r="WVA357" s="22"/>
      <c r="WVB357" s="22"/>
      <c r="WVC357" s="22"/>
      <c r="WVD357" s="22"/>
      <c r="WVE357" s="22"/>
      <c r="WVF357" s="22"/>
      <c r="WVG357" s="22"/>
      <c r="WVH357" s="22"/>
      <c r="WVI357" s="22"/>
      <c r="WVJ357" s="22"/>
      <c r="WVK357" s="22"/>
      <c r="WVL357" s="22"/>
      <c r="WVM357" s="22"/>
      <c r="WVN357" s="22"/>
      <c r="WVO357" s="22"/>
      <c r="WVP357" s="22"/>
      <c r="WVQ357" s="22"/>
      <c r="WVR357" s="22"/>
      <c r="WVS357" s="22"/>
      <c r="WVT357" s="22"/>
      <c r="WVU357" s="22"/>
      <c r="WVV357" s="22"/>
      <c r="WVW357" s="22"/>
      <c r="WVX357" s="22"/>
      <c r="WVY357" s="22"/>
      <c r="WVZ357" s="22"/>
      <c r="WWA357" s="22"/>
      <c r="WWB357" s="22"/>
      <c r="WWC357" s="22"/>
      <c r="WWD357" s="22"/>
      <c r="WWE357" s="22"/>
      <c r="WWF357" s="22"/>
      <c r="WWG357" s="22"/>
      <c r="WWH357" s="22"/>
      <c r="WWI357" s="22"/>
      <c r="WWJ357" s="22"/>
      <c r="WWK357" s="22"/>
      <c r="WWL357" s="22"/>
      <c r="WWM357" s="22"/>
      <c r="WWN357" s="22"/>
      <c r="WWO357" s="22"/>
      <c r="WWP357" s="22"/>
      <c r="WWQ357" s="22"/>
      <c r="WWR357" s="22"/>
      <c r="WWS357" s="22"/>
      <c r="WWT357" s="22"/>
      <c r="WWU357" s="22"/>
      <c r="WWV357" s="22"/>
      <c r="WWW357" s="22"/>
      <c r="WWX357" s="22"/>
      <c r="WWY357" s="22"/>
      <c r="WWZ357" s="22"/>
      <c r="WXA357" s="22"/>
      <c r="WXB357" s="22"/>
      <c r="WXC357" s="22"/>
      <c r="WXD357" s="22"/>
      <c r="WXE357" s="22"/>
      <c r="WXF357" s="22"/>
      <c r="WXG357" s="22"/>
      <c r="WXH357" s="22"/>
      <c r="WXI357" s="22"/>
      <c r="WXJ357" s="22"/>
      <c r="WXK357" s="22"/>
      <c r="WXL357" s="22"/>
      <c r="WXM357" s="22"/>
      <c r="WXN357" s="22"/>
      <c r="WXO357" s="22"/>
      <c r="WXP357" s="22"/>
      <c r="WXQ357" s="22"/>
      <c r="WXR357" s="22"/>
      <c r="WXS357" s="22"/>
      <c r="WXT357" s="22"/>
      <c r="WXU357" s="22"/>
      <c r="WXV357" s="22"/>
      <c r="WXW357" s="22"/>
      <c r="WXX357" s="22"/>
      <c r="WXY357" s="22"/>
      <c r="WXZ357" s="22"/>
      <c r="WYA357" s="22"/>
      <c r="WYB357" s="22"/>
      <c r="WYC357" s="22"/>
      <c r="WYD357" s="22"/>
      <c r="WYE357" s="22"/>
      <c r="WYF357" s="22"/>
      <c r="WYG357" s="22"/>
      <c r="WYH357" s="22"/>
      <c r="WYI357" s="22"/>
      <c r="WYJ357" s="22"/>
      <c r="WYK357" s="22"/>
      <c r="WYL357" s="22"/>
      <c r="WYM357" s="22"/>
      <c r="WYN357" s="22"/>
      <c r="WYO357" s="22"/>
      <c r="WYP357" s="22"/>
      <c r="WYQ357" s="22"/>
      <c r="WYR357" s="22"/>
      <c r="WYS357" s="22"/>
      <c r="WYT357" s="22"/>
      <c r="WYU357" s="22"/>
      <c r="WYV357" s="22"/>
      <c r="WYW357" s="22"/>
      <c r="WYX357" s="22"/>
      <c r="WYY357" s="22"/>
      <c r="WYZ357" s="22"/>
      <c r="WZA357" s="22"/>
      <c r="WZB357" s="22"/>
      <c r="WZC357" s="22"/>
      <c r="WZD357" s="22"/>
      <c r="WZE357" s="22"/>
      <c r="WZF357" s="22"/>
      <c r="WZG357" s="22"/>
      <c r="WZH357" s="22"/>
      <c r="WZI357" s="22"/>
      <c r="WZJ357" s="22"/>
      <c r="WZK357" s="22"/>
      <c r="WZL357" s="22"/>
      <c r="WZM357" s="22"/>
      <c r="WZN357" s="22"/>
      <c r="WZO357" s="22"/>
      <c r="WZP357" s="22"/>
      <c r="WZQ357" s="22"/>
      <c r="WZR357" s="22"/>
      <c r="WZS357" s="22"/>
      <c r="WZT357" s="22"/>
      <c r="WZU357" s="22"/>
      <c r="WZV357" s="22"/>
      <c r="WZW357" s="22"/>
      <c r="WZX357" s="22"/>
      <c r="WZY357" s="22"/>
      <c r="WZZ357" s="22"/>
      <c r="XAA357" s="22"/>
      <c r="XAB357" s="22"/>
      <c r="XAC357" s="22"/>
      <c r="XAD357" s="22"/>
      <c r="XAE357" s="22"/>
      <c r="XAF357" s="22"/>
      <c r="XAG357" s="22"/>
      <c r="XAH357" s="22"/>
      <c r="XAI357" s="22"/>
      <c r="XAJ357" s="22"/>
      <c r="XAK357" s="22"/>
      <c r="XAL357" s="22"/>
      <c r="XAM357" s="22"/>
      <c r="XAN357" s="22"/>
      <c r="XAO357" s="22"/>
      <c r="XAP357" s="22"/>
      <c r="XAQ357" s="22"/>
      <c r="XAR357" s="22"/>
      <c r="XAS357" s="22"/>
      <c r="XAT357" s="22"/>
      <c r="XAU357" s="22"/>
      <c r="XAV357" s="22"/>
      <c r="XAW357" s="22"/>
      <c r="XAX357" s="22"/>
      <c r="XAY357" s="22"/>
      <c r="XAZ357" s="22"/>
      <c r="XBA357" s="22"/>
      <c r="XBB357" s="22"/>
      <c r="XBC357" s="22"/>
      <c r="XBD357" s="22"/>
      <c r="XBE357" s="22"/>
      <c r="XBF357" s="22"/>
      <c r="XBG357" s="22"/>
      <c r="XBH357" s="22"/>
      <c r="XBI357" s="22"/>
      <c r="XBJ357" s="22"/>
      <c r="XBK357" s="22"/>
      <c r="XBL357" s="22"/>
      <c r="XBM357" s="22"/>
      <c r="XBN357" s="22"/>
      <c r="XBO357" s="22"/>
      <c r="XBP357" s="22"/>
      <c r="XBQ357" s="22"/>
      <c r="XBR357" s="22"/>
      <c r="XBS357" s="22"/>
      <c r="XBT357" s="22"/>
      <c r="XBU357" s="22"/>
      <c r="XBV357" s="22"/>
      <c r="XBW357" s="22"/>
      <c r="XBX357" s="22"/>
      <c r="XBY357" s="22"/>
      <c r="XBZ357" s="22"/>
      <c r="XCA357" s="22"/>
      <c r="XCB357" s="22"/>
      <c r="XCC357" s="22"/>
      <c r="XCD357" s="22"/>
      <c r="XCE357" s="22"/>
      <c r="XCF357" s="22"/>
      <c r="XCG357" s="22"/>
      <c r="XCH357" s="22"/>
      <c r="XCI357" s="22"/>
      <c r="XCJ357" s="22"/>
      <c r="XCK357" s="22"/>
      <c r="XCL357" s="22"/>
      <c r="XCM357" s="22"/>
      <c r="XCN357" s="22"/>
      <c r="XCO357" s="22"/>
      <c r="XCP357" s="22"/>
      <c r="XCQ357" s="22"/>
      <c r="XCR357" s="22"/>
      <c r="XCS357" s="22"/>
      <c r="XCT357" s="22"/>
      <c r="XCU357" s="22"/>
      <c r="XCV357" s="22"/>
      <c r="XCW357" s="22"/>
      <c r="XCX357" s="22"/>
      <c r="XCY357" s="22"/>
      <c r="XCZ357" s="22"/>
      <c r="XDA357" s="22"/>
      <c r="XDB357" s="22"/>
      <c r="XDC357" s="22"/>
      <c r="XDD357" s="22"/>
      <c r="XDE357" s="22"/>
      <c r="XDF357" s="22"/>
      <c r="XDG357" s="22"/>
      <c r="XDH357" s="22"/>
      <c r="XDI357" s="22"/>
      <c r="XDJ357" s="22"/>
      <c r="XDK357" s="22"/>
      <c r="XDL357" s="22"/>
      <c r="XDM357" s="22"/>
      <c r="XDN357" s="22"/>
      <c r="XDO357" s="22"/>
      <c r="XDP357" s="22"/>
      <c r="XDQ357" s="22"/>
      <c r="XDR357" s="22"/>
      <c r="XDS357" s="22"/>
      <c r="XDT357" s="22"/>
      <c r="XDU357" s="22"/>
      <c r="XDV357" s="22"/>
      <c r="XDW357" s="22"/>
      <c r="XDX357" s="22"/>
      <c r="XDY357" s="22"/>
      <c r="XDZ357" s="22"/>
      <c r="XEA357" s="22"/>
      <c r="XEB357" s="22"/>
      <c r="XEC357" s="22"/>
      <c r="XED357" s="22"/>
      <c r="XEE357" s="22"/>
      <c r="XEF357" s="22"/>
      <c r="XEG357" s="22"/>
      <c r="XEH357" s="22"/>
      <c r="XEI357" s="22"/>
      <c r="XEJ357" s="22"/>
      <c r="XEK357" s="22"/>
      <c r="XEL357" s="22"/>
      <c r="XEM357" s="22"/>
      <c r="XEN357" s="22"/>
      <c r="XEO357" s="22"/>
      <c r="XEP357" s="22"/>
      <c r="XEQ357" s="22"/>
      <c r="XER357" s="22"/>
      <c r="XES357" s="22"/>
      <c r="XET357" s="22"/>
      <c r="XEU357" s="22"/>
      <c r="XEV357" s="22"/>
      <c r="XEW357" s="22"/>
      <c r="XEX357" s="22"/>
      <c r="XEY357" s="22"/>
      <c r="XEZ357" s="22"/>
      <c r="XFA357" s="22"/>
      <c r="XFB357" s="22"/>
      <c r="XFC357" s="22"/>
    </row>
    <row r="358" spans="1:16384">
      <c r="A358" s="22">
        <v>23359500</v>
      </c>
      <c r="B358" s="23" t="s">
        <v>36</v>
      </c>
      <c r="C358" s="34" t="s">
        <v>1008</v>
      </c>
      <c r="D358" s="34"/>
      <c r="E358" s="49" t="s">
        <v>505</v>
      </c>
      <c r="F358" s="36" t="s">
        <v>204</v>
      </c>
      <c r="G358" s="23">
        <v>450000</v>
      </c>
      <c r="H358" s="23">
        <v>450000</v>
      </c>
      <c r="I358" s="37">
        <v>44561</v>
      </c>
      <c r="J358" s="37">
        <f t="shared" ref="J358:J389" si="47">I358+30</f>
        <v>44591</v>
      </c>
      <c r="K358" s="38">
        <f t="shared" ref="K358:K389" si="48">IF(J358-I358&lt;0,"Error",J358-I358)</f>
        <v>30</v>
      </c>
      <c r="L358" s="38" t="str">
        <f t="shared" ref="L358:L389" si="49">IF(K358&gt;365,"Medir al costo amortizado","Dejar al valor nominal")</f>
        <v>Dejar al valor nominal</v>
      </c>
      <c r="M358" s="38">
        <f t="shared" ref="M358:M389" si="50">H358-G358</f>
        <v>0</v>
      </c>
      <c r="N358" s="272" t="str">
        <f t="shared" ref="N358:N389" si="51">IF($N$18-J358&gt;K358,"Revisar","OK")</f>
        <v>OK</v>
      </c>
      <c r="O358" s="23" t="s">
        <v>506</v>
      </c>
      <c r="P358" s="23"/>
      <c r="Q358" s="23"/>
      <c r="R358" s="23"/>
      <c r="XFD358" s="22"/>
    </row>
    <row r="359" spans="1:16384">
      <c r="A359" s="22">
        <v>23359500</v>
      </c>
      <c r="B359" s="23" t="s">
        <v>36</v>
      </c>
      <c r="C359" s="34" t="s">
        <v>1008</v>
      </c>
      <c r="D359" s="34"/>
      <c r="E359" s="49" t="s">
        <v>505</v>
      </c>
      <c r="F359" s="36" t="s">
        <v>204</v>
      </c>
      <c r="G359" s="23">
        <v>500000</v>
      </c>
      <c r="H359" s="23">
        <v>500000</v>
      </c>
      <c r="I359" s="37">
        <v>44561</v>
      </c>
      <c r="J359" s="37">
        <f t="shared" si="47"/>
        <v>44591</v>
      </c>
      <c r="K359" s="38">
        <f t="shared" si="48"/>
        <v>30</v>
      </c>
      <c r="L359" s="38" t="str">
        <f t="shared" si="49"/>
        <v>Dejar al valor nominal</v>
      </c>
      <c r="M359" s="38">
        <f t="shared" si="50"/>
        <v>0</v>
      </c>
      <c r="N359" s="272" t="str">
        <f t="shared" si="51"/>
        <v>OK</v>
      </c>
      <c r="O359" s="23" t="s">
        <v>506</v>
      </c>
      <c r="P359" s="23"/>
      <c r="Q359" s="23"/>
      <c r="R359" s="23"/>
      <c r="XFD359" s="22"/>
    </row>
    <row r="360" spans="1:16384">
      <c r="A360" s="22">
        <v>23359500</v>
      </c>
      <c r="B360" s="23" t="s">
        <v>36</v>
      </c>
      <c r="C360" s="34" t="s">
        <v>1008</v>
      </c>
      <c r="D360" s="34"/>
      <c r="E360" s="49" t="s">
        <v>505</v>
      </c>
      <c r="F360" s="36" t="s">
        <v>204</v>
      </c>
      <c r="G360" s="23">
        <v>8800000</v>
      </c>
      <c r="H360" s="23">
        <v>8800000</v>
      </c>
      <c r="I360" s="37">
        <v>44561</v>
      </c>
      <c r="J360" s="37">
        <f t="shared" si="47"/>
        <v>44591</v>
      </c>
      <c r="K360" s="38">
        <f t="shared" si="48"/>
        <v>30</v>
      </c>
      <c r="L360" s="38" t="str">
        <f t="shared" si="49"/>
        <v>Dejar al valor nominal</v>
      </c>
      <c r="M360" s="38">
        <f t="shared" si="50"/>
        <v>0</v>
      </c>
      <c r="N360" s="272" t="str">
        <f t="shared" si="51"/>
        <v>OK</v>
      </c>
      <c r="O360" s="23" t="s">
        <v>506</v>
      </c>
      <c r="P360" s="23"/>
      <c r="Q360" s="23"/>
      <c r="R360" s="23"/>
      <c r="XFD360" s="22"/>
    </row>
    <row r="361" spans="1:16384">
      <c r="A361" s="22">
        <v>23359500</v>
      </c>
      <c r="B361" s="23" t="s">
        <v>36</v>
      </c>
      <c r="C361" s="34" t="s">
        <v>1008</v>
      </c>
      <c r="D361" s="34"/>
      <c r="E361" s="49" t="s">
        <v>505</v>
      </c>
      <c r="F361" s="36" t="s">
        <v>204</v>
      </c>
      <c r="G361" s="23">
        <v>476000</v>
      </c>
      <c r="H361" s="23">
        <v>476000</v>
      </c>
      <c r="I361" s="37">
        <v>44561</v>
      </c>
      <c r="J361" s="37">
        <f t="shared" si="47"/>
        <v>44591</v>
      </c>
      <c r="K361" s="38">
        <f t="shared" si="48"/>
        <v>30</v>
      </c>
      <c r="L361" s="38" t="str">
        <f t="shared" si="49"/>
        <v>Dejar al valor nominal</v>
      </c>
      <c r="M361" s="38">
        <f t="shared" si="50"/>
        <v>0</v>
      </c>
      <c r="N361" s="272" t="str">
        <f t="shared" si="51"/>
        <v>OK</v>
      </c>
      <c r="O361" s="23" t="s">
        <v>506</v>
      </c>
      <c r="P361" s="23"/>
      <c r="Q361" s="23"/>
      <c r="R361" s="23"/>
      <c r="XFD361" s="22"/>
    </row>
    <row r="362" spans="1:16384">
      <c r="A362" s="22">
        <v>23359500</v>
      </c>
      <c r="B362" s="23" t="s">
        <v>36</v>
      </c>
      <c r="C362" s="34" t="s">
        <v>1008</v>
      </c>
      <c r="D362" s="34"/>
      <c r="E362" s="49" t="s">
        <v>505</v>
      </c>
      <c r="F362" s="36" t="s">
        <v>204</v>
      </c>
      <c r="G362" s="23">
        <v>2200000</v>
      </c>
      <c r="H362" s="23">
        <v>2200000</v>
      </c>
      <c r="I362" s="37">
        <v>44561</v>
      </c>
      <c r="J362" s="37">
        <f t="shared" si="47"/>
        <v>44591</v>
      </c>
      <c r="K362" s="38">
        <f t="shared" si="48"/>
        <v>30</v>
      </c>
      <c r="L362" s="38" t="str">
        <f t="shared" si="49"/>
        <v>Dejar al valor nominal</v>
      </c>
      <c r="M362" s="38">
        <f t="shared" si="50"/>
        <v>0</v>
      </c>
      <c r="N362" s="272" t="str">
        <f t="shared" si="51"/>
        <v>OK</v>
      </c>
      <c r="O362" s="23" t="s">
        <v>506</v>
      </c>
      <c r="P362" s="23"/>
      <c r="Q362" s="23"/>
      <c r="R362" s="23"/>
      <c r="XFD362" s="22"/>
    </row>
    <row r="363" spans="1:16384">
      <c r="A363" s="22">
        <v>23359500</v>
      </c>
      <c r="B363" s="23" t="s">
        <v>36</v>
      </c>
      <c r="C363" s="34" t="s">
        <v>1008</v>
      </c>
      <c r="D363" s="34"/>
      <c r="E363" s="49" t="s">
        <v>505</v>
      </c>
      <c r="F363" s="36" t="s">
        <v>204</v>
      </c>
      <c r="G363" s="23">
        <v>5700000</v>
      </c>
      <c r="H363" s="23">
        <v>5700000</v>
      </c>
      <c r="I363" s="37">
        <v>44561</v>
      </c>
      <c r="J363" s="37">
        <f t="shared" si="47"/>
        <v>44591</v>
      </c>
      <c r="K363" s="38">
        <f t="shared" si="48"/>
        <v>30</v>
      </c>
      <c r="L363" s="38" t="str">
        <f t="shared" si="49"/>
        <v>Dejar al valor nominal</v>
      </c>
      <c r="M363" s="38">
        <f t="shared" si="50"/>
        <v>0</v>
      </c>
      <c r="N363" s="272" t="str">
        <f t="shared" si="51"/>
        <v>OK</v>
      </c>
      <c r="O363" s="23" t="s">
        <v>506</v>
      </c>
      <c r="P363" s="23"/>
      <c r="Q363" s="23"/>
      <c r="R363" s="23"/>
      <c r="XFD363" s="22"/>
    </row>
    <row r="364" spans="1:16384">
      <c r="A364" s="22">
        <v>23359500</v>
      </c>
      <c r="B364" s="23" t="s">
        <v>36</v>
      </c>
      <c r="C364" s="34" t="s">
        <v>1008</v>
      </c>
      <c r="D364" s="34"/>
      <c r="E364" s="49" t="s">
        <v>505</v>
      </c>
      <c r="F364" s="36" t="s">
        <v>204</v>
      </c>
      <c r="G364" s="23">
        <v>3750000</v>
      </c>
      <c r="H364" s="23">
        <v>3750000</v>
      </c>
      <c r="I364" s="37">
        <v>44561</v>
      </c>
      <c r="J364" s="37">
        <f t="shared" si="47"/>
        <v>44591</v>
      </c>
      <c r="K364" s="38">
        <f t="shared" si="48"/>
        <v>30</v>
      </c>
      <c r="L364" s="38" t="str">
        <f t="shared" si="49"/>
        <v>Dejar al valor nominal</v>
      </c>
      <c r="M364" s="38">
        <f t="shared" si="50"/>
        <v>0</v>
      </c>
      <c r="N364" s="272" t="str">
        <f t="shared" si="51"/>
        <v>OK</v>
      </c>
      <c r="O364" s="23" t="s">
        <v>506</v>
      </c>
      <c r="P364" s="23"/>
      <c r="Q364" s="23"/>
      <c r="R364" s="23"/>
      <c r="XFD364" s="22"/>
    </row>
    <row r="365" spans="1:16384">
      <c r="A365" s="22">
        <v>23359500</v>
      </c>
      <c r="B365" s="23" t="s">
        <v>36</v>
      </c>
      <c r="C365" s="34" t="s">
        <v>1008</v>
      </c>
      <c r="D365" s="34"/>
      <c r="E365" s="49" t="s">
        <v>505</v>
      </c>
      <c r="F365" s="36" t="s">
        <v>204</v>
      </c>
      <c r="G365" s="23">
        <v>142800</v>
      </c>
      <c r="H365" s="23">
        <v>142800</v>
      </c>
      <c r="I365" s="37">
        <v>44561</v>
      </c>
      <c r="J365" s="37">
        <f t="shared" si="47"/>
        <v>44591</v>
      </c>
      <c r="K365" s="38">
        <f t="shared" si="48"/>
        <v>30</v>
      </c>
      <c r="L365" s="38" t="str">
        <f t="shared" si="49"/>
        <v>Dejar al valor nominal</v>
      </c>
      <c r="M365" s="38">
        <f t="shared" si="50"/>
        <v>0</v>
      </c>
      <c r="N365" s="272" t="str">
        <f t="shared" si="51"/>
        <v>OK</v>
      </c>
      <c r="O365" s="23" t="s">
        <v>506</v>
      </c>
      <c r="P365" s="23"/>
      <c r="Q365" s="23"/>
      <c r="R365" s="23"/>
      <c r="XFD365" s="22"/>
    </row>
    <row r="366" spans="1:16384">
      <c r="A366" s="22">
        <v>23359500</v>
      </c>
      <c r="B366" s="23" t="s">
        <v>36</v>
      </c>
      <c r="C366" s="34" t="s">
        <v>1008</v>
      </c>
      <c r="D366" s="34"/>
      <c r="E366" s="49" t="s">
        <v>505</v>
      </c>
      <c r="F366" s="36" t="s">
        <v>204</v>
      </c>
      <c r="G366" s="23">
        <v>2400000</v>
      </c>
      <c r="H366" s="23">
        <v>2400000</v>
      </c>
      <c r="I366" s="37">
        <v>44561</v>
      </c>
      <c r="J366" s="37">
        <f t="shared" si="47"/>
        <v>44591</v>
      </c>
      <c r="K366" s="38">
        <f t="shared" si="48"/>
        <v>30</v>
      </c>
      <c r="L366" s="38" t="str">
        <f t="shared" si="49"/>
        <v>Dejar al valor nominal</v>
      </c>
      <c r="M366" s="38">
        <f t="shared" si="50"/>
        <v>0</v>
      </c>
      <c r="N366" s="272" t="str">
        <f t="shared" si="51"/>
        <v>OK</v>
      </c>
      <c r="O366" s="23" t="s">
        <v>506</v>
      </c>
      <c r="P366" s="23"/>
      <c r="Q366" s="23"/>
      <c r="R366" s="23"/>
      <c r="XFD366" s="22"/>
    </row>
    <row r="367" spans="1:16384">
      <c r="A367" s="22">
        <v>23359500</v>
      </c>
      <c r="B367" s="23" t="s">
        <v>36</v>
      </c>
      <c r="C367" s="34" t="s">
        <v>1008</v>
      </c>
      <c r="D367" s="34"/>
      <c r="E367" s="49" t="s">
        <v>505</v>
      </c>
      <c r="F367" s="36" t="s">
        <v>204</v>
      </c>
      <c r="G367" s="23">
        <v>2900000</v>
      </c>
      <c r="H367" s="23">
        <v>2900000</v>
      </c>
      <c r="I367" s="37">
        <v>44561</v>
      </c>
      <c r="J367" s="37">
        <f t="shared" si="47"/>
        <v>44591</v>
      </c>
      <c r="K367" s="38">
        <f t="shared" si="48"/>
        <v>30</v>
      </c>
      <c r="L367" s="38" t="str">
        <f t="shared" si="49"/>
        <v>Dejar al valor nominal</v>
      </c>
      <c r="M367" s="38">
        <f t="shared" si="50"/>
        <v>0</v>
      </c>
      <c r="N367" s="272" t="str">
        <f t="shared" si="51"/>
        <v>OK</v>
      </c>
      <c r="O367" s="23" t="s">
        <v>506</v>
      </c>
      <c r="P367" s="23"/>
      <c r="Q367" s="23"/>
      <c r="R367" s="23"/>
      <c r="XFD367" s="22"/>
    </row>
    <row r="368" spans="1:16384">
      <c r="A368" s="22">
        <v>23359500</v>
      </c>
      <c r="B368" s="23" t="s">
        <v>36</v>
      </c>
      <c r="C368" s="34" t="s">
        <v>1008</v>
      </c>
      <c r="D368" s="34"/>
      <c r="E368" s="49" t="s">
        <v>505</v>
      </c>
      <c r="F368" s="36" t="s">
        <v>204</v>
      </c>
      <c r="G368" s="23">
        <v>1200000</v>
      </c>
      <c r="H368" s="23">
        <v>1200000</v>
      </c>
      <c r="I368" s="37">
        <v>44561</v>
      </c>
      <c r="J368" s="37">
        <f t="shared" si="47"/>
        <v>44591</v>
      </c>
      <c r="K368" s="38">
        <f t="shared" si="48"/>
        <v>30</v>
      </c>
      <c r="L368" s="38" t="str">
        <f t="shared" si="49"/>
        <v>Dejar al valor nominal</v>
      </c>
      <c r="M368" s="38">
        <f t="shared" si="50"/>
        <v>0</v>
      </c>
      <c r="N368" s="272" t="str">
        <f t="shared" si="51"/>
        <v>OK</v>
      </c>
      <c r="O368" s="23" t="s">
        <v>506</v>
      </c>
      <c r="P368" s="23"/>
      <c r="Q368" s="23"/>
      <c r="R368" s="23"/>
      <c r="XFD368" s="22"/>
    </row>
    <row r="369" spans="1:18 16384:16384">
      <c r="A369" s="22">
        <v>23359500</v>
      </c>
      <c r="B369" s="23" t="s">
        <v>36</v>
      </c>
      <c r="C369" s="34" t="s">
        <v>1008</v>
      </c>
      <c r="D369" s="34"/>
      <c r="E369" s="49" t="s">
        <v>505</v>
      </c>
      <c r="F369" s="36" t="s">
        <v>204</v>
      </c>
      <c r="G369" s="23">
        <v>600000</v>
      </c>
      <c r="H369" s="23">
        <v>600000</v>
      </c>
      <c r="I369" s="37">
        <v>44561</v>
      </c>
      <c r="J369" s="37">
        <f t="shared" si="47"/>
        <v>44591</v>
      </c>
      <c r="K369" s="38">
        <f t="shared" si="48"/>
        <v>30</v>
      </c>
      <c r="L369" s="38" t="str">
        <f t="shared" si="49"/>
        <v>Dejar al valor nominal</v>
      </c>
      <c r="M369" s="38">
        <f t="shared" si="50"/>
        <v>0</v>
      </c>
      <c r="N369" s="272" t="str">
        <f t="shared" si="51"/>
        <v>OK</v>
      </c>
      <c r="O369" s="23" t="s">
        <v>506</v>
      </c>
      <c r="P369" s="23"/>
      <c r="Q369" s="23"/>
      <c r="R369" s="23"/>
      <c r="XFD369" s="22"/>
    </row>
    <row r="370" spans="1:18 16384:16384">
      <c r="A370" s="22">
        <v>23359500</v>
      </c>
      <c r="B370" s="23" t="s">
        <v>36</v>
      </c>
      <c r="C370" s="34" t="s">
        <v>1008</v>
      </c>
      <c r="D370" s="34"/>
      <c r="E370" s="49" t="s">
        <v>505</v>
      </c>
      <c r="F370" s="36" t="s">
        <v>204</v>
      </c>
      <c r="G370" s="23">
        <v>2900000</v>
      </c>
      <c r="H370" s="23">
        <v>2900000</v>
      </c>
      <c r="I370" s="37">
        <v>44561</v>
      </c>
      <c r="J370" s="37">
        <f t="shared" si="47"/>
        <v>44591</v>
      </c>
      <c r="K370" s="38">
        <f t="shared" si="48"/>
        <v>30</v>
      </c>
      <c r="L370" s="38" t="str">
        <f t="shared" si="49"/>
        <v>Dejar al valor nominal</v>
      </c>
      <c r="M370" s="38">
        <f t="shared" si="50"/>
        <v>0</v>
      </c>
      <c r="N370" s="272" t="str">
        <f t="shared" si="51"/>
        <v>OK</v>
      </c>
      <c r="O370" s="23" t="s">
        <v>506</v>
      </c>
      <c r="P370" s="23"/>
      <c r="Q370" s="23"/>
      <c r="R370" s="23"/>
      <c r="XFD370" s="22"/>
    </row>
    <row r="371" spans="1:18 16384:16384">
      <c r="A371" s="22">
        <v>23359500</v>
      </c>
      <c r="B371" s="23" t="s">
        <v>36</v>
      </c>
      <c r="C371" s="34" t="s">
        <v>1008</v>
      </c>
      <c r="D371" s="34"/>
      <c r="E371" s="49" t="s">
        <v>505</v>
      </c>
      <c r="F371" s="36" t="s">
        <v>204</v>
      </c>
      <c r="G371" s="23">
        <v>1053150</v>
      </c>
      <c r="H371" s="23">
        <v>1053150</v>
      </c>
      <c r="I371" s="37">
        <v>44561</v>
      </c>
      <c r="J371" s="37">
        <f t="shared" si="47"/>
        <v>44591</v>
      </c>
      <c r="K371" s="38">
        <f t="shared" si="48"/>
        <v>30</v>
      </c>
      <c r="L371" s="38" t="str">
        <f t="shared" si="49"/>
        <v>Dejar al valor nominal</v>
      </c>
      <c r="M371" s="38">
        <f t="shared" si="50"/>
        <v>0</v>
      </c>
      <c r="N371" s="272" t="str">
        <f t="shared" si="51"/>
        <v>OK</v>
      </c>
      <c r="O371" s="23" t="s">
        <v>506</v>
      </c>
      <c r="P371" s="23"/>
      <c r="Q371" s="23"/>
      <c r="R371" s="23"/>
      <c r="XFD371" s="22"/>
    </row>
    <row r="372" spans="1:18 16384:16384">
      <c r="A372" s="22">
        <v>23359500</v>
      </c>
      <c r="B372" s="23" t="s">
        <v>36</v>
      </c>
      <c r="C372" s="34" t="s">
        <v>1008</v>
      </c>
      <c r="D372" s="34"/>
      <c r="E372" s="49" t="s">
        <v>505</v>
      </c>
      <c r="F372" s="36" t="s">
        <v>204</v>
      </c>
      <c r="G372" s="23">
        <v>291500000</v>
      </c>
      <c r="H372" s="23">
        <v>291500000</v>
      </c>
      <c r="I372" s="37">
        <v>44561</v>
      </c>
      <c r="J372" s="37">
        <f t="shared" si="47"/>
        <v>44591</v>
      </c>
      <c r="K372" s="38">
        <f t="shared" si="48"/>
        <v>30</v>
      </c>
      <c r="L372" s="38" t="str">
        <f t="shared" si="49"/>
        <v>Dejar al valor nominal</v>
      </c>
      <c r="M372" s="38">
        <f t="shared" si="50"/>
        <v>0</v>
      </c>
      <c r="N372" s="272" t="str">
        <f t="shared" si="51"/>
        <v>OK</v>
      </c>
      <c r="O372" s="23" t="s">
        <v>506</v>
      </c>
      <c r="P372" s="23"/>
      <c r="Q372" s="23"/>
      <c r="R372" s="23"/>
      <c r="XFD372" s="22"/>
    </row>
    <row r="373" spans="1:18 16384:16384">
      <c r="A373" s="22">
        <v>23359500</v>
      </c>
      <c r="B373" s="23" t="s">
        <v>36</v>
      </c>
      <c r="C373" s="34" t="s">
        <v>1008</v>
      </c>
      <c r="D373" s="34"/>
      <c r="E373" s="49" t="s">
        <v>505</v>
      </c>
      <c r="F373" s="36" t="s">
        <v>204</v>
      </c>
      <c r="G373" s="23">
        <v>6400000</v>
      </c>
      <c r="H373" s="23">
        <v>6400000</v>
      </c>
      <c r="I373" s="37">
        <v>44561</v>
      </c>
      <c r="J373" s="37">
        <f t="shared" si="47"/>
        <v>44591</v>
      </c>
      <c r="K373" s="38">
        <f t="shared" si="48"/>
        <v>30</v>
      </c>
      <c r="L373" s="38" t="str">
        <f t="shared" si="49"/>
        <v>Dejar al valor nominal</v>
      </c>
      <c r="M373" s="38">
        <f t="shared" si="50"/>
        <v>0</v>
      </c>
      <c r="N373" s="272" t="str">
        <f t="shared" si="51"/>
        <v>OK</v>
      </c>
      <c r="O373" s="23" t="s">
        <v>506</v>
      </c>
      <c r="P373" s="23"/>
      <c r="Q373" s="23"/>
      <c r="R373" s="23"/>
      <c r="XFD373" s="22"/>
    </row>
    <row r="374" spans="1:18 16384:16384">
      <c r="A374" s="22">
        <v>23359500</v>
      </c>
      <c r="B374" s="23" t="s">
        <v>36</v>
      </c>
      <c r="C374" s="34" t="s">
        <v>1008</v>
      </c>
      <c r="D374" s="34"/>
      <c r="E374" s="49" t="s">
        <v>505</v>
      </c>
      <c r="F374" s="36" t="s">
        <v>204</v>
      </c>
      <c r="G374" s="23">
        <v>4450000</v>
      </c>
      <c r="H374" s="23">
        <v>4450000</v>
      </c>
      <c r="I374" s="37">
        <v>44561</v>
      </c>
      <c r="J374" s="37">
        <f t="shared" si="47"/>
        <v>44591</v>
      </c>
      <c r="K374" s="38">
        <f t="shared" si="48"/>
        <v>30</v>
      </c>
      <c r="L374" s="38" t="str">
        <f t="shared" si="49"/>
        <v>Dejar al valor nominal</v>
      </c>
      <c r="M374" s="38">
        <f t="shared" si="50"/>
        <v>0</v>
      </c>
      <c r="N374" s="272" t="str">
        <f t="shared" si="51"/>
        <v>OK</v>
      </c>
      <c r="O374" s="23" t="s">
        <v>506</v>
      </c>
      <c r="P374" s="23"/>
      <c r="Q374" s="23"/>
      <c r="R374" s="23"/>
      <c r="XFD374" s="22"/>
    </row>
    <row r="375" spans="1:18 16384:16384">
      <c r="A375" s="22">
        <v>23359500</v>
      </c>
      <c r="B375" s="23" t="s">
        <v>36</v>
      </c>
      <c r="C375" s="34" t="s">
        <v>1008</v>
      </c>
      <c r="D375" s="34"/>
      <c r="E375" s="49" t="s">
        <v>505</v>
      </c>
      <c r="F375" s="36" t="s">
        <v>204</v>
      </c>
      <c r="G375" s="23">
        <v>300000</v>
      </c>
      <c r="H375" s="23">
        <v>300000</v>
      </c>
      <c r="I375" s="37">
        <v>44561</v>
      </c>
      <c r="J375" s="37">
        <f t="shared" si="47"/>
        <v>44591</v>
      </c>
      <c r="K375" s="38">
        <f t="shared" si="48"/>
        <v>30</v>
      </c>
      <c r="L375" s="38" t="str">
        <f t="shared" si="49"/>
        <v>Dejar al valor nominal</v>
      </c>
      <c r="M375" s="38">
        <f t="shared" si="50"/>
        <v>0</v>
      </c>
      <c r="N375" s="272" t="str">
        <f t="shared" si="51"/>
        <v>OK</v>
      </c>
      <c r="O375" s="23" t="s">
        <v>506</v>
      </c>
      <c r="P375" s="23"/>
      <c r="Q375" s="23"/>
      <c r="R375" s="23"/>
      <c r="XFD375" s="22"/>
    </row>
    <row r="376" spans="1:18 16384:16384">
      <c r="A376" s="22">
        <v>23359500</v>
      </c>
      <c r="B376" s="23" t="s">
        <v>36</v>
      </c>
      <c r="C376" s="34" t="s">
        <v>1008</v>
      </c>
      <c r="D376" s="34"/>
      <c r="E376" s="49" t="s">
        <v>505</v>
      </c>
      <c r="F376" s="36" t="s">
        <v>204</v>
      </c>
      <c r="G376" s="23">
        <v>2850000</v>
      </c>
      <c r="H376" s="23">
        <v>2850000</v>
      </c>
      <c r="I376" s="37">
        <v>44561</v>
      </c>
      <c r="J376" s="37">
        <f t="shared" si="47"/>
        <v>44591</v>
      </c>
      <c r="K376" s="38">
        <f t="shared" si="48"/>
        <v>30</v>
      </c>
      <c r="L376" s="38" t="str">
        <f t="shared" si="49"/>
        <v>Dejar al valor nominal</v>
      </c>
      <c r="M376" s="38">
        <f t="shared" si="50"/>
        <v>0</v>
      </c>
      <c r="N376" s="272" t="str">
        <f t="shared" si="51"/>
        <v>OK</v>
      </c>
      <c r="O376" s="23" t="s">
        <v>506</v>
      </c>
      <c r="P376" s="23"/>
      <c r="Q376" s="23"/>
      <c r="R376" s="23"/>
      <c r="XFD376" s="22"/>
    </row>
    <row r="377" spans="1:18 16384:16384">
      <c r="A377" s="22">
        <v>23359500</v>
      </c>
      <c r="B377" s="23" t="s">
        <v>36</v>
      </c>
      <c r="C377" s="34" t="s">
        <v>1008</v>
      </c>
      <c r="D377" s="34"/>
      <c r="E377" s="49" t="s">
        <v>505</v>
      </c>
      <c r="F377" s="36" t="s">
        <v>204</v>
      </c>
      <c r="G377" s="23">
        <v>450000</v>
      </c>
      <c r="H377" s="23">
        <v>450000</v>
      </c>
      <c r="I377" s="37">
        <v>44561</v>
      </c>
      <c r="J377" s="37">
        <f t="shared" si="47"/>
        <v>44591</v>
      </c>
      <c r="K377" s="38">
        <f t="shared" si="48"/>
        <v>30</v>
      </c>
      <c r="L377" s="38" t="str">
        <f t="shared" si="49"/>
        <v>Dejar al valor nominal</v>
      </c>
      <c r="M377" s="38">
        <f t="shared" si="50"/>
        <v>0</v>
      </c>
      <c r="N377" s="272" t="str">
        <f t="shared" si="51"/>
        <v>OK</v>
      </c>
      <c r="O377" s="23" t="s">
        <v>506</v>
      </c>
      <c r="P377" s="23"/>
      <c r="Q377" s="23"/>
      <c r="R377" s="23"/>
      <c r="XFD377" s="22"/>
    </row>
    <row r="378" spans="1:18 16384:16384">
      <c r="A378" s="22">
        <v>23359500</v>
      </c>
      <c r="B378" s="23" t="s">
        <v>36</v>
      </c>
      <c r="C378" s="34" t="s">
        <v>1008</v>
      </c>
      <c r="D378" s="34"/>
      <c r="E378" s="49" t="s">
        <v>505</v>
      </c>
      <c r="F378" s="36" t="s">
        <v>204</v>
      </c>
      <c r="G378" s="23">
        <v>164300</v>
      </c>
      <c r="H378" s="23">
        <v>164300</v>
      </c>
      <c r="I378" s="37">
        <v>44561</v>
      </c>
      <c r="J378" s="37">
        <f t="shared" si="47"/>
        <v>44591</v>
      </c>
      <c r="K378" s="38">
        <f t="shared" si="48"/>
        <v>30</v>
      </c>
      <c r="L378" s="38" t="str">
        <f t="shared" si="49"/>
        <v>Dejar al valor nominal</v>
      </c>
      <c r="M378" s="38">
        <f t="shared" si="50"/>
        <v>0</v>
      </c>
      <c r="N378" s="272" t="str">
        <f t="shared" si="51"/>
        <v>OK</v>
      </c>
      <c r="O378" s="23" t="s">
        <v>506</v>
      </c>
      <c r="P378" s="23"/>
      <c r="Q378" s="23"/>
      <c r="R378" s="23"/>
      <c r="XFD378" s="22"/>
    </row>
    <row r="379" spans="1:18 16384:16384">
      <c r="A379" s="22">
        <v>23359500</v>
      </c>
      <c r="B379" s="23" t="s">
        <v>36</v>
      </c>
      <c r="C379" s="34" t="s">
        <v>1008</v>
      </c>
      <c r="D379" s="34"/>
      <c r="E379" s="49" t="s">
        <v>505</v>
      </c>
      <c r="F379" s="36" t="s">
        <v>204</v>
      </c>
      <c r="G379" s="23">
        <v>355821.9</v>
      </c>
      <c r="H379" s="23">
        <v>355821.9</v>
      </c>
      <c r="I379" s="37">
        <v>44561</v>
      </c>
      <c r="J379" s="37">
        <f t="shared" si="47"/>
        <v>44591</v>
      </c>
      <c r="K379" s="38">
        <f t="shared" si="48"/>
        <v>30</v>
      </c>
      <c r="L379" s="38" t="str">
        <f t="shared" si="49"/>
        <v>Dejar al valor nominal</v>
      </c>
      <c r="M379" s="38">
        <f t="shared" si="50"/>
        <v>0</v>
      </c>
      <c r="N379" s="272" t="str">
        <f t="shared" si="51"/>
        <v>OK</v>
      </c>
      <c r="O379" s="23" t="s">
        <v>506</v>
      </c>
      <c r="P379" s="23"/>
      <c r="Q379" s="23"/>
      <c r="R379" s="23"/>
      <c r="XFD379" s="22"/>
    </row>
    <row r="380" spans="1:18 16384:16384">
      <c r="A380" s="22">
        <v>23359500</v>
      </c>
      <c r="B380" s="23" t="s">
        <v>36</v>
      </c>
      <c r="C380" s="34" t="s">
        <v>1008</v>
      </c>
      <c r="D380" s="34"/>
      <c r="E380" s="49" t="s">
        <v>505</v>
      </c>
      <c r="F380" s="36" t="s">
        <v>204</v>
      </c>
      <c r="G380" s="23">
        <v>355821.9</v>
      </c>
      <c r="H380" s="23">
        <v>355821.9</v>
      </c>
      <c r="I380" s="37">
        <v>44561</v>
      </c>
      <c r="J380" s="37">
        <f t="shared" si="47"/>
        <v>44591</v>
      </c>
      <c r="K380" s="38">
        <f t="shared" si="48"/>
        <v>30</v>
      </c>
      <c r="L380" s="38" t="str">
        <f t="shared" si="49"/>
        <v>Dejar al valor nominal</v>
      </c>
      <c r="M380" s="38">
        <f t="shared" si="50"/>
        <v>0</v>
      </c>
      <c r="N380" s="272" t="str">
        <f t="shared" si="51"/>
        <v>OK</v>
      </c>
      <c r="O380" s="23" t="s">
        <v>506</v>
      </c>
      <c r="P380" s="23"/>
      <c r="Q380" s="23"/>
      <c r="R380" s="23"/>
      <c r="XFD380" s="22"/>
    </row>
    <row r="381" spans="1:18 16384:16384">
      <c r="A381" s="22">
        <v>23359500</v>
      </c>
      <c r="B381" s="23" t="s">
        <v>36</v>
      </c>
      <c r="C381" s="34" t="s">
        <v>1008</v>
      </c>
      <c r="D381" s="34"/>
      <c r="E381" s="49" t="s">
        <v>505</v>
      </c>
      <c r="F381" s="36" t="s">
        <v>204</v>
      </c>
      <c r="G381" s="23">
        <v>10786500.34</v>
      </c>
      <c r="H381" s="23">
        <v>10786500.34</v>
      </c>
      <c r="I381" s="37">
        <v>44561</v>
      </c>
      <c r="J381" s="37">
        <f t="shared" si="47"/>
        <v>44591</v>
      </c>
      <c r="K381" s="38">
        <f t="shared" si="48"/>
        <v>30</v>
      </c>
      <c r="L381" s="38" t="str">
        <f t="shared" si="49"/>
        <v>Dejar al valor nominal</v>
      </c>
      <c r="M381" s="38">
        <f t="shared" si="50"/>
        <v>0</v>
      </c>
      <c r="N381" s="272" t="str">
        <f t="shared" si="51"/>
        <v>OK</v>
      </c>
      <c r="O381" s="23" t="s">
        <v>506</v>
      </c>
      <c r="P381" s="23"/>
      <c r="Q381" s="23"/>
      <c r="R381" s="23"/>
      <c r="XFD381" s="22"/>
    </row>
    <row r="382" spans="1:18 16384:16384">
      <c r="A382" s="22">
        <v>23359500</v>
      </c>
      <c r="B382" s="23" t="s">
        <v>36</v>
      </c>
      <c r="C382" s="34" t="s">
        <v>1008</v>
      </c>
      <c r="D382" s="34"/>
      <c r="E382" s="49" t="s">
        <v>505</v>
      </c>
      <c r="F382" s="36" t="s">
        <v>204</v>
      </c>
      <c r="G382" s="23">
        <v>198000</v>
      </c>
      <c r="H382" s="23">
        <v>198000</v>
      </c>
      <c r="I382" s="37">
        <v>44561</v>
      </c>
      <c r="J382" s="37">
        <f t="shared" si="47"/>
        <v>44591</v>
      </c>
      <c r="K382" s="38">
        <f t="shared" si="48"/>
        <v>30</v>
      </c>
      <c r="L382" s="38" t="str">
        <f t="shared" si="49"/>
        <v>Dejar al valor nominal</v>
      </c>
      <c r="M382" s="38">
        <f t="shared" si="50"/>
        <v>0</v>
      </c>
      <c r="N382" s="272" t="str">
        <f t="shared" si="51"/>
        <v>OK</v>
      </c>
      <c r="O382" s="23" t="s">
        <v>506</v>
      </c>
      <c r="P382" s="23"/>
      <c r="Q382" s="23"/>
      <c r="R382" s="23"/>
      <c r="XFD382" s="22"/>
    </row>
    <row r="383" spans="1:18 16384:16384">
      <c r="A383" s="22">
        <v>23359500</v>
      </c>
      <c r="B383" s="23" t="s">
        <v>36</v>
      </c>
      <c r="C383" s="34" t="s">
        <v>1008</v>
      </c>
      <c r="D383" s="34"/>
      <c r="E383" s="49" t="s">
        <v>505</v>
      </c>
      <c r="F383" s="36" t="s">
        <v>204</v>
      </c>
      <c r="G383" s="23">
        <v>18000000</v>
      </c>
      <c r="H383" s="23">
        <v>18000000</v>
      </c>
      <c r="I383" s="37">
        <v>44561</v>
      </c>
      <c r="J383" s="37">
        <f t="shared" si="47"/>
        <v>44591</v>
      </c>
      <c r="K383" s="38">
        <f t="shared" si="48"/>
        <v>30</v>
      </c>
      <c r="L383" s="38" t="str">
        <f t="shared" si="49"/>
        <v>Dejar al valor nominal</v>
      </c>
      <c r="M383" s="38">
        <f t="shared" si="50"/>
        <v>0</v>
      </c>
      <c r="N383" s="272" t="str">
        <f t="shared" si="51"/>
        <v>OK</v>
      </c>
      <c r="O383" s="23" t="s">
        <v>506</v>
      </c>
      <c r="P383" s="23"/>
      <c r="Q383" s="23"/>
      <c r="R383" s="23"/>
      <c r="XFD383" s="22"/>
    </row>
    <row r="384" spans="1:18 16384:16384">
      <c r="A384" s="22">
        <v>23359500</v>
      </c>
      <c r="B384" s="23" t="s">
        <v>36</v>
      </c>
      <c r="C384" s="34" t="s">
        <v>1008</v>
      </c>
      <c r="D384" s="34"/>
      <c r="E384" s="49" t="s">
        <v>505</v>
      </c>
      <c r="F384" s="36" t="s">
        <v>204</v>
      </c>
      <c r="G384" s="23">
        <v>499800</v>
      </c>
      <c r="H384" s="23">
        <v>499800</v>
      </c>
      <c r="I384" s="37">
        <v>44561</v>
      </c>
      <c r="J384" s="37">
        <f t="shared" si="47"/>
        <v>44591</v>
      </c>
      <c r="K384" s="38">
        <f t="shared" si="48"/>
        <v>30</v>
      </c>
      <c r="L384" s="38" t="str">
        <f t="shared" si="49"/>
        <v>Dejar al valor nominal</v>
      </c>
      <c r="M384" s="38">
        <f t="shared" si="50"/>
        <v>0</v>
      </c>
      <c r="N384" s="272" t="str">
        <f t="shared" si="51"/>
        <v>OK</v>
      </c>
      <c r="O384" s="23" t="s">
        <v>506</v>
      </c>
      <c r="P384" s="23"/>
      <c r="Q384" s="23"/>
      <c r="R384" s="23"/>
      <c r="XFD384" s="22"/>
    </row>
    <row r="385" spans="1:16384">
      <c r="A385" s="22">
        <v>23359500</v>
      </c>
      <c r="B385" s="23" t="s">
        <v>36</v>
      </c>
      <c r="C385" s="34" t="s">
        <v>1008</v>
      </c>
      <c r="D385" s="34"/>
      <c r="E385" s="49" t="s">
        <v>505</v>
      </c>
      <c r="F385" s="36" t="s">
        <v>204</v>
      </c>
      <c r="G385" s="23">
        <v>11069639</v>
      </c>
      <c r="H385" s="23">
        <v>11069639</v>
      </c>
      <c r="I385" s="37">
        <v>44561</v>
      </c>
      <c r="J385" s="37">
        <f t="shared" si="47"/>
        <v>44591</v>
      </c>
      <c r="K385" s="38">
        <f t="shared" si="48"/>
        <v>30</v>
      </c>
      <c r="L385" s="38" t="str">
        <f t="shared" si="49"/>
        <v>Dejar al valor nominal</v>
      </c>
      <c r="M385" s="38">
        <f t="shared" si="50"/>
        <v>0</v>
      </c>
      <c r="N385" s="272" t="str">
        <f t="shared" si="51"/>
        <v>OK</v>
      </c>
      <c r="O385" s="23" t="s">
        <v>506</v>
      </c>
      <c r="P385" s="23"/>
      <c r="Q385" s="23"/>
      <c r="R385" s="23"/>
      <c r="XFD385" s="22"/>
    </row>
    <row r="386" spans="1:16384">
      <c r="A386" s="22">
        <v>23359500</v>
      </c>
      <c r="B386" s="23" t="s">
        <v>36</v>
      </c>
      <c r="C386" s="34" t="s">
        <v>1008</v>
      </c>
      <c r="D386" s="34"/>
      <c r="E386" s="49" t="s">
        <v>505</v>
      </c>
      <c r="F386" s="36" t="s">
        <v>204</v>
      </c>
      <c r="G386" s="23">
        <v>1290000</v>
      </c>
      <c r="H386" s="23">
        <v>1290000</v>
      </c>
      <c r="I386" s="37">
        <v>44561</v>
      </c>
      <c r="J386" s="37">
        <f t="shared" si="47"/>
        <v>44591</v>
      </c>
      <c r="K386" s="38">
        <f t="shared" si="48"/>
        <v>30</v>
      </c>
      <c r="L386" s="38" t="str">
        <f t="shared" si="49"/>
        <v>Dejar al valor nominal</v>
      </c>
      <c r="M386" s="38">
        <f t="shared" si="50"/>
        <v>0</v>
      </c>
      <c r="N386" s="272" t="str">
        <f t="shared" si="51"/>
        <v>OK</v>
      </c>
      <c r="O386" s="23" t="s">
        <v>506</v>
      </c>
      <c r="P386" s="23"/>
      <c r="Q386" s="23"/>
      <c r="R386" s="23"/>
      <c r="XFD386" s="22"/>
    </row>
    <row r="387" spans="1:16384">
      <c r="A387" s="22">
        <v>23359500</v>
      </c>
      <c r="B387" s="23" t="s">
        <v>36</v>
      </c>
      <c r="C387" s="34" t="s">
        <v>1008</v>
      </c>
      <c r="D387" s="34"/>
      <c r="E387" s="49" t="s">
        <v>505</v>
      </c>
      <c r="F387" s="36" t="s">
        <v>204</v>
      </c>
      <c r="G387" s="23">
        <v>12000000</v>
      </c>
      <c r="H387" s="23">
        <v>12000000</v>
      </c>
      <c r="I387" s="37">
        <v>44561</v>
      </c>
      <c r="J387" s="37">
        <f t="shared" si="47"/>
        <v>44591</v>
      </c>
      <c r="K387" s="38">
        <f t="shared" si="48"/>
        <v>30</v>
      </c>
      <c r="L387" s="38" t="str">
        <f t="shared" si="49"/>
        <v>Dejar al valor nominal</v>
      </c>
      <c r="M387" s="38">
        <f t="shared" si="50"/>
        <v>0</v>
      </c>
      <c r="N387" s="272" t="str">
        <f t="shared" si="51"/>
        <v>OK</v>
      </c>
      <c r="O387" s="23" t="s">
        <v>506</v>
      </c>
      <c r="P387" s="23"/>
      <c r="Q387" s="23"/>
      <c r="R387" s="23"/>
      <c r="XFD387" s="22"/>
    </row>
    <row r="388" spans="1:16384">
      <c r="A388" s="22">
        <v>23359500</v>
      </c>
      <c r="B388" s="23" t="s">
        <v>36</v>
      </c>
      <c r="C388" s="34" t="s">
        <v>1008</v>
      </c>
      <c r="D388" s="34"/>
      <c r="E388" s="49" t="s">
        <v>505</v>
      </c>
      <c r="F388" s="36" t="s">
        <v>204</v>
      </c>
      <c r="G388" s="23">
        <v>1200000</v>
      </c>
      <c r="H388" s="23">
        <v>1200000</v>
      </c>
      <c r="I388" s="37">
        <v>44561</v>
      </c>
      <c r="J388" s="37">
        <f t="shared" si="47"/>
        <v>44591</v>
      </c>
      <c r="K388" s="38">
        <f t="shared" si="48"/>
        <v>30</v>
      </c>
      <c r="L388" s="38" t="str">
        <f t="shared" si="49"/>
        <v>Dejar al valor nominal</v>
      </c>
      <c r="M388" s="38">
        <f t="shared" si="50"/>
        <v>0</v>
      </c>
      <c r="N388" s="272" t="str">
        <f t="shared" si="51"/>
        <v>OK</v>
      </c>
      <c r="O388" s="23" t="s">
        <v>506</v>
      </c>
      <c r="P388" s="23"/>
      <c r="Q388" s="23"/>
      <c r="R388" s="23"/>
      <c r="XFD388" s="22"/>
    </row>
    <row r="389" spans="1:16384">
      <c r="A389" s="22">
        <v>23359500</v>
      </c>
      <c r="B389" s="23" t="s">
        <v>36</v>
      </c>
      <c r="C389" s="34" t="s">
        <v>1008</v>
      </c>
      <c r="D389" s="34"/>
      <c r="E389" s="49" t="s">
        <v>505</v>
      </c>
      <c r="F389" s="36" t="s">
        <v>204</v>
      </c>
      <c r="G389" s="23">
        <v>12000000</v>
      </c>
      <c r="H389" s="23">
        <v>12000000</v>
      </c>
      <c r="I389" s="37">
        <v>44561</v>
      </c>
      <c r="J389" s="37">
        <f t="shared" si="47"/>
        <v>44591</v>
      </c>
      <c r="K389" s="38">
        <f t="shared" si="48"/>
        <v>30</v>
      </c>
      <c r="L389" s="38" t="str">
        <f t="shared" si="49"/>
        <v>Dejar al valor nominal</v>
      </c>
      <c r="M389" s="38">
        <f t="shared" si="50"/>
        <v>0</v>
      </c>
      <c r="N389" s="272" t="str">
        <f t="shared" si="51"/>
        <v>OK</v>
      </c>
      <c r="O389" s="23" t="s">
        <v>506</v>
      </c>
      <c r="P389" s="23"/>
      <c r="Q389" s="23"/>
      <c r="R389" s="23"/>
      <c r="XFD389" s="22"/>
    </row>
    <row r="390" spans="1:16384"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80"/>
      <c r="Q390" s="23"/>
      <c r="R390" s="23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U390" s="22"/>
      <c r="BV390" s="22"/>
      <c r="BW390" s="22"/>
      <c r="BX390" s="22"/>
      <c r="BY390" s="22"/>
      <c r="BZ390" s="22"/>
      <c r="CA390" s="22"/>
      <c r="CB390" s="22"/>
      <c r="CC390" s="22"/>
      <c r="CD390" s="22"/>
      <c r="CE390" s="22"/>
      <c r="CF390" s="22"/>
      <c r="CG390" s="22"/>
      <c r="CH390" s="22"/>
      <c r="CI390" s="22"/>
      <c r="CJ390" s="22"/>
      <c r="CK390" s="22"/>
      <c r="CL390" s="22"/>
      <c r="CM390" s="22"/>
      <c r="CN390" s="22"/>
      <c r="CO390" s="22"/>
      <c r="CP390" s="22"/>
      <c r="CQ390" s="22"/>
      <c r="CR390" s="22"/>
      <c r="CS390" s="22"/>
      <c r="CT390" s="22"/>
      <c r="CU390" s="22"/>
      <c r="CV390" s="22"/>
      <c r="CW390" s="22"/>
      <c r="CX390" s="22"/>
      <c r="CY390" s="22"/>
      <c r="CZ390" s="22"/>
      <c r="DA390" s="22"/>
      <c r="DB390" s="22"/>
      <c r="DC390" s="22"/>
      <c r="DD390" s="22"/>
      <c r="DE390" s="22"/>
      <c r="DF390" s="22"/>
      <c r="DG390" s="22"/>
      <c r="DH390" s="22"/>
      <c r="DI390" s="22"/>
      <c r="DJ390" s="22"/>
      <c r="DK390" s="22"/>
      <c r="DL390" s="22"/>
      <c r="DM390" s="22"/>
      <c r="DN390" s="22"/>
      <c r="DO390" s="22"/>
      <c r="DP390" s="22"/>
      <c r="DQ390" s="22"/>
      <c r="DR390" s="22"/>
      <c r="DS390" s="22"/>
      <c r="DT390" s="22"/>
      <c r="DU390" s="22"/>
      <c r="DV390" s="22"/>
      <c r="DW390" s="22"/>
      <c r="DX390" s="22"/>
      <c r="DY390" s="22"/>
      <c r="DZ390" s="22"/>
      <c r="EA390" s="22"/>
      <c r="EB390" s="22"/>
      <c r="EC390" s="22"/>
      <c r="ED390" s="22"/>
      <c r="EE390" s="22"/>
      <c r="EF390" s="22"/>
      <c r="EG390" s="22"/>
      <c r="EH390" s="22"/>
      <c r="EI390" s="22"/>
      <c r="EJ390" s="22"/>
      <c r="EK390" s="22"/>
      <c r="EL390" s="22"/>
      <c r="EM390" s="22"/>
      <c r="EN390" s="22"/>
      <c r="EO390" s="22"/>
      <c r="EP390" s="22"/>
      <c r="EQ390" s="22"/>
      <c r="ER390" s="22"/>
      <c r="ES390" s="22"/>
      <c r="ET390" s="22"/>
      <c r="EU390" s="22"/>
      <c r="EV390" s="22"/>
      <c r="EW390" s="22"/>
      <c r="EX390" s="22"/>
      <c r="EY390" s="22"/>
      <c r="EZ390" s="22"/>
      <c r="FA390" s="22"/>
      <c r="FB390" s="22"/>
      <c r="FC390" s="22"/>
      <c r="FD390" s="22"/>
      <c r="FE390" s="22"/>
      <c r="FF390" s="22"/>
      <c r="FG390" s="22"/>
      <c r="FH390" s="22"/>
      <c r="FI390" s="22"/>
      <c r="FJ390" s="22"/>
      <c r="FK390" s="22"/>
      <c r="FL390" s="22"/>
      <c r="FM390" s="22"/>
      <c r="FN390" s="22"/>
      <c r="FO390" s="22"/>
      <c r="FP390" s="22"/>
      <c r="FQ390" s="22"/>
      <c r="FR390" s="22"/>
      <c r="FS390" s="22"/>
      <c r="FT390" s="22"/>
      <c r="FU390" s="22"/>
      <c r="FV390" s="22"/>
      <c r="FW390" s="22"/>
      <c r="FX390" s="22"/>
      <c r="FY390" s="22"/>
      <c r="FZ390" s="22"/>
      <c r="GA390" s="22"/>
      <c r="GB390" s="22"/>
      <c r="GC390" s="22"/>
      <c r="GD390" s="22"/>
      <c r="GE390" s="22"/>
      <c r="GF390" s="22"/>
      <c r="GG390" s="22"/>
      <c r="GH390" s="22"/>
      <c r="GI390" s="22"/>
      <c r="GJ390" s="22"/>
      <c r="GK390" s="22"/>
      <c r="GL390" s="22"/>
      <c r="GM390" s="22"/>
      <c r="GN390" s="22"/>
      <c r="GO390" s="22"/>
      <c r="GP390" s="22"/>
      <c r="GQ390" s="22"/>
      <c r="GR390" s="22"/>
      <c r="GS390" s="22"/>
      <c r="GT390" s="22"/>
      <c r="GU390" s="22"/>
      <c r="GV390" s="22"/>
      <c r="GW390" s="22"/>
      <c r="GX390" s="22"/>
      <c r="GY390" s="22"/>
      <c r="GZ390" s="22"/>
      <c r="HA390" s="22"/>
      <c r="HB390" s="22"/>
      <c r="HC390" s="22"/>
      <c r="HD390" s="22"/>
      <c r="HE390" s="22"/>
      <c r="HF390" s="22"/>
      <c r="HG390" s="22"/>
      <c r="HH390" s="22"/>
      <c r="HI390" s="22"/>
      <c r="HJ390" s="22"/>
      <c r="HK390" s="22"/>
      <c r="HL390" s="22"/>
      <c r="HM390" s="22"/>
      <c r="HN390" s="22"/>
      <c r="HO390" s="22"/>
      <c r="HP390" s="22"/>
      <c r="HQ390" s="22"/>
      <c r="HR390" s="22"/>
      <c r="HS390" s="22"/>
      <c r="HT390" s="22"/>
      <c r="HU390" s="22"/>
      <c r="HV390" s="22"/>
      <c r="HW390" s="22"/>
      <c r="HX390" s="22"/>
      <c r="HY390" s="22"/>
      <c r="HZ390" s="22"/>
      <c r="IA390" s="22"/>
      <c r="IB390" s="22"/>
      <c r="IC390" s="22"/>
      <c r="ID390" s="22"/>
      <c r="IE390" s="22"/>
      <c r="IF390" s="22"/>
      <c r="IG390" s="22"/>
      <c r="IH390" s="22"/>
      <c r="II390" s="22"/>
      <c r="IJ390" s="22"/>
      <c r="IK390" s="22"/>
      <c r="IL390" s="22"/>
      <c r="IM390" s="22"/>
      <c r="IN390" s="22"/>
      <c r="IO390" s="22"/>
      <c r="IP390" s="22"/>
      <c r="IQ390" s="22"/>
      <c r="IR390" s="22"/>
      <c r="IS390" s="22"/>
      <c r="IT390" s="22"/>
      <c r="IU390" s="22"/>
      <c r="IV390" s="22"/>
      <c r="IW390" s="22"/>
      <c r="IX390" s="22"/>
      <c r="IY390" s="22"/>
      <c r="IZ390" s="22"/>
      <c r="JA390" s="22"/>
      <c r="JB390" s="22"/>
      <c r="JC390" s="22"/>
      <c r="JD390" s="22"/>
      <c r="JE390" s="22"/>
      <c r="JF390" s="22"/>
      <c r="JG390" s="22"/>
      <c r="JH390" s="22"/>
      <c r="JI390" s="22"/>
      <c r="JJ390" s="22"/>
      <c r="JK390" s="22"/>
      <c r="JL390" s="22"/>
      <c r="JM390" s="22"/>
      <c r="JN390" s="22"/>
      <c r="JO390" s="22"/>
      <c r="JP390" s="22"/>
      <c r="JQ390" s="22"/>
      <c r="JR390" s="22"/>
      <c r="JS390" s="22"/>
      <c r="JT390" s="22"/>
      <c r="JU390" s="22"/>
      <c r="JV390" s="22"/>
      <c r="JW390" s="22"/>
      <c r="JX390" s="22"/>
      <c r="JY390" s="22"/>
      <c r="JZ390" s="22"/>
      <c r="KA390" s="22"/>
      <c r="KB390" s="22"/>
      <c r="KC390" s="22"/>
      <c r="KD390" s="22"/>
      <c r="KE390" s="22"/>
      <c r="KF390" s="22"/>
      <c r="KG390" s="22"/>
      <c r="KH390" s="22"/>
      <c r="KI390" s="22"/>
      <c r="KJ390" s="22"/>
      <c r="KK390" s="22"/>
      <c r="KL390" s="22"/>
      <c r="KM390" s="22"/>
      <c r="KN390" s="22"/>
      <c r="KO390" s="22"/>
      <c r="KP390" s="22"/>
      <c r="KQ390" s="22"/>
      <c r="KR390" s="22"/>
      <c r="KS390" s="22"/>
      <c r="KT390" s="22"/>
      <c r="KU390" s="22"/>
      <c r="KV390" s="22"/>
      <c r="KW390" s="22"/>
      <c r="KX390" s="22"/>
      <c r="KY390" s="22"/>
      <c r="KZ390" s="22"/>
      <c r="LA390" s="22"/>
      <c r="LB390" s="22"/>
      <c r="LC390" s="22"/>
      <c r="LD390" s="22"/>
      <c r="LE390" s="22"/>
      <c r="LF390" s="22"/>
      <c r="LG390" s="22"/>
      <c r="LH390" s="22"/>
      <c r="LI390" s="22"/>
      <c r="LJ390" s="22"/>
      <c r="LK390" s="22"/>
      <c r="LL390" s="22"/>
      <c r="LM390" s="22"/>
      <c r="LN390" s="22"/>
      <c r="LO390" s="22"/>
      <c r="LP390" s="22"/>
      <c r="LQ390" s="22"/>
      <c r="LR390" s="22"/>
      <c r="LS390" s="22"/>
      <c r="LT390" s="22"/>
      <c r="LU390" s="22"/>
      <c r="LV390" s="22"/>
      <c r="LW390" s="22"/>
      <c r="LX390" s="22"/>
      <c r="LY390" s="22"/>
      <c r="LZ390" s="22"/>
      <c r="MA390" s="22"/>
      <c r="MB390" s="22"/>
      <c r="MC390" s="22"/>
      <c r="MD390" s="22"/>
      <c r="ME390" s="22"/>
      <c r="MF390" s="22"/>
      <c r="MG390" s="22"/>
      <c r="MH390" s="22"/>
      <c r="MI390" s="22"/>
      <c r="MJ390" s="22"/>
      <c r="MK390" s="22"/>
      <c r="ML390" s="22"/>
      <c r="MM390" s="22"/>
      <c r="MN390" s="22"/>
      <c r="MO390" s="22"/>
      <c r="MP390" s="22"/>
      <c r="MQ390" s="22"/>
      <c r="MR390" s="22"/>
      <c r="MS390" s="22"/>
      <c r="MT390" s="22"/>
      <c r="MU390" s="22"/>
      <c r="MV390" s="22"/>
      <c r="MW390" s="22"/>
      <c r="MX390" s="22"/>
      <c r="MY390" s="22"/>
      <c r="MZ390" s="22"/>
      <c r="NA390" s="22"/>
      <c r="NB390" s="22"/>
      <c r="NC390" s="22"/>
      <c r="ND390" s="22"/>
      <c r="NE390" s="22"/>
      <c r="NF390" s="22"/>
      <c r="NG390" s="22"/>
      <c r="NH390" s="22"/>
      <c r="NI390" s="22"/>
      <c r="NJ390" s="22"/>
      <c r="NK390" s="22"/>
      <c r="NL390" s="22"/>
      <c r="NM390" s="22"/>
      <c r="NN390" s="22"/>
      <c r="NO390" s="22"/>
      <c r="NP390" s="22"/>
      <c r="NQ390" s="22"/>
      <c r="NR390" s="22"/>
      <c r="NS390" s="22"/>
      <c r="NT390" s="22"/>
      <c r="NU390" s="22"/>
      <c r="NV390" s="22"/>
      <c r="NW390" s="22"/>
      <c r="NX390" s="22"/>
      <c r="NY390" s="22"/>
      <c r="NZ390" s="22"/>
      <c r="OA390" s="22"/>
      <c r="OB390" s="22"/>
      <c r="OC390" s="22"/>
      <c r="OD390" s="22"/>
      <c r="OE390" s="22"/>
      <c r="OF390" s="22"/>
      <c r="OG390" s="22"/>
      <c r="OH390" s="22"/>
      <c r="OI390" s="22"/>
      <c r="OJ390" s="22"/>
      <c r="OK390" s="22"/>
      <c r="OL390" s="22"/>
      <c r="OM390" s="22"/>
      <c r="ON390" s="22"/>
      <c r="OO390" s="22"/>
      <c r="OP390" s="22"/>
      <c r="OQ390" s="22"/>
      <c r="OR390" s="22"/>
      <c r="OS390" s="22"/>
      <c r="OT390" s="22"/>
      <c r="OU390" s="22"/>
      <c r="OV390" s="22"/>
      <c r="OW390" s="22"/>
      <c r="OX390" s="22"/>
      <c r="OY390" s="22"/>
      <c r="OZ390" s="22"/>
      <c r="PA390" s="22"/>
      <c r="PB390" s="22"/>
      <c r="PC390" s="22"/>
      <c r="PD390" s="22"/>
      <c r="PE390" s="22"/>
      <c r="PF390" s="22"/>
      <c r="PG390" s="22"/>
      <c r="PH390" s="22"/>
      <c r="PI390" s="22"/>
      <c r="PJ390" s="22"/>
      <c r="PK390" s="22"/>
      <c r="PL390" s="22"/>
      <c r="PM390" s="22"/>
      <c r="PN390" s="22"/>
      <c r="PO390" s="22"/>
      <c r="PP390" s="22"/>
      <c r="PQ390" s="22"/>
      <c r="PR390" s="22"/>
      <c r="PS390" s="22"/>
      <c r="PT390" s="22"/>
      <c r="PU390" s="22"/>
      <c r="PV390" s="22"/>
      <c r="PW390" s="22"/>
      <c r="PX390" s="22"/>
      <c r="PY390" s="22"/>
      <c r="PZ390" s="22"/>
      <c r="QA390" s="22"/>
      <c r="QB390" s="22"/>
      <c r="QC390" s="22"/>
      <c r="QD390" s="22"/>
      <c r="QE390" s="22"/>
      <c r="QF390" s="22"/>
      <c r="QG390" s="22"/>
      <c r="QH390" s="22"/>
      <c r="QI390" s="22"/>
      <c r="QJ390" s="22"/>
      <c r="QK390" s="22"/>
      <c r="QL390" s="22"/>
      <c r="QM390" s="22"/>
      <c r="QN390" s="22"/>
      <c r="QO390" s="22"/>
      <c r="QP390" s="22"/>
      <c r="QQ390" s="22"/>
      <c r="QR390" s="22"/>
      <c r="QS390" s="22"/>
      <c r="QT390" s="22"/>
      <c r="QU390" s="22"/>
      <c r="QV390" s="22"/>
      <c r="QW390" s="22"/>
      <c r="QX390" s="22"/>
      <c r="QY390" s="22"/>
      <c r="QZ390" s="22"/>
      <c r="RA390" s="22"/>
      <c r="RB390" s="22"/>
      <c r="RC390" s="22"/>
      <c r="RD390" s="22"/>
      <c r="RE390" s="22"/>
      <c r="RF390" s="22"/>
      <c r="RG390" s="22"/>
      <c r="RH390" s="22"/>
      <c r="RI390" s="22"/>
      <c r="RJ390" s="22"/>
      <c r="RK390" s="22"/>
      <c r="RL390" s="22"/>
      <c r="RM390" s="22"/>
      <c r="RN390" s="22"/>
      <c r="RO390" s="22"/>
      <c r="RP390" s="22"/>
      <c r="RQ390" s="22"/>
      <c r="RR390" s="22"/>
      <c r="RS390" s="22"/>
      <c r="RT390" s="22"/>
      <c r="RU390" s="22"/>
      <c r="RV390" s="22"/>
      <c r="RW390" s="22"/>
      <c r="RX390" s="22"/>
      <c r="RY390" s="22"/>
      <c r="RZ390" s="22"/>
      <c r="SA390" s="22"/>
      <c r="SB390" s="22"/>
      <c r="SC390" s="22"/>
      <c r="SD390" s="22"/>
      <c r="SE390" s="22"/>
      <c r="SF390" s="22"/>
      <c r="SG390" s="22"/>
      <c r="SH390" s="22"/>
      <c r="SI390" s="22"/>
      <c r="SJ390" s="22"/>
      <c r="SK390" s="22"/>
      <c r="SL390" s="22"/>
      <c r="SM390" s="22"/>
      <c r="SN390" s="22"/>
      <c r="SO390" s="22"/>
      <c r="SP390" s="22"/>
      <c r="SQ390" s="22"/>
      <c r="SR390" s="22"/>
      <c r="SS390" s="22"/>
      <c r="ST390" s="22"/>
      <c r="SU390" s="22"/>
      <c r="SV390" s="22"/>
      <c r="SW390" s="22"/>
      <c r="SX390" s="22"/>
      <c r="SY390" s="22"/>
      <c r="SZ390" s="22"/>
      <c r="TA390" s="22"/>
      <c r="TB390" s="22"/>
      <c r="TC390" s="22"/>
      <c r="TD390" s="22"/>
      <c r="TE390" s="22"/>
      <c r="TF390" s="22"/>
      <c r="TG390" s="22"/>
      <c r="TH390" s="22"/>
      <c r="TI390" s="22"/>
      <c r="TJ390" s="22"/>
      <c r="TK390" s="22"/>
      <c r="TL390" s="22"/>
      <c r="TM390" s="22"/>
      <c r="TN390" s="22"/>
      <c r="TO390" s="22"/>
      <c r="TP390" s="22"/>
      <c r="TQ390" s="22"/>
      <c r="TR390" s="22"/>
      <c r="TS390" s="22"/>
      <c r="TT390" s="22"/>
      <c r="TU390" s="22"/>
      <c r="TV390" s="22"/>
      <c r="TW390" s="22"/>
      <c r="TX390" s="22"/>
      <c r="TY390" s="22"/>
      <c r="TZ390" s="22"/>
      <c r="UA390" s="22"/>
      <c r="UB390" s="22"/>
      <c r="UC390" s="22"/>
      <c r="UD390" s="22"/>
      <c r="UE390" s="22"/>
      <c r="UF390" s="22"/>
      <c r="UG390" s="22"/>
      <c r="UH390" s="22"/>
      <c r="UI390" s="22"/>
      <c r="UJ390" s="22"/>
      <c r="UK390" s="22"/>
      <c r="UL390" s="22"/>
      <c r="UM390" s="22"/>
      <c r="UN390" s="22"/>
      <c r="UO390" s="22"/>
      <c r="UP390" s="22"/>
      <c r="UQ390" s="22"/>
      <c r="UR390" s="22"/>
      <c r="US390" s="22"/>
      <c r="UT390" s="22"/>
      <c r="UU390" s="22"/>
      <c r="UV390" s="22"/>
      <c r="UW390" s="22"/>
      <c r="UX390" s="22"/>
      <c r="UY390" s="22"/>
      <c r="UZ390" s="22"/>
      <c r="VA390" s="22"/>
      <c r="VB390" s="22"/>
      <c r="VC390" s="22"/>
      <c r="VD390" s="22"/>
      <c r="VE390" s="22"/>
      <c r="VF390" s="22"/>
      <c r="VG390" s="22"/>
      <c r="VH390" s="22"/>
      <c r="VI390" s="22"/>
      <c r="VJ390" s="22"/>
      <c r="VK390" s="22"/>
      <c r="VL390" s="22"/>
      <c r="VM390" s="22"/>
      <c r="VN390" s="22"/>
      <c r="VO390" s="22"/>
      <c r="VP390" s="22"/>
      <c r="VQ390" s="22"/>
      <c r="VR390" s="22"/>
      <c r="VS390" s="22"/>
      <c r="VT390" s="22"/>
      <c r="VU390" s="22"/>
      <c r="VV390" s="22"/>
      <c r="VW390" s="22"/>
      <c r="VX390" s="22"/>
      <c r="VY390" s="22"/>
      <c r="VZ390" s="22"/>
      <c r="WA390" s="22"/>
      <c r="WB390" s="22"/>
      <c r="WC390" s="22"/>
      <c r="WD390" s="22"/>
      <c r="WE390" s="22"/>
      <c r="WF390" s="22"/>
      <c r="WG390" s="22"/>
      <c r="WH390" s="22"/>
      <c r="WI390" s="22"/>
      <c r="WJ390" s="22"/>
      <c r="WK390" s="22"/>
      <c r="WL390" s="22"/>
      <c r="WM390" s="22"/>
      <c r="WN390" s="22"/>
      <c r="WO390" s="22"/>
      <c r="WP390" s="22"/>
      <c r="WQ390" s="22"/>
      <c r="WR390" s="22"/>
      <c r="WS390" s="22"/>
      <c r="WT390" s="22"/>
      <c r="WU390" s="22"/>
      <c r="WV390" s="22"/>
      <c r="WW390" s="22"/>
      <c r="WX390" s="22"/>
      <c r="WY390" s="22"/>
      <c r="WZ390" s="22"/>
      <c r="XA390" s="22"/>
      <c r="XB390" s="22"/>
      <c r="XC390" s="22"/>
      <c r="XD390" s="22"/>
      <c r="XE390" s="22"/>
      <c r="XF390" s="22"/>
      <c r="XG390" s="22"/>
      <c r="XH390" s="22"/>
      <c r="XI390" s="22"/>
      <c r="XJ390" s="22"/>
      <c r="XK390" s="22"/>
      <c r="XL390" s="22"/>
      <c r="XM390" s="22"/>
      <c r="XN390" s="22"/>
      <c r="XO390" s="22"/>
      <c r="XP390" s="22"/>
      <c r="XQ390" s="22"/>
      <c r="XR390" s="22"/>
      <c r="XS390" s="22"/>
      <c r="XT390" s="22"/>
      <c r="XU390" s="22"/>
      <c r="XV390" s="22"/>
      <c r="XW390" s="22"/>
      <c r="XX390" s="22"/>
      <c r="XY390" s="22"/>
      <c r="XZ390" s="22"/>
      <c r="YA390" s="22"/>
      <c r="YB390" s="22"/>
      <c r="YC390" s="22"/>
      <c r="YD390" s="22"/>
      <c r="YE390" s="22"/>
      <c r="YF390" s="22"/>
      <c r="YG390" s="22"/>
      <c r="YH390" s="22"/>
      <c r="YI390" s="22"/>
      <c r="YJ390" s="22"/>
      <c r="YK390" s="22"/>
      <c r="YL390" s="22"/>
      <c r="YM390" s="22"/>
      <c r="YN390" s="22"/>
      <c r="YO390" s="22"/>
      <c r="YP390" s="22"/>
      <c r="YQ390" s="22"/>
      <c r="YR390" s="22"/>
      <c r="YS390" s="22"/>
      <c r="YT390" s="22"/>
      <c r="YU390" s="22"/>
      <c r="YV390" s="22"/>
      <c r="YW390" s="22"/>
      <c r="YX390" s="22"/>
      <c r="YY390" s="22"/>
      <c r="YZ390" s="22"/>
      <c r="ZA390" s="22"/>
      <c r="ZB390" s="22"/>
      <c r="ZC390" s="22"/>
      <c r="ZD390" s="22"/>
      <c r="ZE390" s="22"/>
      <c r="ZF390" s="22"/>
      <c r="ZG390" s="22"/>
      <c r="ZH390" s="22"/>
      <c r="ZI390" s="22"/>
      <c r="ZJ390" s="22"/>
      <c r="ZK390" s="22"/>
      <c r="ZL390" s="22"/>
      <c r="ZM390" s="22"/>
      <c r="ZN390" s="22"/>
      <c r="ZO390" s="22"/>
      <c r="ZP390" s="22"/>
      <c r="ZQ390" s="22"/>
      <c r="ZR390" s="22"/>
      <c r="ZS390" s="22"/>
      <c r="ZT390" s="22"/>
      <c r="ZU390" s="22"/>
      <c r="ZV390" s="22"/>
      <c r="ZW390" s="22"/>
      <c r="ZX390" s="22"/>
      <c r="ZY390" s="22"/>
      <c r="ZZ390" s="22"/>
      <c r="AAA390" s="22"/>
      <c r="AAB390" s="22"/>
      <c r="AAC390" s="22"/>
      <c r="AAD390" s="22"/>
      <c r="AAE390" s="22"/>
      <c r="AAF390" s="22"/>
      <c r="AAG390" s="22"/>
      <c r="AAH390" s="22"/>
      <c r="AAI390" s="22"/>
      <c r="AAJ390" s="22"/>
      <c r="AAK390" s="22"/>
      <c r="AAL390" s="22"/>
      <c r="AAM390" s="22"/>
      <c r="AAN390" s="22"/>
      <c r="AAO390" s="22"/>
      <c r="AAP390" s="22"/>
      <c r="AAQ390" s="22"/>
      <c r="AAR390" s="22"/>
      <c r="AAS390" s="22"/>
      <c r="AAT390" s="22"/>
      <c r="AAU390" s="22"/>
      <c r="AAV390" s="22"/>
      <c r="AAW390" s="22"/>
      <c r="AAX390" s="22"/>
      <c r="AAY390" s="22"/>
      <c r="AAZ390" s="22"/>
      <c r="ABA390" s="22"/>
      <c r="ABB390" s="22"/>
      <c r="ABC390" s="22"/>
      <c r="ABD390" s="22"/>
      <c r="ABE390" s="22"/>
      <c r="ABF390" s="22"/>
      <c r="ABG390" s="22"/>
      <c r="ABH390" s="22"/>
      <c r="ABI390" s="22"/>
      <c r="ABJ390" s="22"/>
      <c r="ABK390" s="22"/>
      <c r="ABL390" s="22"/>
      <c r="ABM390" s="22"/>
      <c r="ABN390" s="22"/>
      <c r="ABO390" s="22"/>
      <c r="ABP390" s="22"/>
      <c r="ABQ390" s="22"/>
      <c r="ABR390" s="22"/>
      <c r="ABS390" s="22"/>
      <c r="ABT390" s="22"/>
      <c r="ABU390" s="22"/>
      <c r="ABV390" s="22"/>
      <c r="ABW390" s="22"/>
      <c r="ABX390" s="22"/>
      <c r="ABY390" s="22"/>
      <c r="ABZ390" s="22"/>
      <c r="ACA390" s="22"/>
      <c r="ACB390" s="22"/>
      <c r="ACC390" s="22"/>
      <c r="ACD390" s="22"/>
      <c r="ACE390" s="22"/>
      <c r="ACF390" s="22"/>
      <c r="ACG390" s="22"/>
      <c r="ACH390" s="22"/>
      <c r="ACI390" s="22"/>
      <c r="ACJ390" s="22"/>
      <c r="ACK390" s="22"/>
      <c r="ACL390" s="22"/>
      <c r="ACM390" s="22"/>
      <c r="ACN390" s="22"/>
      <c r="ACO390" s="22"/>
      <c r="ACP390" s="22"/>
      <c r="ACQ390" s="22"/>
      <c r="ACR390" s="22"/>
      <c r="ACS390" s="22"/>
      <c r="ACT390" s="22"/>
      <c r="ACU390" s="22"/>
      <c r="ACV390" s="22"/>
      <c r="ACW390" s="22"/>
      <c r="ACX390" s="22"/>
      <c r="ACY390" s="22"/>
      <c r="ACZ390" s="22"/>
      <c r="ADA390" s="22"/>
      <c r="ADB390" s="22"/>
      <c r="ADC390" s="22"/>
      <c r="ADD390" s="22"/>
      <c r="ADE390" s="22"/>
      <c r="ADF390" s="22"/>
      <c r="ADG390" s="22"/>
      <c r="ADH390" s="22"/>
      <c r="ADI390" s="22"/>
      <c r="ADJ390" s="22"/>
      <c r="ADK390" s="22"/>
      <c r="ADL390" s="22"/>
      <c r="ADM390" s="22"/>
      <c r="ADN390" s="22"/>
      <c r="ADO390" s="22"/>
      <c r="ADP390" s="22"/>
      <c r="ADQ390" s="22"/>
      <c r="ADR390" s="22"/>
      <c r="ADS390" s="22"/>
      <c r="ADT390" s="22"/>
      <c r="ADU390" s="22"/>
      <c r="ADV390" s="22"/>
      <c r="ADW390" s="22"/>
      <c r="ADX390" s="22"/>
      <c r="ADY390" s="22"/>
      <c r="ADZ390" s="22"/>
      <c r="AEA390" s="22"/>
      <c r="AEB390" s="22"/>
      <c r="AEC390" s="22"/>
      <c r="AED390" s="22"/>
      <c r="AEE390" s="22"/>
      <c r="AEF390" s="22"/>
      <c r="AEG390" s="22"/>
      <c r="AEH390" s="22"/>
      <c r="AEI390" s="22"/>
      <c r="AEJ390" s="22"/>
      <c r="AEK390" s="22"/>
      <c r="AEL390" s="22"/>
      <c r="AEM390" s="22"/>
      <c r="AEN390" s="22"/>
      <c r="AEO390" s="22"/>
      <c r="AEP390" s="22"/>
      <c r="AEQ390" s="22"/>
      <c r="AER390" s="22"/>
      <c r="AES390" s="22"/>
      <c r="AET390" s="22"/>
      <c r="AEU390" s="22"/>
      <c r="AEV390" s="22"/>
      <c r="AEW390" s="22"/>
      <c r="AEX390" s="22"/>
      <c r="AEY390" s="22"/>
      <c r="AEZ390" s="22"/>
      <c r="AFA390" s="22"/>
      <c r="AFB390" s="22"/>
      <c r="AFC390" s="22"/>
      <c r="AFD390" s="22"/>
      <c r="AFE390" s="22"/>
      <c r="AFF390" s="22"/>
      <c r="AFG390" s="22"/>
      <c r="AFH390" s="22"/>
      <c r="AFI390" s="22"/>
      <c r="AFJ390" s="22"/>
      <c r="AFK390" s="22"/>
      <c r="AFL390" s="22"/>
      <c r="AFM390" s="22"/>
      <c r="AFN390" s="22"/>
      <c r="AFO390" s="22"/>
      <c r="AFP390" s="22"/>
      <c r="AFQ390" s="22"/>
      <c r="AFR390" s="22"/>
      <c r="AFS390" s="22"/>
      <c r="AFT390" s="22"/>
      <c r="AFU390" s="22"/>
      <c r="AFV390" s="22"/>
      <c r="AFW390" s="22"/>
      <c r="AFX390" s="22"/>
      <c r="AFY390" s="22"/>
      <c r="AFZ390" s="22"/>
      <c r="AGA390" s="22"/>
      <c r="AGB390" s="22"/>
      <c r="AGC390" s="22"/>
      <c r="AGD390" s="22"/>
      <c r="AGE390" s="22"/>
      <c r="AGF390" s="22"/>
      <c r="AGG390" s="22"/>
      <c r="AGH390" s="22"/>
      <c r="AGI390" s="22"/>
      <c r="AGJ390" s="22"/>
      <c r="AGK390" s="22"/>
      <c r="AGL390" s="22"/>
      <c r="AGM390" s="22"/>
      <c r="AGN390" s="22"/>
      <c r="AGO390" s="22"/>
      <c r="AGP390" s="22"/>
      <c r="AGQ390" s="22"/>
      <c r="AGR390" s="22"/>
      <c r="AGS390" s="22"/>
      <c r="AGT390" s="22"/>
      <c r="AGU390" s="22"/>
      <c r="AGV390" s="22"/>
      <c r="AGW390" s="22"/>
      <c r="AGX390" s="22"/>
      <c r="AGY390" s="22"/>
      <c r="AGZ390" s="22"/>
      <c r="AHA390" s="22"/>
      <c r="AHB390" s="22"/>
      <c r="AHC390" s="22"/>
      <c r="AHD390" s="22"/>
      <c r="AHE390" s="22"/>
      <c r="AHF390" s="22"/>
      <c r="AHG390" s="22"/>
      <c r="AHH390" s="22"/>
      <c r="AHI390" s="22"/>
      <c r="AHJ390" s="22"/>
      <c r="AHK390" s="22"/>
      <c r="AHL390" s="22"/>
      <c r="AHM390" s="22"/>
      <c r="AHN390" s="22"/>
      <c r="AHO390" s="22"/>
      <c r="AHP390" s="22"/>
      <c r="AHQ390" s="22"/>
      <c r="AHR390" s="22"/>
      <c r="AHS390" s="22"/>
      <c r="AHT390" s="22"/>
      <c r="AHU390" s="22"/>
      <c r="AHV390" s="22"/>
      <c r="AHW390" s="22"/>
      <c r="AHX390" s="22"/>
      <c r="AHY390" s="22"/>
      <c r="AHZ390" s="22"/>
      <c r="AIA390" s="22"/>
      <c r="AIB390" s="22"/>
      <c r="AIC390" s="22"/>
      <c r="AID390" s="22"/>
      <c r="AIE390" s="22"/>
      <c r="AIF390" s="22"/>
      <c r="AIG390" s="22"/>
      <c r="AIH390" s="22"/>
      <c r="AII390" s="22"/>
      <c r="AIJ390" s="22"/>
      <c r="AIK390" s="22"/>
      <c r="AIL390" s="22"/>
      <c r="AIM390" s="22"/>
      <c r="AIN390" s="22"/>
      <c r="AIO390" s="22"/>
      <c r="AIP390" s="22"/>
      <c r="AIQ390" s="22"/>
      <c r="AIR390" s="22"/>
      <c r="AIS390" s="22"/>
      <c r="AIT390" s="22"/>
      <c r="AIU390" s="22"/>
      <c r="AIV390" s="22"/>
      <c r="AIW390" s="22"/>
      <c r="AIX390" s="22"/>
      <c r="AIY390" s="22"/>
      <c r="AIZ390" s="22"/>
      <c r="AJA390" s="22"/>
      <c r="AJB390" s="22"/>
      <c r="AJC390" s="22"/>
      <c r="AJD390" s="22"/>
      <c r="AJE390" s="22"/>
      <c r="AJF390" s="22"/>
      <c r="AJG390" s="22"/>
      <c r="AJH390" s="22"/>
      <c r="AJI390" s="22"/>
      <c r="AJJ390" s="22"/>
      <c r="AJK390" s="22"/>
      <c r="AJL390" s="22"/>
      <c r="AJM390" s="22"/>
      <c r="AJN390" s="22"/>
      <c r="AJO390" s="22"/>
      <c r="AJP390" s="22"/>
      <c r="AJQ390" s="22"/>
      <c r="AJR390" s="22"/>
      <c r="AJS390" s="22"/>
      <c r="AJT390" s="22"/>
      <c r="AJU390" s="22"/>
      <c r="AJV390" s="22"/>
      <c r="AJW390" s="22"/>
      <c r="AJX390" s="22"/>
      <c r="AJY390" s="22"/>
      <c r="AJZ390" s="22"/>
      <c r="AKA390" s="22"/>
      <c r="AKB390" s="22"/>
      <c r="AKC390" s="22"/>
      <c r="AKD390" s="22"/>
      <c r="AKE390" s="22"/>
      <c r="AKF390" s="22"/>
      <c r="AKG390" s="22"/>
      <c r="AKH390" s="22"/>
      <c r="AKI390" s="22"/>
      <c r="AKJ390" s="22"/>
      <c r="AKK390" s="22"/>
      <c r="AKL390" s="22"/>
      <c r="AKM390" s="22"/>
      <c r="AKN390" s="22"/>
      <c r="AKO390" s="22"/>
      <c r="AKP390" s="22"/>
      <c r="AKQ390" s="22"/>
      <c r="AKR390" s="22"/>
      <c r="AKS390" s="22"/>
      <c r="AKT390" s="22"/>
      <c r="AKU390" s="22"/>
      <c r="AKV390" s="22"/>
      <c r="AKW390" s="22"/>
      <c r="AKX390" s="22"/>
      <c r="AKY390" s="22"/>
      <c r="AKZ390" s="22"/>
      <c r="ALA390" s="22"/>
      <c r="ALB390" s="22"/>
      <c r="ALC390" s="22"/>
      <c r="ALD390" s="22"/>
      <c r="ALE390" s="22"/>
      <c r="ALF390" s="22"/>
      <c r="ALG390" s="22"/>
      <c r="ALH390" s="22"/>
      <c r="ALI390" s="22"/>
      <c r="ALJ390" s="22"/>
      <c r="ALK390" s="22"/>
      <c r="ALL390" s="22"/>
      <c r="ALM390" s="22"/>
      <c r="ALN390" s="22"/>
      <c r="ALO390" s="22"/>
      <c r="ALP390" s="22"/>
      <c r="ALQ390" s="22"/>
      <c r="ALR390" s="22"/>
      <c r="ALS390" s="22"/>
      <c r="ALT390" s="22"/>
      <c r="ALU390" s="22"/>
      <c r="ALV390" s="22"/>
      <c r="ALW390" s="22"/>
      <c r="ALX390" s="22"/>
      <c r="ALY390" s="22"/>
      <c r="ALZ390" s="22"/>
      <c r="AMA390" s="22"/>
      <c r="AMB390" s="22"/>
      <c r="AMC390" s="22"/>
      <c r="AMD390" s="22"/>
      <c r="AME390" s="22"/>
      <c r="AMF390" s="22"/>
      <c r="AMG390" s="22"/>
      <c r="AMH390" s="22"/>
      <c r="AMI390" s="22"/>
      <c r="AMJ390" s="22"/>
      <c r="AMK390" s="22"/>
      <c r="AML390" s="22"/>
      <c r="AMM390" s="22"/>
      <c r="AMN390" s="22"/>
      <c r="AMO390" s="22"/>
      <c r="AMP390" s="22"/>
      <c r="AMQ390" s="22"/>
      <c r="AMR390" s="22"/>
      <c r="AMS390" s="22"/>
      <c r="AMT390" s="22"/>
      <c r="AMU390" s="22"/>
      <c r="AMV390" s="22"/>
      <c r="AMW390" s="22"/>
      <c r="AMX390" s="22"/>
      <c r="AMY390" s="22"/>
      <c r="AMZ390" s="22"/>
      <c r="ANA390" s="22"/>
      <c r="ANB390" s="22"/>
      <c r="ANC390" s="22"/>
      <c r="AND390" s="22"/>
      <c r="ANE390" s="22"/>
      <c r="ANF390" s="22"/>
      <c r="ANG390" s="22"/>
      <c r="ANH390" s="22"/>
      <c r="ANI390" s="22"/>
      <c r="ANJ390" s="22"/>
      <c r="ANK390" s="22"/>
      <c r="ANL390" s="22"/>
      <c r="ANM390" s="22"/>
      <c r="ANN390" s="22"/>
      <c r="ANO390" s="22"/>
      <c r="ANP390" s="22"/>
      <c r="ANQ390" s="22"/>
      <c r="ANR390" s="22"/>
      <c r="ANS390" s="22"/>
      <c r="ANT390" s="22"/>
      <c r="ANU390" s="22"/>
      <c r="ANV390" s="22"/>
      <c r="ANW390" s="22"/>
      <c r="ANX390" s="22"/>
      <c r="ANY390" s="22"/>
      <c r="ANZ390" s="22"/>
      <c r="AOA390" s="22"/>
      <c r="AOB390" s="22"/>
      <c r="AOC390" s="22"/>
      <c r="AOD390" s="22"/>
      <c r="AOE390" s="22"/>
      <c r="AOF390" s="22"/>
      <c r="AOG390" s="22"/>
      <c r="AOH390" s="22"/>
      <c r="AOI390" s="22"/>
      <c r="AOJ390" s="22"/>
      <c r="AOK390" s="22"/>
      <c r="AOL390" s="22"/>
      <c r="AOM390" s="22"/>
      <c r="AON390" s="22"/>
      <c r="AOO390" s="22"/>
      <c r="AOP390" s="22"/>
      <c r="AOQ390" s="22"/>
      <c r="AOR390" s="22"/>
      <c r="AOS390" s="22"/>
      <c r="AOT390" s="22"/>
      <c r="AOU390" s="22"/>
      <c r="AOV390" s="22"/>
      <c r="AOW390" s="22"/>
      <c r="AOX390" s="22"/>
      <c r="AOY390" s="22"/>
      <c r="AOZ390" s="22"/>
      <c r="APA390" s="22"/>
      <c r="APB390" s="22"/>
      <c r="APC390" s="22"/>
      <c r="APD390" s="22"/>
      <c r="APE390" s="22"/>
      <c r="APF390" s="22"/>
      <c r="APG390" s="22"/>
      <c r="APH390" s="22"/>
      <c r="API390" s="22"/>
      <c r="APJ390" s="22"/>
      <c r="APK390" s="22"/>
      <c r="APL390" s="22"/>
      <c r="APM390" s="22"/>
      <c r="APN390" s="22"/>
      <c r="APO390" s="22"/>
      <c r="APP390" s="22"/>
      <c r="APQ390" s="22"/>
      <c r="APR390" s="22"/>
      <c r="APS390" s="22"/>
      <c r="APT390" s="22"/>
      <c r="APU390" s="22"/>
      <c r="APV390" s="22"/>
      <c r="APW390" s="22"/>
      <c r="APX390" s="22"/>
      <c r="APY390" s="22"/>
      <c r="APZ390" s="22"/>
      <c r="AQA390" s="22"/>
      <c r="AQB390" s="22"/>
      <c r="AQC390" s="22"/>
      <c r="AQD390" s="22"/>
      <c r="AQE390" s="22"/>
      <c r="AQF390" s="22"/>
      <c r="AQG390" s="22"/>
      <c r="AQH390" s="22"/>
      <c r="AQI390" s="22"/>
      <c r="AQJ390" s="22"/>
      <c r="AQK390" s="22"/>
      <c r="AQL390" s="22"/>
      <c r="AQM390" s="22"/>
      <c r="AQN390" s="22"/>
      <c r="AQO390" s="22"/>
      <c r="AQP390" s="22"/>
      <c r="AQQ390" s="22"/>
      <c r="AQR390" s="22"/>
      <c r="AQS390" s="22"/>
      <c r="AQT390" s="22"/>
      <c r="AQU390" s="22"/>
      <c r="AQV390" s="22"/>
      <c r="AQW390" s="22"/>
      <c r="AQX390" s="22"/>
      <c r="AQY390" s="22"/>
      <c r="AQZ390" s="22"/>
      <c r="ARA390" s="22"/>
      <c r="ARB390" s="22"/>
      <c r="ARC390" s="22"/>
      <c r="ARD390" s="22"/>
      <c r="ARE390" s="22"/>
      <c r="ARF390" s="22"/>
      <c r="ARG390" s="22"/>
      <c r="ARH390" s="22"/>
      <c r="ARI390" s="22"/>
      <c r="ARJ390" s="22"/>
      <c r="ARK390" s="22"/>
      <c r="ARL390" s="22"/>
      <c r="ARM390" s="22"/>
      <c r="ARN390" s="22"/>
      <c r="ARO390" s="22"/>
      <c r="ARP390" s="22"/>
      <c r="ARQ390" s="22"/>
      <c r="ARR390" s="22"/>
      <c r="ARS390" s="22"/>
      <c r="ART390" s="22"/>
      <c r="ARU390" s="22"/>
      <c r="ARV390" s="22"/>
      <c r="ARW390" s="22"/>
      <c r="ARX390" s="22"/>
      <c r="ARY390" s="22"/>
      <c r="ARZ390" s="22"/>
      <c r="ASA390" s="22"/>
      <c r="ASB390" s="22"/>
      <c r="ASC390" s="22"/>
      <c r="ASD390" s="22"/>
      <c r="ASE390" s="22"/>
      <c r="ASF390" s="22"/>
      <c r="ASG390" s="22"/>
      <c r="ASH390" s="22"/>
      <c r="ASI390" s="22"/>
      <c r="ASJ390" s="22"/>
      <c r="ASK390" s="22"/>
      <c r="ASL390" s="22"/>
      <c r="ASM390" s="22"/>
      <c r="ASN390" s="22"/>
      <c r="ASO390" s="22"/>
      <c r="ASP390" s="22"/>
      <c r="ASQ390" s="22"/>
      <c r="ASR390" s="22"/>
      <c r="ASS390" s="22"/>
      <c r="AST390" s="22"/>
      <c r="ASU390" s="22"/>
      <c r="ASV390" s="22"/>
      <c r="ASW390" s="22"/>
      <c r="ASX390" s="22"/>
      <c r="ASY390" s="22"/>
      <c r="ASZ390" s="22"/>
      <c r="ATA390" s="22"/>
      <c r="ATB390" s="22"/>
      <c r="ATC390" s="22"/>
      <c r="ATD390" s="22"/>
      <c r="ATE390" s="22"/>
      <c r="ATF390" s="22"/>
      <c r="ATG390" s="22"/>
      <c r="ATH390" s="22"/>
      <c r="ATI390" s="22"/>
      <c r="ATJ390" s="22"/>
      <c r="ATK390" s="22"/>
      <c r="ATL390" s="22"/>
      <c r="ATM390" s="22"/>
      <c r="ATN390" s="22"/>
      <c r="ATO390" s="22"/>
      <c r="ATP390" s="22"/>
      <c r="ATQ390" s="22"/>
      <c r="ATR390" s="22"/>
      <c r="ATS390" s="22"/>
      <c r="ATT390" s="22"/>
      <c r="ATU390" s="22"/>
      <c r="ATV390" s="22"/>
      <c r="ATW390" s="22"/>
      <c r="ATX390" s="22"/>
      <c r="ATY390" s="22"/>
      <c r="ATZ390" s="22"/>
      <c r="AUA390" s="22"/>
      <c r="AUB390" s="22"/>
      <c r="AUC390" s="22"/>
      <c r="AUD390" s="22"/>
      <c r="AUE390" s="22"/>
      <c r="AUF390" s="22"/>
      <c r="AUG390" s="22"/>
      <c r="AUH390" s="22"/>
      <c r="AUI390" s="22"/>
      <c r="AUJ390" s="22"/>
      <c r="AUK390" s="22"/>
      <c r="AUL390" s="22"/>
      <c r="AUM390" s="22"/>
      <c r="AUN390" s="22"/>
      <c r="AUO390" s="22"/>
      <c r="AUP390" s="22"/>
      <c r="AUQ390" s="22"/>
      <c r="AUR390" s="22"/>
      <c r="AUS390" s="22"/>
      <c r="AUT390" s="22"/>
      <c r="AUU390" s="22"/>
      <c r="AUV390" s="22"/>
      <c r="AUW390" s="22"/>
      <c r="AUX390" s="22"/>
      <c r="AUY390" s="22"/>
      <c r="AUZ390" s="22"/>
      <c r="AVA390" s="22"/>
      <c r="AVB390" s="22"/>
      <c r="AVC390" s="22"/>
      <c r="AVD390" s="22"/>
      <c r="AVE390" s="22"/>
      <c r="AVF390" s="22"/>
      <c r="AVG390" s="22"/>
      <c r="AVH390" s="22"/>
      <c r="AVI390" s="22"/>
      <c r="AVJ390" s="22"/>
      <c r="AVK390" s="22"/>
      <c r="AVL390" s="22"/>
      <c r="AVM390" s="22"/>
      <c r="AVN390" s="22"/>
      <c r="AVO390" s="22"/>
      <c r="AVP390" s="22"/>
      <c r="AVQ390" s="22"/>
      <c r="AVR390" s="22"/>
      <c r="AVS390" s="22"/>
      <c r="AVT390" s="22"/>
      <c r="AVU390" s="22"/>
      <c r="AVV390" s="22"/>
      <c r="AVW390" s="22"/>
      <c r="AVX390" s="22"/>
      <c r="AVY390" s="22"/>
      <c r="AVZ390" s="22"/>
      <c r="AWA390" s="22"/>
      <c r="AWB390" s="22"/>
      <c r="AWC390" s="22"/>
      <c r="AWD390" s="22"/>
      <c r="AWE390" s="22"/>
      <c r="AWF390" s="22"/>
      <c r="AWG390" s="22"/>
      <c r="AWH390" s="22"/>
      <c r="AWI390" s="22"/>
      <c r="AWJ390" s="22"/>
      <c r="AWK390" s="22"/>
      <c r="AWL390" s="22"/>
      <c r="AWM390" s="22"/>
      <c r="AWN390" s="22"/>
      <c r="AWO390" s="22"/>
      <c r="AWP390" s="22"/>
      <c r="AWQ390" s="22"/>
      <c r="AWR390" s="22"/>
      <c r="AWS390" s="22"/>
      <c r="AWT390" s="22"/>
      <c r="AWU390" s="22"/>
      <c r="AWV390" s="22"/>
      <c r="AWW390" s="22"/>
      <c r="AWX390" s="22"/>
      <c r="AWY390" s="22"/>
      <c r="AWZ390" s="22"/>
      <c r="AXA390" s="22"/>
      <c r="AXB390" s="22"/>
      <c r="AXC390" s="22"/>
      <c r="AXD390" s="22"/>
      <c r="AXE390" s="22"/>
      <c r="AXF390" s="22"/>
      <c r="AXG390" s="22"/>
      <c r="AXH390" s="22"/>
      <c r="AXI390" s="22"/>
      <c r="AXJ390" s="22"/>
      <c r="AXK390" s="22"/>
      <c r="AXL390" s="22"/>
      <c r="AXM390" s="22"/>
      <c r="AXN390" s="22"/>
      <c r="AXO390" s="22"/>
      <c r="AXP390" s="22"/>
      <c r="AXQ390" s="22"/>
      <c r="AXR390" s="22"/>
      <c r="AXS390" s="22"/>
      <c r="AXT390" s="22"/>
      <c r="AXU390" s="22"/>
      <c r="AXV390" s="22"/>
      <c r="AXW390" s="22"/>
      <c r="AXX390" s="22"/>
      <c r="AXY390" s="22"/>
      <c r="AXZ390" s="22"/>
      <c r="AYA390" s="22"/>
      <c r="AYB390" s="22"/>
      <c r="AYC390" s="22"/>
      <c r="AYD390" s="22"/>
      <c r="AYE390" s="22"/>
      <c r="AYF390" s="22"/>
      <c r="AYG390" s="22"/>
      <c r="AYH390" s="22"/>
      <c r="AYI390" s="22"/>
      <c r="AYJ390" s="22"/>
      <c r="AYK390" s="22"/>
      <c r="AYL390" s="22"/>
      <c r="AYM390" s="22"/>
      <c r="AYN390" s="22"/>
      <c r="AYO390" s="22"/>
      <c r="AYP390" s="22"/>
      <c r="AYQ390" s="22"/>
      <c r="AYR390" s="22"/>
      <c r="AYS390" s="22"/>
      <c r="AYT390" s="22"/>
      <c r="AYU390" s="22"/>
      <c r="AYV390" s="22"/>
      <c r="AYW390" s="22"/>
      <c r="AYX390" s="22"/>
      <c r="AYY390" s="22"/>
      <c r="AYZ390" s="22"/>
      <c r="AZA390" s="22"/>
      <c r="AZB390" s="22"/>
      <c r="AZC390" s="22"/>
      <c r="AZD390" s="22"/>
      <c r="AZE390" s="22"/>
      <c r="AZF390" s="22"/>
      <c r="AZG390" s="22"/>
      <c r="AZH390" s="22"/>
      <c r="AZI390" s="22"/>
      <c r="AZJ390" s="22"/>
      <c r="AZK390" s="22"/>
      <c r="AZL390" s="22"/>
      <c r="AZM390" s="22"/>
      <c r="AZN390" s="22"/>
      <c r="AZO390" s="22"/>
      <c r="AZP390" s="22"/>
      <c r="AZQ390" s="22"/>
      <c r="AZR390" s="22"/>
      <c r="AZS390" s="22"/>
      <c r="AZT390" s="22"/>
      <c r="AZU390" s="22"/>
      <c r="AZV390" s="22"/>
      <c r="AZW390" s="22"/>
      <c r="AZX390" s="22"/>
      <c r="AZY390" s="22"/>
      <c r="AZZ390" s="22"/>
      <c r="BAA390" s="22"/>
      <c r="BAB390" s="22"/>
      <c r="BAC390" s="22"/>
      <c r="BAD390" s="22"/>
      <c r="BAE390" s="22"/>
      <c r="BAF390" s="22"/>
      <c r="BAG390" s="22"/>
      <c r="BAH390" s="22"/>
      <c r="BAI390" s="22"/>
      <c r="BAJ390" s="22"/>
      <c r="BAK390" s="22"/>
      <c r="BAL390" s="22"/>
      <c r="BAM390" s="22"/>
      <c r="BAN390" s="22"/>
      <c r="BAO390" s="22"/>
      <c r="BAP390" s="22"/>
      <c r="BAQ390" s="22"/>
      <c r="BAR390" s="22"/>
      <c r="BAS390" s="22"/>
      <c r="BAT390" s="22"/>
      <c r="BAU390" s="22"/>
      <c r="BAV390" s="22"/>
      <c r="BAW390" s="22"/>
      <c r="BAX390" s="22"/>
      <c r="BAY390" s="22"/>
      <c r="BAZ390" s="22"/>
      <c r="BBA390" s="22"/>
      <c r="BBB390" s="22"/>
      <c r="BBC390" s="22"/>
      <c r="BBD390" s="22"/>
      <c r="BBE390" s="22"/>
      <c r="BBF390" s="22"/>
      <c r="BBG390" s="22"/>
      <c r="BBH390" s="22"/>
      <c r="BBI390" s="22"/>
      <c r="BBJ390" s="22"/>
      <c r="BBK390" s="22"/>
      <c r="BBL390" s="22"/>
      <c r="BBM390" s="22"/>
      <c r="BBN390" s="22"/>
      <c r="BBO390" s="22"/>
      <c r="BBP390" s="22"/>
      <c r="BBQ390" s="22"/>
      <c r="BBR390" s="22"/>
      <c r="BBS390" s="22"/>
      <c r="BBT390" s="22"/>
      <c r="BBU390" s="22"/>
      <c r="BBV390" s="22"/>
      <c r="BBW390" s="22"/>
      <c r="BBX390" s="22"/>
      <c r="BBY390" s="22"/>
      <c r="BBZ390" s="22"/>
      <c r="BCA390" s="22"/>
      <c r="BCB390" s="22"/>
      <c r="BCC390" s="22"/>
      <c r="BCD390" s="22"/>
      <c r="BCE390" s="22"/>
      <c r="BCF390" s="22"/>
      <c r="BCG390" s="22"/>
      <c r="BCH390" s="22"/>
      <c r="BCI390" s="22"/>
      <c r="BCJ390" s="22"/>
      <c r="BCK390" s="22"/>
      <c r="BCL390" s="22"/>
      <c r="BCM390" s="22"/>
      <c r="BCN390" s="22"/>
      <c r="BCO390" s="22"/>
      <c r="BCP390" s="22"/>
      <c r="BCQ390" s="22"/>
      <c r="BCR390" s="22"/>
      <c r="BCS390" s="22"/>
      <c r="BCT390" s="22"/>
      <c r="BCU390" s="22"/>
      <c r="BCV390" s="22"/>
      <c r="BCW390" s="22"/>
      <c r="BCX390" s="22"/>
      <c r="BCY390" s="22"/>
      <c r="BCZ390" s="22"/>
      <c r="BDA390" s="22"/>
      <c r="BDB390" s="22"/>
      <c r="BDC390" s="22"/>
      <c r="BDD390" s="22"/>
      <c r="BDE390" s="22"/>
      <c r="BDF390" s="22"/>
      <c r="BDG390" s="22"/>
      <c r="BDH390" s="22"/>
      <c r="BDI390" s="22"/>
      <c r="BDJ390" s="22"/>
      <c r="BDK390" s="22"/>
      <c r="BDL390" s="22"/>
      <c r="BDM390" s="22"/>
      <c r="BDN390" s="22"/>
      <c r="BDO390" s="22"/>
      <c r="BDP390" s="22"/>
      <c r="BDQ390" s="22"/>
      <c r="BDR390" s="22"/>
      <c r="BDS390" s="22"/>
      <c r="BDT390" s="22"/>
      <c r="BDU390" s="22"/>
      <c r="BDV390" s="22"/>
      <c r="BDW390" s="22"/>
      <c r="BDX390" s="22"/>
      <c r="BDY390" s="22"/>
      <c r="BDZ390" s="22"/>
      <c r="BEA390" s="22"/>
      <c r="BEB390" s="22"/>
      <c r="BEC390" s="22"/>
      <c r="BED390" s="22"/>
      <c r="BEE390" s="22"/>
      <c r="BEF390" s="22"/>
      <c r="BEG390" s="22"/>
      <c r="BEH390" s="22"/>
      <c r="BEI390" s="22"/>
      <c r="BEJ390" s="22"/>
      <c r="BEK390" s="22"/>
      <c r="BEL390" s="22"/>
      <c r="BEM390" s="22"/>
      <c r="BEN390" s="22"/>
      <c r="BEO390" s="22"/>
      <c r="BEP390" s="22"/>
      <c r="BEQ390" s="22"/>
      <c r="BER390" s="22"/>
      <c r="BES390" s="22"/>
      <c r="BET390" s="22"/>
      <c r="BEU390" s="22"/>
      <c r="BEV390" s="22"/>
      <c r="BEW390" s="22"/>
      <c r="BEX390" s="22"/>
      <c r="BEY390" s="22"/>
      <c r="BEZ390" s="22"/>
      <c r="BFA390" s="22"/>
      <c r="BFB390" s="22"/>
      <c r="BFC390" s="22"/>
      <c r="BFD390" s="22"/>
      <c r="BFE390" s="22"/>
      <c r="BFF390" s="22"/>
      <c r="BFG390" s="22"/>
      <c r="BFH390" s="22"/>
      <c r="BFI390" s="22"/>
      <c r="BFJ390" s="22"/>
      <c r="BFK390" s="22"/>
      <c r="BFL390" s="22"/>
      <c r="BFM390" s="22"/>
      <c r="BFN390" s="22"/>
      <c r="BFO390" s="22"/>
      <c r="BFP390" s="22"/>
      <c r="BFQ390" s="22"/>
      <c r="BFR390" s="22"/>
      <c r="BFS390" s="22"/>
      <c r="BFT390" s="22"/>
      <c r="BFU390" s="22"/>
      <c r="BFV390" s="22"/>
      <c r="BFW390" s="22"/>
      <c r="BFX390" s="22"/>
      <c r="BFY390" s="22"/>
      <c r="BFZ390" s="22"/>
      <c r="BGA390" s="22"/>
      <c r="BGB390" s="22"/>
      <c r="BGC390" s="22"/>
      <c r="BGD390" s="22"/>
      <c r="BGE390" s="22"/>
      <c r="BGF390" s="22"/>
      <c r="BGG390" s="22"/>
      <c r="BGH390" s="22"/>
      <c r="BGI390" s="22"/>
      <c r="BGJ390" s="22"/>
      <c r="BGK390" s="22"/>
      <c r="BGL390" s="22"/>
      <c r="BGM390" s="22"/>
      <c r="BGN390" s="22"/>
      <c r="BGO390" s="22"/>
      <c r="BGP390" s="22"/>
      <c r="BGQ390" s="22"/>
      <c r="BGR390" s="22"/>
      <c r="BGS390" s="22"/>
      <c r="BGT390" s="22"/>
      <c r="BGU390" s="22"/>
      <c r="BGV390" s="22"/>
      <c r="BGW390" s="22"/>
      <c r="BGX390" s="22"/>
      <c r="BGY390" s="22"/>
      <c r="BGZ390" s="22"/>
      <c r="BHA390" s="22"/>
      <c r="BHB390" s="22"/>
      <c r="BHC390" s="22"/>
      <c r="BHD390" s="22"/>
      <c r="BHE390" s="22"/>
      <c r="BHF390" s="22"/>
      <c r="BHG390" s="22"/>
      <c r="BHH390" s="22"/>
      <c r="BHI390" s="22"/>
      <c r="BHJ390" s="22"/>
      <c r="BHK390" s="22"/>
      <c r="BHL390" s="22"/>
      <c r="BHM390" s="22"/>
      <c r="BHN390" s="22"/>
      <c r="BHO390" s="22"/>
      <c r="BHP390" s="22"/>
      <c r="BHQ390" s="22"/>
      <c r="BHR390" s="22"/>
      <c r="BHS390" s="22"/>
      <c r="BHT390" s="22"/>
      <c r="BHU390" s="22"/>
      <c r="BHV390" s="22"/>
      <c r="BHW390" s="22"/>
      <c r="BHX390" s="22"/>
      <c r="BHY390" s="22"/>
      <c r="BHZ390" s="22"/>
      <c r="BIA390" s="22"/>
      <c r="BIB390" s="22"/>
      <c r="BIC390" s="22"/>
      <c r="BID390" s="22"/>
      <c r="BIE390" s="22"/>
      <c r="BIF390" s="22"/>
      <c r="BIG390" s="22"/>
      <c r="BIH390" s="22"/>
      <c r="BII390" s="22"/>
      <c r="BIJ390" s="22"/>
      <c r="BIK390" s="22"/>
      <c r="BIL390" s="22"/>
      <c r="BIM390" s="22"/>
      <c r="BIN390" s="22"/>
      <c r="BIO390" s="22"/>
      <c r="BIP390" s="22"/>
      <c r="BIQ390" s="22"/>
      <c r="BIR390" s="22"/>
      <c r="BIS390" s="22"/>
      <c r="BIT390" s="22"/>
      <c r="BIU390" s="22"/>
      <c r="BIV390" s="22"/>
      <c r="BIW390" s="22"/>
      <c r="BIX390" s="22"/>
      <c r="BIY390" s="22"/>
      <c r="BIZ390" s="22"/>
      <c r="BJA390" s="22"/>
      <c r="BJB390" s="22"/>
      <c r="BJC390" s="22"/>
      <c r="BJD390" s="22"/>
      <c r="BJE390" s="22"/>
      <c r="BJF390" s="22"/>
      <c r="BJG390" s="22"/>
      <c r="BJH390" s="22"/>
      <c r="BJI390" s="22"/>
      <c r="BJJ390" s="22"/>
      <c r="BJK390" s="22"/>
      <c r="BJL390" s="22"/>
      <c r="BJM390" s="22"/>
      <c r="BJN390" s="22"/>
      <c r="BJO390" s="22"/>
      <c r="BJP390" s="22"/>
      <c r="BJQ390" s="22"/>
      <c r="BJR390" s="22"/>
      <c r="BJS390" s="22"/>
      <c r="BJT390" s="22"/>
      <c r="BJU390" s="22"/>
      <c r="BJV390" s="22"/>
      <c r="BJW390" s="22"/>
      <c r="BJX390" s="22"/>
      <c r="BJY390" s="22"/>
      <c r="BJZ390" s="22"/>
      <c r="BKA390" s="22"/>
      <c r="BKB390" s="22"/>
      <c r="BKC390" s="22"/>
      <c r="BKD390" s="22"/>
      <c r="BKE390" s="22"/>
      <c r="BKF390" s="22"/>
      <c r="BKG390" s="22"/>
      <c r="BKH390" s="22"/>
      <c r="BKI390" s="22"/>
      <c r="BKJ390" s="22"/>
      <c r="BKK390" s="22"/>
      <c r="BKL390" s="22"/>
      <c r="BKM390" s="22"/>
      <c r="BKN390" s="22"/>
      <c r="BKO390" s="22"/>
      <c r="BKP390" s="22"/>
      <c r="BKQ390" s="22"/>
      <c r="BKR390" s="22"/>
      <c r="BKS390" s="22"/>
      <c r="BKT390" s="22"/>
      <c r="BKU390" s="22"/>
      <c r="BKV390" s="22"/>
      <c r="BKW390" s="22"/>
      <c r="BKX390" s="22"/>
      <c r="BKY390" s="22"/>
      <c r="BKZ390" s="22"/>
      <c r="BLA390" s="22"/>
      <c r="BLB390" s="22"/>
      <c r="BLC390" s="22"/>
      <c r="BLD390" s="22"/>
      <c r="BLE390" s="22"/>
      <c r="BLF390" s="22"/>
      <c r="BLG390" s="22"/>
      <c r="BLH390" s="22"/>
      <c r="BLI390" s="22"/>
      <c r="BLJ390" s="22"/>
      <c r="BLK390" s="22"/>
      <c r="BLL390" s="22"/>
      <c r="BLM390" s="22"/>
      <c r="BLN390" s="22"/>
      <c r="BLO390" s="22"/>
      <c r="BLP390" s="22"/>
      <c r="BLQ390" s="22"/>
      <c r="BLR390" s="22"/>
      <c r="BLS390" s="22"/>
      <c r="BLT390" s="22"/>
      <c r="BLU390" s="22"/>
      <c r="BLV390" s="22"/>
      <c r="BLW390" s="22"/>
      <c r="BLX390" s="22"/>
      <c r="BLY390" s="22"/>
      <c r="BLZ390" s="22"/>
      <c r="BMA390" s="22"/>
      <c r="BMB390" s="22"/>
      <c r="BMC390" s="22"/>
      <c r="BMD390" s="22"/>
      <c r="BME390" s="22"/>
      <c r="BMF390" s="22"/>
      <c r="BMG390" s="22"/>
      <c r="BMH390" s="22"/>
      <c r="BMI390" s="22"/>
      <c r="BMJ390" s="22"/>
      <c r="BMK390" s="22"/>
      <c r="BML390" s="22"/>
      <c r="BMM390" s="22"/>
      <c r="BMN390" s="22"/>
      <c r="BMO390" s="22"/>
      <c r="BMP390" s="22"/>
      <c r="BMQ390" s="22"/>
      <c r="BMR390" s="22"/>
      <c r="BMS390" s="22"/>
      <c r="BMT390" s="22"/>
      <c r="BMU390" s="22"/>
      <c r="BMV390" s="22"/>
      <c r="BMW390" s="22"/>
      <c r="BMX390" s="22"/>
      <c r="BMY390" s="22"/>
      <c r="BMZ390" s="22"/>
      <c r="BNA390" s="22"/>
      <c r="BNB390" s="22"/>
      <c r="BNC390" s="22"/>
      <c r="BND390" s="22"/>
      <c r="BNE390" s="22"/>
      <c r="BNF390" s="22"/>
      <c r="BNG390" s="22"/>
      <c r="BNH390" s="22"/>
      <c r="BNI390" s="22"/>
      <c r="BNJ390" s="22"/>
      <c r="BNK390" s="22"/>
      <c r="BNL390" s="22"/>
      <c r="BNM390" s="22"/>
      <c r="BNN390" s="22"/>
      <c r="BNO390" s="22"/>
      <c r="BNP390" s="22"/>
      <c r="BNQ390" s="22"/>
      <c r="BNR390" s="22"/>
      <c r="BNS390" s="22"/>
      <c r="BNT390" s="22"/>
      <c r="BNU390" s="22"/>
      <c r="BNV390" s="22"/>
      <c r="BNW390" s="22"/>
      <c r="BNX390" s="22"/>
      <c r="BNY390" s="22"/>
      <c r="BNZ390" s="22"/>
      <c r="BOA390" s="22"/>
      <c r="BOB390" s="22"/>
      <c r="BOC390" s="22"/>
      <c r="BOD390" s="22"/>
      <c r="BOE390" s="22"/>
      <c r="BOF390" s="22"/>
      <c r="BOG390" s="22"/>
      <c r="BOH390" s="22"/>
      <c r="BOI390" s="22"/>
      <c r="BOJ390" s="22"/>
      <c r="BOK390" s="22"/>
      <c r="BOL390" s="22"/>
      <c r="BOM390" s="22"/>
      <c r="BON390" s="22"/>
      <c r="BOO390" s="22"/>
      <c r="BOP390" s="22"/>
      <c r="BOQ390" s="22"/>
      <c r="BOR390" s="22"/>
      <c r="BOS390" s="22"/>
      <c r="BOT390" s="22"/>
      <c r="BOU390" s="22"/>
      <c r="BOV390" s="22"/>
      <c r="BOW390" s="22"/>
      <c r="BOX390" s="22"/>
      <c r="BOY390" s="22"/>
      <c r="BOZ390" s="22"/>
      <c r="BPA390" s="22"/>
      <c r="BPB390" s="22"/>
      <c r="BPC390" s="22"/>
      <c r="BPD390" s="22"/>
      <c r="BPE390" s="22"/>
      <c r="BPF390" s="22"/>
      <c r="BPG390" s="22"/>
      <c r="BPH390" s="22"/>
      <c r="BPI390" s="22"/>
      <c r="BPJ390" s="22"/>
      <c r="BPK390" s="22"/>
      <c r="BPL390" s="22"/>
      <c r="BPM390" s="22"/>
      <c r="BPN390" s="22"/>
      <c r="BPO390" s="22"/>
      <c r="BPP390" s="22"/>
      <c r="BPQ390" s="22"/>
      <c r="BPR390" s="22"/>
      <c r="BPS390" s="22"/>
      <c r="BPT390" s="22"/>
      <c r="BPU390" s="22"/>
      <c r="BPV390" s="22"/>
      <c r="BPW390" s="22"/>
      <c r="BPX390" s="22"/>
      <c r="BPY390" s="22"/>
      <c r="BPZ390" s="22"/>
      <c r="BQA390" s="22"/>
      <c r="BQB390" s="22"/>
      <c r="BQC390" s="22"/>
      <c r="BQD390" s="22"/>
      <c r="BQE390" s="22"/>
      <c r="BQF390" s="22"/>
      <c r="BQG390" s="22"/>
      <c r="BQH390" s="22"/>
      <c r="BQI390" s="22"/>
      <c r="BQJ390" s="22"/>
      <c r="BQK390" s="22"/>
      <c r="BQL390" s="22"/>
      <c r="BQM390" s="22"/>
      <c r="BQN390" s="22"/>
      <c r="BQO390" s="22"/>
      <c r="BQP390" s="22"/>
      <c r="BQQ390" s="22"/>
      <c r="BQR390" s="22"/>
      <c r="BQS390" s="22"/>
      <c r="BQT390" s="22"/>
      <c r="BQU390" s="22"/>
      <c r="BQV390" s="22"/>
      <c r="BQW390" s="22"/>
      <c r="BQX390" s="22"/>
      <c r="BQY390" s="22"/>
      <c r="BQZ390" s="22"/>
      <c r="BRA390" s="22"/>
      <c r="BRB390" s="22"/>
      <c r="BRC390" s="22"/>
      <c r="BRD390" s="22"/>
      <c r="BRE390" s="22"/>
      <c r="BRF390" s="22"/>
      <c r="BRG390" s="22"/>
      <c r="BRH390" s="22"/>
      <c r="BRI390" s="22"/>
      <c r="BRJ390" s="22"/>
      <c r="BRK390" s="22"/>
      <c r="BRL390" s="22"/>
      <c r="BRM390" s="22"/>
      <c r="BRN390" s="22"/>
      <c r="BRO390" s="22"/>
      <c r="BRP390" s="22"/>
      <c r="BRQ390" s="22"/>
      <c r="BRR390" s="22"/>
      <c r="BRS390" s="22"/>
      <c r="BRT390" s="22"/>
      <c r="BRU390" s="22"/>
      <c r="BRV390" s="22"/>
      <c r="BRW390" s="22"/>
      <c r="BRX390" s="22"/>
      <c r="BRY390" s="22"/>
      <c r="BRZ390" s="22"/>
      <c r="BSA390" s="22"/>
      <c r="BSB390" s="22"/>
      <c r="BSC390" s="22"/>
      <c r="BSD390" s="22"/>
      <c r="BSE390" s="22"/>
      <c r="BSF390" s="22"/>
      <c r="BSG390" s="22"/>
      <c r="BSH390" s="22"/>
      <c r="BSI390" s="22"/>
      <c r="BSJ390" s="22"/>
      <c r="BSK390" s="22"/>
      <c r="BSL390" s="22"/>
      <c r="BSM390" s="22"/>
      <c r="BSN390" s="22"/>
      <c r="BSO390" s="22"/>
      <c r="BSP390" s="22"/>
      <c r="BSQ390" s="22"/>
      <c r="BSR390" s="22"/>
      <c r="BSS390" s="22"/>
      <c r="BST390" s="22"/>
      <c r="BSU390" s="22"/>
      <c r="BSV390" s="22"/>
      <c r="BSW390" s="22"/>
      <c r="BSX390" s="22"/>
      <c r="BSY390" s="22"/>
      <c r="BSZ390" s="22"/>
      <c r="BTA390" s="22"/>
      <c r="BTB390" s="22"/>
      <c r="BTC390" s="22"/>
      <c r="BTD390" s="22"/>
      <c r="BTE390" s="22"/>
      <c r="BTF390" s="22"/>
      <c r="BTG390" s="22"/>
      <c r="BTH390" s="22"/>
      <c r="BTI390" s="22"/>
      <c r="BTJ390" s="22"/>
      <c r="BTK390" s="22"/>
      <c r="BTL390" s="22"/>
      <c r="BTM390" s="22"/>
      <c r="BTN390" s="22"/>
      <c r="BTO390" s="22"/>
      <c r="BTP390" s="22"/>
      <c r="BTQ390" s="22"/>
      <c r="BTR390" s="22"/>
      <c r="BTS390" s="22"/>
      <c r="BTT390" s="22"/>
      <c r="BTU390" s="22"/>
      <c r="BTV390" s="22"/>
      <c r="BTW390" s="22"/>
      <c r="BTX390" s="22"/>
      <c r="BTY390" s="22"/>
      <c r="BTZ390" s="22"/>
      <c r="BUA390" s="22"/>
      <c r="BUB390" s="22"/>
      <c r="BUC390" s="22"/>
      <c r="BUD390" s="22"/>
      <c r="BUE390" s="22"/>
      <c r="BUF390" s="22"/>
      <c r="BUG390" s="22"/>
      <c r="BUH390" s="22"/>
      <c r="BUI390" s="22"/>
      <c r="BUJ390" s="22"/>
      <c r="BUK390" s="22"/>
      <c r="BUL390" s="22"/>
      <c r="BUM390" s="22"/>
      <c r="BUN390" s="22"/>
      <c r="BUO390" s="22"/>
      <c r="BUP390" s="22"/>
      <c r="BUQ390" s="22"/>
      <c r="BUR390" s="22"/>
      <c r="BUS390" s="22"/>
      <c r="BUT390" s="22"/>
      <c r="BUU390" s="22"/>
      <c r="BUV390" s="22"/>
      <c r="BUW390" s="22"/>
      <c r="BUX390" s="22"/>
      <c r="BUY390" s="22"/>
      <c r="BUZ390" s="22"/>
      <c r="BVA390" s="22"/>
      <c r="BVB390" s="22"/>
      <c r="BVC390" s="22"/>
      <c r="BVD390" s="22"/>
      <c r="BVE390" s="22"/>
      <c r="BVF390" s="22"/>
      <c r="BVG390" s="22"/>
      <c r="BVH390" s="22"/>
      <c r="BVI390" s="22"/>
      <c r="BVJ390" s="22"/>
      <c r="BVK390" s="22"/>
      <c r="BVL390" s="22"/>
      <c r="BVM390" s="22"/>
      <c r="BVN390" s="22"/>
      <c r="BVO390" s="22"/>
      <c r="BVP390" s="22"/>
      <c r="BVQ390" s="22"/>
      <c r="BVR390" s="22"/>
      <c r="BVS390" s="22"/>
      <c r="BVT390" s="22"/>
      <c r="BVU390" s="22"/>
      <c r="BVV390" s="22"/>
      <c r="BVW390" s="22"/>
      <c r="BVX390" s="22"/>
      <c r="BVY390" s="22"/>
      <c r="BVZ390" s="22"/>
      <c r="BWA390" s="22"/>
      <c r="BWB390" s="22"/>
      <c r="BWC390" s="22"/>
      <c r="BWD390" s="22"/>
      <c r="BWE390" s="22"/>
      <c r="BWF390" s="22"/>
      <c r="BWG390" s="22"/>
      <c r="BWH390" s="22"/>
      <c r="BWI390" s="22"/>
      <c r="BWJ390" s="22"/>
      <c r="BWK390" s="22"/>
      <c r="BWL390" s="22"/>
      <c r="BWM390" s="22"/>
      <c r="BWN390" s="22"/>
      <c r="BWO390" s="22"/>
      <c r="BWP390" s="22"/>
      <c r="BWQ390" s="22"/>
      <c r="BWR390" s="22"/>
      <c r="BWS390" s="22"/>
      <c r="BWT390" s="22"/>
      <c r="BWU390" s="22"/>
      <c r="BWV390" s="22"/>
      <c r="BWW390" s="22"/>
      <c r="BWX390" s="22"/>
      <c r="BWY390" s="22"/>
      <c r="BWZ390" s="22"/>
      <c r="BXA390" s="22"/>
      <c r="BXB390" s="22"/>
      <c r="BXC390" s="22"/>
      <c r="BXD390" s="22"/>
      <c r="BXE390" s="22"/>
      <c r="BXF390" s="22"/>
      <c r="BXG390" s="22"/>
      <c r="BXH390" s="22"/>
      <c r="BXI390" s="22"/>
      <c r="BXJ390" s="22"/>
      <c r="BXK390" s="22"/>
      <c r="BXL390" s="22"/>
      <c r="BXM390" s="22"/>
      <c r="BXN390" s="22"/>
      <c r="BXO390" s="22"/>
      <c r="BXP390" s="22"/>
      <c r="BXQ390" s="22"/>
      <c r="BXR390" s="22"/>
      <c r="BXS390" s="22"/>
      <c r="BXT390" s="22"/>
      <c r="BXU390" s="22"/>
      <c r="BXV390" s="22"/>
      <c r="BXW390" s="22"/>
      <c r="BXX390" s="22"/>
      <c r="BXY390" s="22"/>
      <c r="BXZ390" s="22"/>
      <c r="BYA390" s="22"/>
      <c r="BYB390" s="22"/>
      <c r="BYC390" s="22"/>
      <c r="BYD390" s="22"/>
      <c r="BYE390" s="22"/>
      <c r="BYF390" s="22"/>
      <c r="BYG390" s="22"/>
      <c r="BYH390" s="22"/>
      <c r="BYI390" s="22"/>
      <c r="BYJ390" s="22"/>
      <c r="BYK390" s="22"/>
      <c r="BYL390" s="22"/>
      <c r="BYM390" s="22"/>
      <c r="BYN390" s="22"/>
      <c r="BYO390" s="22"/>
      <c r="BYP390" s="22"/>
      <c r="BYQ390" s="22"/>
      <c r="BYR390" s="22"/>
      <c r="BYS390" s="22"/>
      <c r="BYT390" s="22"/>
      <c r="BYU390" s="22"/>
      <c r="BYV390" s="22"/>
      <c r="BYW390" s="22"/>
      <c r="BYX390" s="22"/>
      <c r="BYY390" s="22"/>
      <c r="BYZ390" s="22"/>
      <c r="BZA390" s="22"/>
      <c r="BZB390" s="22"/>
      <c r="BZC390" s="22"/>
      <c r="BZD390" s="22"/>
      <c r="BZE390" s="22"/>
      <c r="BZF390" s="22"/>
      <c r="BZG390" s="22"/>
      <c r="BZH390" s="22"/>
      <c r="BZI390" s="22"/>
      <c r="BZJ390" s="22"/>
      <c r="BZK390" s="22"/>
      <c r="BZL390" s="22"/>
      <c r="BZM390" s="22"/>
      <c r="BZN390" s="22"/>
      <c r="BZO390" s="22"/>
      <c r="BZP390" s="22"/>
      <c r="BZQ390" s="22"/>
      <c r="BZR390" s="22"/>
      <c r="BZS390" s="22"/>
      <c r="BZT390" s="22"/>
      <c r="BZU390" s="22"/>
      <c r="BZV390" s="22"/>
      <c r="BZW390" s="22"/>
      <c r="BZX390" s="22"/>
      <c r="BZY390" s="22"/>
      <c r="BZZ390" s="22"/>
      <c r="CAA390" s="22"/>
      <c r="CAB390" s="22"/>
      <c r="CAC390" s="22"/>
      <c r="CAD390" s="22"/>
      <c r="CAE390" s="22"/>
      <c r="CAF390" s="22"/>
      <c r="CAG390" s="22"/>
      <c r="CAH390" s="22"/>
      <c r="CAI390" s="22"/>
      <c r="CAJ390" s="22"/>
      <c r="CAK390" s="22"/>
      <c r="CAL390" s="22"/>
      <c r="CAM390" s="22"/>
      <c r="CAN390" s="22"/>
      <c r="CAO390" s="22"/>
      <c r="CAP390" s="22"/>
      <c r="CAQ390" s="22"/>
      <c r="CAR390" s="22"/>
      <c r="CAS390" s="22"/>
      <c r="CAT390" s="22"/>
      <c r="CAU390" s="22"/>
      <c r="CAV390" s="22"/>
      <c r="CAW390" s="22"/>
      <c r="CAX390" s="22"/>
      <c r="CAY390" s="22"/>
      <c r="CAZ390" s="22"/>
      <c r="CBA390" s="22"/>
      <c r="CBB390" s="22"/>
      <c r="CBC390" s="22"/>
      <c r="CBD390" s="22"/>
      <c r="CBE390" s="22"/>
      <c r="CBF390" s="22"/>
      <c r="CBG390" s="22"/>
      <c r="CBH390" s="22"/>
      <c r="CBI390" s="22"/>
      <c r="CBJ390" s="22"/>
      <c r="CBK390" s="22"/>
      <c r="CBL390" s="22"/>
      <c r="CBM390" s="22"/>
      <c r="CBN390" s="22"/>
      <c r="CBO390" s="22"/>
      <c r="CBP390" s="22"/>
      <c r="CBQ390" s="22"/>
      <c r="CBR390" s="22"/>
      <c r="CBS390" s="22"/>
      <c r="CBT390" s="22"/>
      <c r="CBU390" s="22"/>
      <c r="CBV390" s="22"/>
      <c r="CBW390" s="22"/>
      <c r="CBX390" s="22"/>
      <c r="CBY390" s="22"/>
      <c r="CBZ390" s="22"/>
      <c r="CCA390" s="22"/>
      <c r="CCB390" s="22"/>
      <c r="CCC390" s="22"/>
      <c r="CCD390" s="22"/>
      <c r="CCE390" s="22"/>
      <c r="CCF390" s="22"/>
      <c r="CCG390" s="22"/>
      <c r="CCH390" s="22"/>
      <c r="CCI390" s="22"/>
      <c r="CCJ390" s="22"/>
      <c r="CCK390" s="22"/>
      <c r="CCL390" s="22"/>
      <c r="CCM390" s="22"/>
      <c r="CCN390" s="22"/>
      <c r="CCO390" s="22"/>
      <c r="CCP390" s="22"/>
      <c r="CCQ390" s="22"/>
      <c r="CCR390" s="22"/>
      <c r="CCS390" s="22"/>
      <c r="CCT390" s="22"/>
      <c r="CCU390" s="22"/>
      <c r="CCV390" s="22"/>
      <c r="CCW390" s="22"/>
      <c r="CCX390" s="22"/>
      <c r="CCY390" s="22"/>
      <c r="CCZ390" s="22"/>
      <c r="CDA390" s="22"/>
      <c r="CDB390" s="22"/>
      <c r="CDC390" s="22"/>
      <c r="CDD390" s="22"/>
      <c r="CDE390" s="22"/>
      <c r="CDF390" s="22"/>
      <c r="CDG390" s="22"/>
      <c r="CDH390" s="22"/>
      <c r="CDI390" s="22"/>
      <c r="CDJ390" s="22"/>
      <c r="CDK390" s="22"/>
      <c r="CDL390" s="22"/>
      <c r="CDM390" s="22"/>
      <c r="CDN390" s="22"/>
      <c r="CDO390" s="22"/>
      <c r="CDP390" s="22"/>
      <c r="CDQ390" s="22"/>
      <c r="CDR390" s="22"/>
      <c r="CDS390" s="22"/>
      <c r="CDT390" s="22"/>
      <c r="CDU390" s="22"/>
      <c r="CDV390" s="22"/>
      <c r="CDW390" s="22"/>
      <c r="CDX390" s="22"/>
      <c r="CDY390" s="22"/>
      <c r="CDZ390" s="22"/>
      <c r="CEA390" s="22"/>
      <c r="CEB390" s="22"/>
      <c r="CEC390" s="22"/>
      <c r="CED390" s="22"/>
      <c r="CEE390" s="22"/>
      <c r="CEF390" s="22"/>
      <c r="CEG390" s="22"/>
      <c r="CEH390" s="22"/>
      <c r="CEI390" s="22"/>
      <c r="CEJ390" s="22"/>
      <c r="CEK390" s="22"/>
      <c r="CEL390" s="22"/>
      <c r="CEM390" s="22"/>
      <c r="CEN390" s="22"/>
      <c r="CEO390" s="22"/>
      <c r="CEP390" s="22"/>
      <c r="CEQ390" s="22"/>
      <c r="CER390" s="22"/>
      <c r="CES390" s="22"/>
      <c r="CET390" s="22"/>
      <c r="CEU390" s="22"/>
      <c r="CEV390" s="22"/>
      <c r="CEW390" s="22"/>
      <c r="CEX390" s="22"/>
      <c r="CEY390" s="22"/>
      <c r="CEZ390" s="22"/>
      <c r="CFA390" s="22"/>
      <c r="CFB390" s="22"/>
      <c r="CFC390" s="22"/>
      <c r="CFD390" s="22"/>
      <c r="CFE390" s="22"/>
      <c r="CFF390" s="22"/>
      <c r="CFG390" s="22"/>
      <c r="CFH390" s="22"/>
      <c r="CFI390" s="22"/>
      <c r="CFJ390" s="22"/>
      <c r="CFK390" s="22"/>
      <c r="CFL390" s="22"/>
      <c r="CFM390" s="22"/>
      <c r="CFN390" s="22"/>
      <c r="CFO390" s="22"/>
      <c r="CFP390" s="22"/>
      <c r="CFQ390" s="22"/>
      <c r="CFR390" s="22"/>
      <c r="CFS390" s="22"/>
      <c r="CFT390" s="22"/>
      <c r="CFU390" s="22"/>
      <c r="CFV390" s="22"/>
      <c r="CFW390" s="22"/>
      <c r="CFX390" s="22"/>
      <c r="CFY390" s="22"/>
      <c r="CFZ390" s="22"/>
      <c r="CGA390" s="22"/>
      <c r="CGB390" s="22"/>
      <c r="CGC390" s="22"/>
      <c r="CGD390" s="22"/>
      <c r="CGE390" s="22"/>
      <c r="CGF390" s="22"/>
      <c r="CGG390" s="22"/>
      <c r="CGH390" s="22"/>
      <c r="CGI390" s="22"/>
      <c r="CGJ390" s="22"/>
      <c r="CGK390" s="22"/>
      <c r="CGL390" s="22"/>
      <c r="CGM390" s="22"/>
      <c r="CGN390" s="22"/>
      <c r="CGO390" s="22"/>
      <c r="CGP390" s="22"/>
      <c r="CGQ390" s="22"/>
      <c r="CGR390" s="22"/>
      <c r="CGS390" s="22"/>
      <c r="CGT390" s="22"/>
      <c r="CGU390" s="22"/>
      <c r="CGV390" s="22"/>
      <c r="CGW390" s="22"/>
      <c r="CGX390" s="22"/>
      <c r="CGY390" s="22"/>
      <c r="CGZ390" s="22"/>
      <c r="CHA390" s="22"/>
      <c r="CHB390" s="22"/>
      <c r="CHC390" s="22"/>
      <c r="CHD390" s="22"/>
      <c r="CHE390" s="22"/>
      <c r="CHF390" s="22"/>
      <c r="CHG390" s="22"/>
      <c r="CHH390" s="22"/>
      <c r="CHI390" s="22"/>
      <c r="CHJ390" s="22"/>
      <c r="CHK390" s="22"/>
      <c r="CHL390" s="22"/>
      <c r="CHM390" s="22"/>
      <c r="CHN390" s="22"/>
      <c r="CHO390" s="22"/>
      <c r="CHP390" s="22"/>
      <c r="CHQ390" s="22"/>
      <c r="CHR390" s="22"/>
      <c r="CHS390" s="22"/>
      <c r="CHT390" s="22"/>
      <c r="CHU390" s="22"/>
      <c r="CHV390" s="22"/>
      <c r="CHW390" s="22"/>
      <c r="CHX390" s="22"/>
      <c r="CHY390" s="22"/>
      <c r="CHZ390" s="22"/>
      <c r="CIA390" s="22"/>
      <c r="CIB390" s="22"/>
      <c r="CIC390" s="22"/>
      <c r="CID390" s="22"/>
      <c r="CIE390" s="22"/>
      <c r="CIF390" s="22"/>
      <c r="CIG390" s="22"/>
      <c r="CIH390" s="22"/>
      <c r="CII390" s="22"/>
      <c r="CIJ390" s="22"/>
      <c r="CIK390" s="22"/>
      <c r="CIL390" s="22"/>
      <c r="CIM390" s="22"/>
      <c r="CIN390" s="22"/>
      <c r="CIO390" s="22"/>
      <c r="CIP390" s="22"/>
      <c r="CIQ390" s="22"/>
      <c r="CIR390" s="22"/>
      <c r="CIS390" s="22"/>
      <c r="CIT390" s="22"/>
      <c r="CIU390" s="22"/>
      <c r="CIV390" s="22"/>
      <c r="CIW390" s="22"/>
      <c r="CIX390" s="22"/>
      <c r="CIY390" s="22"/>
      <c r="CIZ390" s="22"/>
      <c r="CJA390" s="22"/>
      <c r="CJB390" s="22"/>
      <c r="CJC390" s="22"/>
      <c r="CJD390" s="22"/>
      <c r="CJE390" s="22"/>
      <c r="CJF390" s="22"/>
      <c r="CJG390" s="22"/>
      <c r="CJH390" s="22"/>
      <c r="CJI390" s="22"/>
      <c r="CJJ390" s="22"/>
      <c r="CJK390" s="22"/>
      <c r="CJL390" s="22"/>
      <c r="CJM390" s="22"/>
      <c r="CJN390" s="22"/>
      <c r="CJO390" s="22"/>
      <c r="CJP390" s="22"/>
      <c r="CJQ390" s="22"/>
      <c r="CJR390" s="22"/>
      <c r="CJS390" s="22"/>
      <c r="CJT390" s="22"/>
      <c r="CJU390" s="22"/>
      <c r="CJV390" s="22"/>
      <c r="CJW390" s="22"/>
      <c r="CJX390" s="22"/>
      <c r="CJY390" s="22"/>
      <c r="CJZ390" s="22"/>
      <c r="CKA390" s="22"/>
      <c r="CKB390" s="22"/>
      <c r="CKC390" s="22"/>
      <c r="CKD390" s="22"/>
      <c r="CKE390" s="22"/>
      <c r="CKF390" s="22"/>
      <c r="CKG390" s="22"/>
      <c r="CKH390" s="22"/>
      <c r="CKI390" s="22"/>
      <c r="CKJ390" s="22"/>
      <c r="CKK390" s="22"/>
      <c r="CKL390" s="22"/>
      <c r="CKM390" s="22"/>
      <c r="CKN390" s="22"/>
      <c r="CKO390" s="22"/>
      <c r="CKP390" s="22"/>
      <c r="CKQ390" s="22"/>
      <c r="CKR390" s="22"/>
      <c r="CKS390" s="22"/>
      <c r="CKT390" s="22"/>
      <c r="CKU390" s="22"/>
      <c r="CKV390" s="22"/>
      <c r="CKW390" s="22"/>
      <c r="CKX390" s="22"/>
      <c r="CKY390" s="22"/>
      <c r="CKZ390" s="22"/>
      <c r="CLA390" s="22"/>
      <c r="CLB390" s="22"/>
      <c r="CLC390" s="22"/>
      <c r="CLD390" s="22"/>
      <c r="CLE390" s="22"/>
      <c r="CLF390" s="22"/>
      <c r="CLG390" s="22"/>
      <c r="CLH390" s="22"/>
      <c r="CLI390" s="22"/>
      <c r="CLJ390" s="22"/>
      <c r="CLK390" s="22"/>
      <c r="CLL390" s="22"/>
      <c r="CLM390" s="22"/>
      <c r="CLN390" s="22"/>
      <c r="CLO390" s="22"/>
      <c r="CLP390" s="22"/>
      <c r="CLQ390" s="22"/>
      <c r="CLR390" s="22"/>
      <c r="CLS390" s="22"/>
      <c r="CLT390" s="22"/>
      <c r="CLU390" s="22"/>
      <c r="CLV390" s="22"/>
      <c r="CLW390" s="22"/>
      <c r="CLX390" s="22"/>
      <c r="CLY390" s="22"/>
      <c r="CLZ390" s="22"/>
      <c r="CMA390" s="22"/>
      <c r="CMB390" s="22"/>
      <c r="CMC390" s="22"/>
      <c r="CMD390" s="22"/>
      <c r="CME390" s="22"/>
      <c r="CMF390" s="22"/>
      <c r="CMG390" s="22"/>
      <c r="CMH390" s="22"/>
      <c r="CMI390" s="22"/>
      <c r="CMJ390" s="22"/>
      <c r="CMK390" s="22"/>
      <c r="CML390" s="22"/>
      <c r="CMM390" s="22"/>
      <c r="CMN390" s="22"/>
      <c r="CMO390" s="22"/>
      <c r="CMP390" s="22"/>
      <c r="CMQ390" s="22"/>
      <c r="CMR390" s="22"/>
      <c r="CMS390" s="22"/>
      <c r="CMT390" s="22"/>
      <c r="CMU390" s="22"/>
      <c r="CMV390" s="22"/>
      <c r="CMW390" s="22"/>
      <c r="CMX390" s="22"/>
      <c r="CMY390" s="22"/>
      <c r="CMZ390" s="22"/>
      <c r="CNA390" s="22"/>
      <c r="CNB390" s="22"/>
      <c r="CNC390" s="22"/>
      <c r="CND390" s="22"/>
      <c r="CNE390" s="22"/>
      <c r="CNF390" s="22"/>
      <c r="CNG390" s="22"/>
      <c r="CNH390" s="22"/>
      <c r="CNI390" s="22"/>
      <c r="CNJ390" s="22"/>
      <c r="CNK390" s="22"/>
      <c r="CNL390" s="22"/>
      <c r="CNM390" s="22"/>
      <c r="CNN390" s="22"/>
      <c r="CNO390" s="22"/>
      <c r="CNP390" s="22"/>
      <c r="CNQ390" s="22"/>
      <c r="CNR390" s="22"/>
      <c r="CNS390" s="22"/>
      <c r="CNT390" s="22"/>
      <c r="CNU390" s="22"/>
      <c r="CNV390" s="22"/>
      <c r="CNW390" s="22"/>
      <c r="CNX390" s="22"/>
      <c r="CNY390" s="22"/>
      <c r="CNZ390" s="22"/>
      <c r="COA390" s="22"/>
      <c r="COB390" s="22"/>
      <c r="COC390" s="22"/>
      <c r="COD390" s="22"/>
      <c r="COE390" s="22"/>
      <c r="COF390" s="22"/>
      <c r="COG390" s="22"/>
      <c r="COH390" s="22"/>
      <c r="COI390" s="22"/>
      <c r="COJ390" s="22"/>
      <c r="COK390" s="22"/>
      <c r="COL390" s="22"/>
      <c r="COM390" s="22"/>
      <c r="CON390" s="22"/>
      <c r="COO390" s="22"/>
      <c r="COP390" s="22"/>
      <c r="COQ390" s="22"/>
      <c r="COR390" s="22"/>
      <c r="COS390" s="22"/>
      <c r="COT390" s="22"/>
      <c r="COU390" s="22"/>
      <c r="COV390" s="22"/>
      <c r="COW390" s="22"/>
      <c r="COX390" s="22"/>
      <c r="COY390" s="22"/>
      <c r="COZ390" s="22"/>
      <c r="CPA390" s="22"/>
      <c r="CPB390" s="22"/>
      <c r="CPC390" s="22"/>
      <c r="CPD390" s="22"/>
      <c r="CPE390" s="22"/>
      <c r="CPF390" s="22"/>
      <c r="CPG390" s="22"/>
      <c r="CPH390" s="22"/>
      <c r="CPI390" s="22"/>
      <c r="CPJ390" s="22"/>
      <c r="CPK390" s="22"/>
      <c r="CPL390" s="22"/>
      <c r="CPM390" s="22"/>
      <c r="CPN390" s="22"/>
      <c r="CPO390" s="22"/>
      <c r="CPP390" s="22"/>
      <c r="CPQ390" s="22"/>
      <c r="CPR390" s="22"/>
      <c r="CPS390" s="22"/>
      <c r="CPT390" s="22"/>
      <c r="CPU390" s="22"/>
      <c r="CPV390" s="22"/>
      <c r="CPW390" s="22"/>
      <c r="CPX390" s="22"/>
      <c r="CPY390" s="22"/>
      <c r="CPZ390" s="22"/>
      <c r="CQA390" s="22"/>
      <c r="CQB390" s="22"/>
      <c r="CQC390" s="22"/>
      <c r="CQD390" s="22"/>
      <c r="CQE390" s="22"/>
      <c r="CQF390" s="22"/>
      <c r="CQG390" s="22"/>
      <c r="CQH390" s="22"/>
      <c r="CQI390" s="22"/>
      <c r="CQJ390" s="22"/>
      <c r="CQK390" s="22"/>
      <c r="CQL390" s="22"/>
      <c r="CQM390" s="22"/>
      <c r="CQN390" s="22"/>
      <c r="CQO390" s="22"/>
      <c r="CQP390" s="22"/>
      <c r="CQQ390" s="22"/>
      <c r="CQR390" s="22"/>
      <c r="CQS390" s="22"/>
      <c r="CQT390" s="22"/>
      <c r="CQU390" s="22"/>
      <c r="CQV390" s="22"/>
      <c r="CQW390" s="22"/>
      <c r="CQX390" s="22"/>
      <c r="CQY390" s="22"/>
      <c r="CQZ390" s="22"/>
      <c r="CRA390" s="22"/>
      <c r="CRB390" s="22"/>
      <c r="CRC390" s="22"/>
      <c r="CRD390" s="22"/>
      <c r="CRE390" s="22"/>
      <c r="CRF390" s="22"/>
      <c r="CRG390" s="22"/>
      <c r="CRH390" s="22"/>
      <c r="CRI390" s="22"/>
      <c r="CRJ390" s="22"/>
      <c r="CRK390" s="22"/>
      <c r="CRL390" s="22"/>
      <c r="CRM390" s="22"/>
      <c r="CRN390" s="22"/>
      <c r="CRO390" s="22"/>
      <c r="CRP390" s="22"/>
      <c r="CRQ390" s="22"/>
      <c r="CRR390" s="22"/>
      <c r="CRS390" s="22"/>
      <c r="CRT390" s="22"/>
      <c r="CRU390" s="22"/>
      <c r="CRV390" s="22"/>
      <c r="CRW390" s="22"/>
      <c r="CRX390" s="22"/>
      <c r="CRY390" s="22"/>
      <c r="CRZ390" s="22"/>
      <c r="CSA390" s="22"/>
      <c r="CSB390" s="22"/>
      <c r="CSC390" s="22"/>
      <c r="CSD390" s="22"/>
      <c r="CSE390" s="22"/>
      <c r="CSF390" s="22"/>
      <c r="CSG390" s="22"/>
      <c r="CSH390" s="22"/>
      <c r="CSI390" s="22"/>
      <c r="CSJ390" s="22"/>
      <c r="CSK390" s="22"/>
      <c r="CSL390" s="22"/>
      <c r="CSM390" s="22"/>
      <c r="CSN390" s="22"/>
      <c r="CSO390" s="22"/>
      <c r="CSP390" s="22"/>
      <c r="CSQ390" s="22"/>
      <c r="CSR390" s="22"/>
      <c r="CSS390" s="22"/>
      <c r="CST390" s="22"/>
      <c r="CSU390" s="22"/>
      <c r="CSV390" s="22"/>
      <c r="CSW390" s="22"/>
      <c r="CSX390" s="22"/>
      <c r="CSY390" s="22"/>
      <c r="CSZ390" s="22"/>
      <c r="CTA390" s="22"/>
      <c r="CTB390" s="22"/>
      <c r="CTC390" s="22"/>
      <c r="CTD390" s="22"/>
      <c r="CTE390" s="22"/>
      <c r="CTF390" s="22"/>
      <c r="CTG390" s="22"/>
      <c r="CTH390" s="22"/>
      <c r="CTI390" s="22"/>
      <c r="CTJ390" s="22"/>
      <c r="CTK390" s="22"/>
      <c r="CTL390" s="22"/>
      <c r="CTM390" s="22"/>
      <c r="CTN390" s="22"/>
      <c r="CTO390" s="22"/>
      <c r="CTP390" s="22"/>
      <c r="CTQ390" s="22"/>
      <c r="CTR390" s="22"/>
      <c r="CTS390" s="22"/>
      <c r="CTT390" s="22"/>
      <c r="CTU390" s="22"/>
      <c r="CTV390" s="22"/>
      <c r="CTW390" s="22"/>
      <c r="CTX390" s="22"/>
      <c r="CTY390" s="22"/>
      <c r="CTZ390" s="22"/>
      <c r="CUA390" s="22"/>
      <c r="CUB390" s="22"/>
      <c r="CUC390" s="22"/>
      <c r="CUD390" s="22"/>
      <c r="CUE390" s="22"/>
      <c r="CUF390" s="22"/>
      <c r="CUG390" s="22"/>
      <c r="CUH390" s="22"/>
      <c r="CUI390" s="22"/>
      <c r="CUJ390" s="22"/>
      <c r="CUK390" s="22"/>
      <c r="CUL390" s="22"/>
      <c r="CUM390" s="22"/>
      <c r="CUN390" s="22"/>
      <c r="CUO390" s="22"/>
      <c r="CUP390" s="22"/>
      <c r="CUQ390" s="22"/>
      <c r="CUR390" s="22"/>
      <c r="CUS390" s="22"/>
      <c r="CUT390" s="22"/>
      <c r="CUU390" s="22"/>
      <c r="CUV390" s="22"/>
      <c r="CUW390" s="22"/>
      <c r="CUX390" s="22"/>
      <c r="CUY390" s="22"/>
      <c r="CUZ390" s="22"/>
      <c r="CVA390" s="22"/>
      <c r="CVB390" s="22"/>
      <c r="CVC390" s="22"/>
      <c r="CVD390" s="22"/>
      <c r="CVE390" s="22"/>
      <c r="CVF390" s="22"/>
      <c r="CVG390" s="22"/>
      <c r="CVH390" s="22"/>
      <c r="CVI390" s="22"/>
      <c r="CVJ390" s="22"/>
      <c r="CVK390" s="22"/>
      <c r="CVL390" s="22"/>
      <c r="CVM390" s="22"/>
      <c r="CVN390" s="22"/>
      <c r="CVO390" s="22"/>
      <c r="CVP390" s="22"/>
      <c r="CVQ390" s="22"/>
      <c r="CVR390" s="22"/>
      <c r="CVS390" s="22"/>
      <c r="CVT390" s="22"/>
      <c r="CVU390" s="22"/>
      <c r="CVV390" s="22"/>
      <c r="CVW390" s="22"/>
      <c r="CVX390" s="22"/>
      <c r="CVY390" s="22"/>
      <c r="CVZ390" s="22"/>
      <c r="CWA390" s="22"/>
      <c r="CWB390" s="22"/>
      <c r="CWC390" s="22"/>
      <c r="CWD390" s="22"/>
      <c r="CWE390" s="22"/>
      <c r="CWF390" s="22"/>
      <c r="CWG390" s="22"/>
      <c r="CWH390" s="22"/>
      <c r="CWI390" s="22"/>
      <c r="CWJ390" s="22"/>
      <c r="CWK390" s="22"/>
      <c r="CWL390" s="22"/>
      <c r="CWM390" s="22"/>
      <c r="CWN390" s="22"/>
      <c r="CWO390" s="22"/>
      <c r="CWP390" s="22"/>
      <c r="CWQ390" s="22"/>
      <c r="CWR390" s="22"/>
      <c r="CWS390" s="22"/>
      <c r="CWT390" s="22"/>
      <c r="CWU390" s="22"/>
      <c r="CWV390" s="22"/>
      <c r="CWW390" s="22"/>
      <c r="CWX390" s="22"/>
      <c r="CWY390" s="22"/>
      <c r="CWZ390" s="22"/>
      <c r="CXA390" s="22"/>
      <c r="CXB390" s="22"/>
      <c r="CXC390" s="22"/>
      <c r="CXD390" s="22"/>
      <c r="CXE390" s="22"/>
      <c r="CXF390" s="22"/>
      <c r="CXG390" s="22"/>
      <c r="CXH390" s="22"/>
      <c r="CXI390" s="22"/>
      <c r="CXJ390" s="22"/>
      <c r="CXK390" s="22"/>
      <c r="CXL390" s="22"/>
      <c r="CXM390" s="22"/>
      <c r="CXN390" s="22"/>
      <c r="CXO390" s="22"/>
      <c r="CXP390" s="22"/>
      <c r="CXQ390" s="22"/>
      <c r="CXR390" s="22"/>
      <c r="CXS390" s="22"/>
      <c r="CXT390" s="22"/>
      <c r="CXU390" s="22"/>
      <c r="CXV390" s="22"/>
      <c r="CXW390" s="22"/>
      <c r="CXX390" s="22"/>
      <c r="CXY390" s="22"/>
      <c r="CXZ390" s="22"/>
      <c r="CYA390" s="22"/>
      <c r="CYB390" s="22"/>
      <c r="CYC390" s="22"/>
      <c r="CYD390" s="22"/>
      <c r="CYE390" s="22"/>
      <c r="CYF390" s="22"/>
      <c r="CYG390" s="22"/>
      <c r="CYH390" s="22"/>
      <c r="CYI390" s="22"/>
      <c r="CYJ390" s="22"/>
      <c r="CYK390" s="22"/>
      <c r="CYL390" s="22"/>
      <c r="CYM390" s="22"/>
      <c r="CYN390" s="22"/>
      <c r="CYO390" s="22"/>
      <c r="CYP390" s="22"/>
      <c r="CYQ390" s="22"/>
      <c r="CYR390" s="22"/>
      <c r="CYS390" s="22"/>
      <c r="CYT390" s="22"/>
      <c r="CYU390" s="22"/>
      <c r="CYV390" s="22"/>
      <c r="CYW390" s="22"/>
      <c r="CYX390" s="22"/>
      <c r="CYY390" s="22"/>
      <c r="CYZ390" s="22"/>
      <c r="CZA390" s="22"/>
      <c r="CZB390" s="22"/>
      <c r="CZC390" s="22"/>
      <c r="CZD390" s="22"/>
      <c r="CZE390" s="22"/>
      <c r="CZF390" s="22"/>
      <c r="CZG390" s="22"/>
      <c r="CZH390" s="22"/>
      <c r="CZI390" s="22"/>
      <c r="CZJ390" s="22"/>
      <c r="CZK390" s="22"/>
      <c r="CZL390" s="22"/>
      <c r="CZM390" s="22"/>
      <c r="CZN390" s="22"/>
      <c r="CZO390" s="22"/>
      <c r="CZP390" s="22"/>
      <c r="CZQ390" s="22"/>
      <c r="CZR390" s="22"/>
      <c r="CZS390" s="22"/>
      <c r="CZT390" s="22"/>
      <c r="CZU390" s="22"/>
      <c r="CZV390" s="22"/>
      <c r="CZW390" s="22"/>
      <c r="CZX390" s="22"/>
      <c r="CZY390" s="22"/>
      <c r="CZZ390" s="22"/>
      <c r="DAA390" s="22"/>
      <c r="DAB390" s="22"/>
      <c r="DAC390" s="22"/>
      <c r="DAD390" s="22"/>
      <c r="DAE390" s="22"/>
      <c r="DAF390" s="22"/>
      <c r="DAG390" s="22"/>
      <c r="DAH390" s="22"/>
      <c r="DAI390" s="22"/>
      <c r="DAJ390" s="22"/>
      <c r="DAK390" s="22"/>
      <c r="DAL390" s="22"/>
      <c r="DAM390" s="22"/>
      <c r="DAN390" s="22"/>
      <c r="DAO390" s="22"/>
      <c r="DAP390" s="22"/>
      <c r="DAQ390" s="22"/>
      <c r="DAR390" s="22"/>
      <c r="DAS390" s="22"/>
      <c r="DAT390" s="22"/>
      <c r="DAU390" s="22"/>
      <c r="DAV390" s="22"/>
      <c r="DAW390" s="22"/>
      <c r="DAX390" s="22"/>
      <c r="DAY390" s="22"/>
      <c r="DAZ390" s="22"/>
      <c r="DBA390" s="22"/>
      <c r="DBB390" s="22"/>
      <c r="DBC390" s="22"/>
      <c r="DBD390" s="22"/>
      <c r="DBE390" s="22"/>
      <c r="DBF390" s="22"/>
      <c r="DBG390" s="22"/>
      <c r="DBH390" s="22"/>
      <c r="DBI390" s="22"/>
      <c r="DBJ390" s="22"/>
      <c r="DBK390" s="22"/>
      <c r="DBL390" s="22"/>
      <c r="DBM390" s="22"/>
      <c r="DBN390" s="22"/>
      <c r="DBO390" s="22"/>
      <c r="DBP390" s="22"/>
      <c r="DBQ390" s="22"/>
      <c r="DBR390" s="22"/>
      <c r="DBS390" s="22"/>
      <c r="DBT390" s="22"/>
      <c r="DBU390" s="22"/>
      <c r="DBV390" s="22"/>
      <c r="DBW390" s="22"/>
      <c r="DBX390" s="22"/>
      <c r="DBY390" s="22"/>
      <c r="DBZ390" s="22"/>
      <c r="DCA390" s="22"/>
      <c r="DCB390" s="22"/>
      <c r="DCC390" s="22"/>
      <c r="DCD390" s="22"/>
      <c r="DCE390" s="22"/>
      <c r="DCF390" s="22"/>
      <c r="DCG390" s="22"/>
      <c r="DCH390" s="22"/>
      <c r="DCI390" s="22"/>
      <c r="DCJ390" s="22"/>
      <c r="DCK390" s="22"/>
      <c r="DCL390" s="22"/>
      <c r="DCM390" s="22"/>
      <c r="DCN390" s="22"/>
      <c r="DCO390" s="22"/>
      <c r="DCP390" s="22"/>
      <c r="DCQ390" s="22"/>
      <c r="DCR390" s="22"/>
      <c r="DCS390" s="22"/>
      <c r="DCT390" s="22"/>
      <c r="DCU390" s="22"/>
      <c r="DCV390" s="22"/>
      <c r="DCW390" s="22"/>
      <c r="DCX390" s="22"/>
      <c r="DCY390" s="22"/>
      <c r="DCZ390" s="22"/>
      <c r="DDA390" s="22"/>
      <c r="DDB390" s="22"/>
      <c r="DDC390" s="22"/>
      <c r="DDD390" s="22"/>
      <c r="DDE390" s="22"/>
      <c r="DDF390" s="22"/>
      <c r="DDG390" s="22"/>
      <c r="DDH390" s="22"/>
      <c r="DDI390" s="22"/>
      <c r="DDJ390" s="22"/>
      <c r="DDK390" s="22"/>
      <c r="DDL390" s="22"/>
      <c r="DDM390" s="22"/>
      <c r="DDN390" s="22"/>
      <c r="DDO390" s="22"/>
      <c r="DDP390" s="22"/>
      <c r="DDQ390" s="22"/>
      <c r="DDR390" s="22"/>
      <c r="DDS390" s="22"/>
      <c r="DDT390" s="22"/>
      <c r="DDU390" s="22"/>
      <c r="DDV390" s="22"/>
      <c r="DDW390" s="22"/>
      <c r="DDX390" s="22"/>
      <c r="DDY390" s="22"/>
      <c r="DDZ390" s="22"/>
      <c r="DEA390" s="22"/>
      <c r="DEB390" s="22"/>
      <c r="DEC390" s="22"/>
      <c r="DED390" s="22"/>
      <c r="DEE390" s="22"/>
      <c r="DEF390" s="22"/>
      <c r="DEG390" s="22"/>
      <c r="DEH390" s="22"/>
      <c r="DEI390" s="22"/>
      <c r="DEJ390" s="22"/>
      <c r="DEK390" s="22"/>
      <c r="DEL390" s="22"/>
      <c r="DEM390" s="22"/>
      <c r="DEN390" s="22"/>
      <c r="DEO390" s="22"/>
      <c r="DEP390" s="22"/>
      <c r="DEQ390" s="22"/>
      <c r="DER390" s="22"/>
      <c r="DES390" s="22"/>
      <c r="DET390" s="22"/>
      <c r="DEU390" s="22"/>
      <c r="DEV390" s="22"/>
      <c r="DEW390" s="22"/>
      <c r="DEX390" s="22"/>
      <c r="DEY390" s="22"/>
      <c r="DEZ390" s="22"/>
      <c r="DFA390" s="22"/>
      <c r="DFB390" s="22"/>
      <c r="DFC390" s="22"/>
      <c r="DFD390" s="22"/>
      <c r="DFE390" s="22"/>
      <c r="DFF390" s="22"/>
      <c r="DFG390" s="22"/>
      <c r="DFH390" s="22"/>
      <c r="DFI390" s="22"/>
      <c r="DFJ390" s="22"/>
      <c r="DFK390" s="22"/>
      <c r="DFL390" s="22"/>
      <c r="DFM390" s="22"/>
      <c r="DFN390" s="22"/>
      <c r="DFO390" s="22"/>
      <c r="DFP390" s="22"/>
      <c r="DFQ390" s="22"/>
      <c r="DFR390" s="22"/>
      <c r="DFS390" s="22"/>
      <c r="DFT390" s="22"/>
      <c r="DFU390" s="22"/>
      <c r="DFV390" s="22"/>
      <c r="DFW390" s="22"/>
      <c r="DFX390" s="22"/>
      <c r="DFY390" s="22"/>
      <c r="DFZ390" s="22"/>
      <c r="DGA390" s="22"/>
      <c r="DGB390" s="22"/>
      <c r="DGC390" s="22"/>
      <c r="DGD390" s="22"/>
      <c r="DGE390" s="22"/>
      <c r="DGF390" s="22"/>
      <c r="DGG390" s="22"/>
      <c r="DGH390" s="22"/>
      <c r="DGI390" s="22"/>
      <c r="DGJ390" s="22"/>
      <c r="DGK390" s="22"/>
      <c r="DGL390" s="22"/>
      <c r="DGM390" s="22"/>
      <c r="DGN390" s="22"/>
      <c r="DGO390" s="22"/>
      <c r="DGP390" s="22"/>
      <c r="DGQ390" s="22"/>
      <c r="DGR390" s="22"/>
      <c r="DGS390" s="22"/>
      <c r="DGT390" s="22"/>
      <c r="DGU390" s="22"/>
      <c r="DGV390" s="22"/>
      <c r="DGW390" s="22"/>
      <c r="DGX390" s="22"/>
      <c r="DGY390" s="22"/>
      <c r="DGZ390" s="22"/>
      <c r="DHA390" s="22"/>
      <c r="DHB390" s="22"/>
      <c r="DHC390" s="22"/>
      <c r="DHD390" s="22"/>
      <c r="DHE390" s="22"/>
      <c r="DHF390" s="22"/>
      <c r="DHG390" s="22"/>
      <c r="DHH390" s="22"/>
      <c r="DHI390" s="22"/>
      <c r="DHJ390" s="22"/>
      <c r="DHK390" s="22"/>
      <c r="DHL390" s="22"/>
      <c r="DHM390" s="22"/>
      <c r="DHN390" s="22"/>
      <c r="DHO390" s="22"/>
      <c r="DHP390" s="22"/>
      <c r="DHQ390" s="22"/>
      <c r="DHR390" s="22"/>
      <c r="DHS390" s="22"/>
      <c r="DHT390" s="22"/>
      <c r="DHU390" s="22"/>
      <c r="DHV390" s="22"/>
      <c r="DHW390" s="22"/>
      <c r="DHX390" s="22"/>
      <c r="DHY390" s="22"/>
      <c r="DHZ390" s="22"/>
      <c r="DIA390" s="22"/>
      <c r="DIB390" s="22"/>
      <c r="DIC390" s="22"/>
      <c r="DID390" s="22"/>
      <c r="DIE390" s="22"/>
      <c r="DIF390" s="22"/>
      <c r="DIG390" s="22"/>
      <c r="DIH390" s="22"/>
      <c r="DII390" s="22"/>
      <c r="DIJ390" s="22"/>
      <c r="DIK390" s="22"/>
      <c r="DIL390" s="22"/>
      <c r="DIM390" s="22"/>
      <c r="DIN390" s="22"/>
      <c r="DIO390" s="22"/>
      <c r="DIP390" s="22"/>
      <c r="DIQ390" s="22"/>
      <c r="DIR390" s="22"/>
      <c r="DIS390" s="22"/>
      <c r="DIT390" s="22"/>
      <c r="DIU390" s="22"/>
      <c r="DIV390" s="22"/>
      <c r="DIW390" s="22"/>
      <c r="DIX390" s="22"/>
      <c r="DIY390" s="22"/>
      <c r="DIZ390" s="22"/>
      <c r="DJA390" s="22"/>
      <c r="DJB390" s="22"/>
      <c r="DJC390" s="22"/>
      <c r="DJD390" s="22"/>
      <c r="DJE390" s="22"/>
      <c r="DJF390" s="22"/>
      <c r="DJG390" s="22"/>
      <c r="DJH390" s="22"/>
      <c r="DJI390" s="22"/>
      <c r="DJJ390" s="22"/>
      <c r="DJK390" s="22"/>
      <c r="DJL390" s="22"/>
      <c r="DJM390" s="22"/>
      <c r="DJN390" s="22"/>
      <c r="DJO390" s="22"/>
      <c r="DJP390" s="22"/>
      <c r="DJQ390" s="22"/>
      <c r="DJR390" s="22"/>
      <c r="DJS390" s="22"/>
      <c r="DJT390" s="22"/>
      <c r="DJU390" s="22"/>
      <c r="DJV390" s="22"/>
      <c r="DJW390" s="22"/>
      <c r="DJX390" s="22"/>
      <c r="DJY390" s="22"/>
      <c r="DJZ390" s="22"/>
      <c r="DKA390" s="22"/>
      <c r="DKB390" s="22"/>
      <c r="DKC390" s="22"/>
      <c r="DKD390" s="22"/>
      <c r="DKE390" s="22"/>
      <c r="DKF390" s="22"/>
      <c r="DKG390" s="22"/>
      <c r="DKH390" s="22"/>
      <c r="DKI390" s="22"/>
      <c r="DKJ390" s="22"/>
      <c r="DKK390" s="22"/>
      <c r="DKL390" s="22"/>
      <c r="DKM390" s="22"/>
      <c r="DKN390" s="22"/>
      <c r="DKO390" s="22"/>
      <c r="DKP390" s="22"/>
      <c r="DKQ390" s="22"/>
      <c r="DKR390" s="22"/>
      <c r="DKS390" s="22"/>
      <c r="DKT390" s="22"/>
      <c r="DKU390" s="22"/>
      <c r="DKV390" s="22"/>
      <c r="DKW390" s="22"/>
      <c r="DKX390" s="22"/>
      <c r="DKY390" s="22"/>
      <c r="DKZ390" s="22"/>
      <c r="DLA390" s="22"/>
      <c r="DLB390" s="22"/>
      <c r="DLC390" s="22"/>
      <c r="DLD390" s="22"/>
      <c r="DLE390" s="22"/>
      <c r="DLF390" s="22"/>
      <c r="DLG390" s="22"/>
      <c r="DLH390" s="22"/>
      <c r="DLI390" s="22"/>
      <c r="DLJ390" s="22"/>
      <c r="DLK390" s="22"/>
      <c r="DLL390" s="22"/>
      <c r="DLM390" s="22"/>
      <c r="DLN390" s="22"/>
      <c r="DLO390" s="22"/>
      <c r="DLP390" s="22"/>
      <c r="DLQ390" s="22"/>
      <c r="DLR390" s="22"/>
      <c r="DLS390" s="22"/>
      <c r="DLT390" s="22"/>
      <c r="DLU390" s="22"/>
      <c r="DLV390" s="22"/>
      <c r="DLW390" s="22"/>
      <c r="DLX390" s="22"/>
      <c r="DLY390" s="22"/>
      <c r="DLZ390" s="22"/>
      <c r="DMA390" s="22"/>
      <c r="DMB390" s="22"/>
      <c r="DMC390" s="22"/>
      <c r="DMD390" s="22"/>
      <c r="DME390" s="22"/>
      <c r="DMF390" s="22"/>
      <c r="DMG390" s="22"/>
      <c r="DMH390" s="22"/>
      <c r="DMI390" s="22"/>
      <c r="DMJ390" s="22"/>
      <c r="DMK390" s="22"/>
      <c r="DML390" s="22"/>
      <c r="DMM390" s="22"/>
      <c r="DMN390" s="22"/>
      <c r="DMO390" s="22"/>
      <c r="DMP390" s="22"/>
      <c r="DMQ390" s="22"/>
      <c r="DMR390" s="22"/>
      <c r="DMS390" s="22"/>
      <c r="DMT390" s="22"/>
      <c r="DMU390" s="22"/>
      <c r="DMV390" s="22"/>
      <c r="DMW390" s="22"/>
      <c r="DMX390" s="22"/>
      <c r="DMY390" s="22"/>
      <c r="DMZ390" s="22"/>
      <c r="DNA390" s="22"/>
      <c r="DNB390" s="22"/>
      <c r="DNC390" s="22"/>
      <c r="DND390" s="22"/>
      <c r="DNE390" s="22"/>
      <c r="DNF390" s="22"/>
      <c r="DNG390" s="22"/>
      <c r="DNH390" s="22"/>
      <c r="DNI390" s="22"/>
      <c r="DNJ390" s="22"/>
      <c r="DNK390" s="22"/>
      <c r="DNL390" s="22"/>
      <c r="DNM390" s="22"/>
      <c r="DNN390" s="22"/>
      <c r="DNO390" s="22"/>
      <c r="DNP390" s="22"/>
      <c r="DNQ390" s="22"/>
      <c r="DNR390" s="22"/>
      <c r="DNS390" s="22"/>
      <c r="DNT390" s="22"/>
      <c r="DNU390" s="22"/>
      <c r="DNV390" s="22"/>
      <c r="DNW390" s="22"/>
      <c r="DNX390" s="22"/>
      <c r="DNY390" s="22"/>
      <c r="DNZ390" s="22"/>
      <c r="DOA390" s="22"/>
      <c r="DOB390" s="22"/>
      <c r="DOC390" s="22"/>
      <c r="DOD390" s="22"/>
      <c r="DOE390" s="22"/>
      <c r="DOF390" s="22"/>
      <c r="DOG390" s="22"/>
      <c r="DOH390" s="22"/>
      <c r="DOI390" s="22"/>
      <c r="DOJ390" s="22"/>
      <c r="DOK390" s="22"/>
      <c r="DOL390" s="22"/>
      <c r="DOM390" s="22"/>
      <c r="DON390" s="22"/>
      <c r="DOO390" s="22"/>
      <c r="DOP390" s="22"/>
      <c r="DOQ390" s="22"/>
      <c r="DOR390" s="22"/>
      <c r="DOS390" s="22"/>
      <c r="DOT390" s="22"/>
      <c r="DOU390" s="22"/>
      <c r="DOV390" s="22"/>
      <c r="DOW390" s="22"/>
      <c r="DOX390" s="22"/>
      <c r="DOY390" s="22"/>
      <c r="DOZ390" s="22"/>
      <c r="DPA390" s="22"/>
      <c r="DPB390" s="22"/>
      <c r="DPC390" s="22"/>
      <c r="DPD390" s="22"/>
      <c r="DPE390" s="22"/>
      <c r="DPF390" s="22"/>
      <c r="DPG390" s="22"/>
      <c r="DPH390" s="22"/>
      <c r="DPI390" s="22"/>
      <c r="DPJ390" s="22"/>
      <c r="DPK390" s="22"/>
      <c r="DPL390" s="22"/>
      <c r="DPM390" s="22"/>
      <c r="DPN390" s="22"/>
      <c r="DPO390" s="22"/>
      <c r="DPP390" s="22"/>
      <c r="DPQ390" s="22"/>
      <c r="DPR390" s="22"/>
      <c r="DPS390" s="22"/>
      <c r="DPT390" s="22"/>
      <c r="DPU390" s="22"/>
      <c r="DPV390" s="22"/>
      <c r="DPW390" s="22"/>
      <c r="DPX390" s="22"/>
      <c r="DPY390" s="22"/>
      <c r="DPZ390" s="22"/>
      <c r="DQA390" s="22"/>
      <c r="DQB390" s="22"/>
      <c r="DQC390" s="22"/>
      <c r="DQD390" s="22"/>
      <c r="DQE390" s="22"/>
      <c r="DQF390" s="22"/>
      <c r="DQG390" s="22"/>
      <c r="DQH390" s="22"/>
      <c r="DQI390" s="22"/>
      <c r="DQJ390" s="22"/>
      <c r="DQK390" s="22"/>
      <c r="DQL390" s="22"/>
      <c r="DQM390" s="22"/>
      <c r="DQN390" s="22"/>
      <c r="DQO390" s="22"/>
      <c r="DQP390" s="22"/>
      <c r="DQQ390" s="22"/>
      <c r="DQR390" s="22"/>
      <c r="DQS390" s="22"/>
      <c r="DQT390" s="22"/>
      <c r="DQU390" s="22"/>
      <c r="DQV390" s="22"/>
      <c r="DQW390" s="22"/>
      <c r="DQX390" s="22"/>
      <c r="DQY390" s="22"/>
      <c r="DQZ390" s="22"/>
      <c r="DRA390" s="22"/>
      <c r="DRB390" s="22"/>
      <c r="DRC390" s="22"/>
      <c r="DRD390" s="22"/>
      <c r="DRE390" s="22"/>
      <c r="DRF390" s="22"/>
      <c r="DRG390" s="22"/>
      <c r="DRH390" s="22"/>
      <c r="DRI390" s="22"/>
      <c r="DRJ390" s="22"/>
      <c r="DRK390" s="22"/>
      <c r="DRL390" s="22"/>
      <c r="DRM390" s="22"/>
      <c r="DRN390" s="22"/>
      <c r="DRO390" s="22"/>
      <c r="DRP390" s="22"/>
      <c r="DRQ390" s="22"/>
      <c r="DRR390" s="22"/>
      <c r="DRS390" s="22"/>
      <c r="DRT390" s="22"/>
      <c r="DRU390" s="22"/>
      <c r="DRV390" s="22"/>
      <c r="DRW390" s="22"/>
      <c r="DRX390" s="22"/>
      <c r="DRY390" s="22"/>
      <c r="DRZ390" s="22"/>
      <c r="DSA390" s="22"/>
      <c r="DSB390" s="22"/>
      <c r="DSC390" s="22"/>
      <c r="DSD390" s="22"/>
      <c r="DSE390" s="22"/>
      <c r="DSF390" s="22"/>
      <c r="DSG390" s="22"/>
      <c r="DSH390" s="22"/>
      <c r="DSI390" s="22"/>
      <c r="DSJ390" s="22"/>
      <c r="DSK390" s="22"/>
      <c r="DSL390" s="22"/>
      <c r="DSM390" s="22"/>
      <c r="DSN390" s="22"/>
      <c r="DSO390" s="22"/>
      <c r="DSP390" s="22"/>
      <c r="DSQ390" s="22"/>
      <c r="DSR390" s="22"/>
      <c r="DSS390" s="22"/>
      <c r="DST390" s="22"/>
      <c r="DSU390" s="22"/>
      <c r="DSV390" s="22"/>
      <c r="DSW390" s="22"/>
      <c r="DSX390" s="22"/>
      <c r="DSY390" s="22"/>
      <c r="DSZ390" s="22"/>
      <c r="DTA390" s="22"/>
      <c r="DTB390" s="22"/>
      <c r="DTC390" s="22"/>
      <c r="DTD390" s="22"/>
      <c r="DTE390" s="22"/>
      <c r="DTF390" s="22"/>
      <c r="DTG390" s="22"/>
      <c r="DTH390" s="22"/>
      <c r="DTI390" s="22"/>
      <c r="DTJ390" s="22"/>
      <c r="DTK390" s="22"/>
      <c r="DTL390" s="22"/>
      <c r="DTM390" s="22"/>
      <c r="DTN390" s="22"/>
      <c r="DTO390" s="22"/>
      <c r="DTP390" s="22"/>
      <c r="DTQ390" s="22"/>
      <c r="DTR390" s="22"/>
      <c r="DTS390" s="22"/>
      <c r="DTT390" s="22"/>
      <c r="DTU390" s="22"/>
      <c r="DTV390" s="22"/>
      <c r="DTW390" s="22"/>
      <c r="DTX390" s="22"/>
      <c r="DTY390" s="22"/>
      <c r="DTZ390" s="22"/>
      <c r="DUA390" s="22"/>
      <c r="DUB390" s="22"/>
      <c r="DUC390" s="22"/>
      <c r="DUD390" s="22"/>
      <c r="DUE390" s="22"/>
      <c r="DUF390" s="22"/>
      <c r="DUG390" s="22"/>
      <c r="DUH390" s="22"/>
      <c r="DUI390" s="22"/>
      <c r="DUJ390" s="22"/>
      <c r="DUK390" s="22"/>
      <c r="DUL390" s="22"/>
      <c r="DUM390" s="22"/>
      <c r="DUN390" s="22"/>
      <c r="DUO390" s="22"/>
      <c r="DUP390" s="22"/>
      <c r="DUQ390" s="22"/>
      <c r="DUR390" s="22"/>
      <c r="DUS390" s="22"/>
      <c r="DUT390" s="22"/>
      <c r="DUU390" s="22"/>
      <c r="DUV390" s="22"/>
      <c r="DUW390" s="22"/>
      <c r="DUX390" s="22"/>
      <c r="DUY390" s="22"/>
      <c r="DUZ390" s="22"/>
      <c r="DVA390" s="22"/>
      <c r="DVB390" s="22"/>
      <c r="DVC390" s="22"/>
      <c r="DVD390" s="22"/>
      <c r="DVE390" s="22"/>
      <c r="DVF390" s="22"/>
      <c r="DVG390" s="22"/>
      <c r="DVH390" s="22"/>
      <c r="DVI390" s="22"/>
      <c r="DVJ390" s="22"/>
      <c r="DVK390" s="22"/>
      <c r="DVL390" s="22"/>
      <c r="DVM390" s="22"/>
      <c r="DVN390" s="22"/>
      <c r="DVO390" s="22"/>
      <c r="DVP390" s="22"/>
      <c r="DVQ390" s="22"/>
      <c r="DVR390" s="22"/>
      <c r="DVS390" s="22"/>
      <c r="DVT390" s="22"/>
      <c r="DVU390" s="22"/>
      <c r="DVV390" s="22"/>
      <c r="DVW390" s="22"/>
      <c r="DVX390" s="22"/>
      <c r="DVY390" s="22"/>
      <c r="DVZ390" s="22"/>
      <c r="DWA390" s="22"/>
      <c r="DWB390" s="22"/>
      <c r="DWC390" s="22"/>
      <c r="DWD390" s="22"/>
      <c r="DWE390" s="22"/>
      <c r="DWF390" s="22"/>
      <c r="DWG390" s="22"/>
      <c r="DWH390" s="22"/>
      <c r="DWI390" s="22"/>
      <c r="DWJ390" s="22"/>
      <c r="DWK390" s="22"/>
      <c r="DWL390" s="22"/>
      <c r="DWM390" s="22"/>
      <c r="DWN390" s="22"/>
      <c r="DWO390" s="22"/>
      <c r="DWP390" s="22"/>
      <c r="DWQ390" s="22"/>
      <c r="DWR390" s="22"/>
      <c r="DWS390" s="22"/>
      <c r="DWT390" s="22"/>
      <c r="DWU390" s="22"/>
      <c r="DWV390" s="22"/>
      <c r="DWW390" s="22"/>
      <c r="DWX390" s="22"/>
      <c r="DWY390" s="22"/>
      <c r="DWZ390" s="22"/>
      <c r="DXA390" s="22"/>
      <c r="DXB390" s="22"/>
      <c r="DXC390" s="22"/>
      <c r="DXD390" s="22"/>
      <c r="DXE390" s="22"/>
      <c r="DXF390" s="22"/>
      <c r="DXG390" s="22"/>
      <c r="DXH390" s="22"/>
      <c r="DXI390" s="22"/>
      <c r="DXJ390" s="22"/>
      <c r="DXK390" s="22"/>
      <c r="DXL390" s="22"/>
      <c r="DXM390" s="22"/>
      <c r="DXN390" s="22"/>
      <c r="DXO390" s="22"/>
      <c r="DXP390" s="22"/>
      <c r="DXQ390" s="22"/>
      <c r="DXR390" s="22"/>
      <c r="DXS390" s="22"/>
      <c r="DXT390" s="22"/>
      <c r="DXU390" s="22"/>
      <c r="DXV390" s="22"/>
      <c r="DXW390" s="22"/>
      <c r="DXX390" s="22"/>
      <c r="DXY390" s="22"/>
      <c r="DXZ390" s="22"/>
      <c r="DYA390" s="22"/>
      <c r="DYB390" s="22"/>
      <c r="DYC390" s="22"/>
      <c r="DYD390" s="22"/>
      <c r="DYE390" s="22"/>
      <c r="DYF390" s="22"/>
      <c r="DYG390" s="22"/>
      <c r="DYH390" s="22"/>
      <c r="DYI390" s="22"/>
      <c r="DYJ390" s="22"/>
      <c r="DYK390" s="22"/>
      <c r="DYL390" s="22"/>
      <c r="DYM390" s="22"/>
      <c r="DYN390" s="22"/>
      <c r="DYO390" s="22"/>
      <c r="DYP390" s="22"/>
      <c r="DYQ390" s="22"/>
      <c r="DYR390" s="22"/>
      <c r="DYS390" s="22"/>
      <c r="DYT390" s="22"/>
      <c r="DYU390" s="22"/>
      <c r="DYV390" s="22"/>
      <c r="DYW390" s="22"/>
      <c r="DYX390" s="22"/>
      <c r="DYY390" s="22"/>
      <c r="DYZ390" s="22"/>
      <c r="DZA390" s="22"/>
      <c r="DZB390" s="22"/>
      <c r="DZC390" s="22"/>
      <c r="DZD390" s="22"/>
      <c r="DZE390" s="22"/>
      <c r="DZF390" s="22"/>
      <c r="DZG390" s="22"/>
      <c r="DZH390" s="22"/>
      <c r="DZI390" s="22"/>
      <c r="DZJ390" s="22"/>
      <c r="DZK390" s="22"/>
      <c r="DZL390" s="22"/>
      <c r="DZM390" s="22"/>
      <c r="DZN390" s="22"/>
      <c r="DZO390" s="22"/>
      <c r="DZP390" s="22"/>
      <c r="DZQ390" s="22"/>
      <c r="DZR390" s="22"/>
      <c r="DZS390" s="22"/>
      <c r="DZT390" s="22"/>
      <c r="DZU390" s="22"/>
      <c r="DZV390" s="22"/>
      <c r="DZW390" s="22"/>
      <c r="DZX390" s="22"/>
      <c r="DZY390" s="22"/>
      <c r="DZZ390" s="22"/>
      <c r="EAA390" s="22"/>
      <c r="EAB390" s="22"/>
      <c r="EAC390" s="22"/>
      <c r="EAD390" s="22"/>
      <c r="EAE390" s="22"/>
      <c r="EAF390" s="22"/>
      <c r="EAG390" s="22"/>
      <c r="EAH390" s="22"/>
      <c r="EAI390" s="22"/>
      <c r="EAJ390" s="22"/>
      <c r="EAK390" s="22"/>
      <c r="EAL390" s="22"/>
      <c r="EAM390" s="22"/>
      <c r="EAN390" s="22"/>
      <c r="EAO390" s="22"/>
      <c r="EAP390" s="22"/>
      <c r="EAQ390" s="22"/>
      <c r="EAR390" s="22"/>
      <c r="EAS390" s="22"/>
      <c r="EAT390" s="22"/>
      <c r="EAU390" s="22"/>
      <c r="EAV390" s="22"/>
      <c r="EAW390" s="22"/>
      <c r="EAX390" s="22"/>
      <c r="EAY390" s="22"/>
      <c r="EAZ390" s="22"/>
      <c r="EBA390" s="22"/>
      <c r="EBB390" s="22"/>
      <c r="EBC390" s="22"/>
      <c r="EBD390" s="22"/>
      <c r="EBE390" s="22"/>
      <c r="EBF390" s="22"/>
      <c r="EBG390" s="22"/>
      <c r="EBH390" s="22"/>
      <c r="EBI390" s="22"/>
      <c r="EBJ390" s="22"/>
      <c r="EBK390" s="22"/>
      <c r="EBL390" s="22"/>
      <c r="EBM390" s="22"/>
      <c r="EBN390" s="22"/>
      <c r="EBO390" s="22"/>
      <c r="EBP390" s="22"/>
      <c r="EBQ390" s="22"/>
      <c r="EBR390" s="22"/>
      <c r="EBS390" s="22"/>
      <c r="EBT390" s="22"/>
      <c r="EBU390" s="22"/>
      <c r="EBV390" s="22"/>
      <c r="EBW390" s="22"/>
      <c r="EBX390" s="22"/>
      <c r="EBY390" s="22"/>
      <c r="EBZ390" s="22"/>
      <c r="ECA390" s="22"/>
      <c r="ECB390" s="22"/>
      <c r="ECC390" s="22"/>
      <c r="ECD390" s="22"/>
      <c r="ECE390" s="22"/>
      <c r="ECF390" s="22"/>
      <c r="ECG390" s="22"/>
      <c r="ECH390" s="22"/>
      <c r="ECI390" s="22"/>
      <c r="ECJ390" s="22"/>
      <c r="ECK390" s="22"/>
      <c r="ECL390" s="22"/>
      <c r="ECM390" s="22"/>
      <c r="ECN390" s="22"/>
      <c r="ECO390" s="22"/>
      <c r="ECP390" s="22"/>
      <c r="ECQ390" s="22"/>
      <c r="ECR390" s="22"/>
      <c r="ECS390" s="22"/>
      <c r="ECT390" s="22"/>
      <c r="ECU390" s="22"/>
      <c r="ECV390" s="22"/>
      <c r="ECW390" s="22"/>
      <c r="ECX390" s="22"/>
      <c r="ECY390" s="22"/>
      <c r="ECZ390" s="22"/>
      <c r="EDA390" s="22"/>
      <c r="EDB390" s="22"/>
      <c r="EDC390" s="22"/>
      <c r="EDD390" s="22"/>
      <c r="EDE390" s="22"/>
      <c r="EDF390" s="22"/>
      <c r="EDG390" s="22"/>
      <c r="EDH390" s="22"/>
      <c r="EDI390" s="22"/>
      <c r="EDJ390" s="22"/>
      <c r="EDK390" s="22"/>
      <c r="EDL390" s="22"/>
      <c r="EDM390" s="22"/>
      <c r="EDN390" s="22"/>
      <c r="EDO390" s="22"/>
      <c r="EDP390" s="22"/>
      <c r="EDQ390" s="22"/>
      <c r="EDR390" s="22"/>
      <c r="EDS390" s="22"/>
      <c r="EDT390" s="22"/>
      <c r="EDU390" s="22"/>
      <c r="EDV390" s="22"/>
      <c r="EDW390" s="22"/>
      <c r="EDX390" s="22"/>
      <c r="EDY390" s="22"/>
      <c r="EDZ390" s="22"/>
      <c r="EEA390" s="22"/>
      <c r="EEB390" s="22"/>
      <c r="EEC390" s="22"/>
      <c r="EED390" s="22"/>
      <c r="EEE390" s="22"/>
      <c r="EEF390" s="22"/>
      <c r="EEG390" s="22"/>
      <c r="EEH390" s="22"/>
      <c r="EEI390" s="22"/>
      <c r="EEJ390" s="22"/>
      <c r="EEK390" s="22"/>
      <c r="EEL390" s="22"/>
      <c r="EEM390" s="22"/>
      <c r="EEN390" s="22"/>
      <c r="EEO390" s="22"/>
      <c r="EEP390" s="22"/>
      <c r="EEQ390" s="22"/>
      <c r="EER390" s="22"/>
      <c r="EES390" s="22"/>
      <c r="EET390" s="22"/>
      <c r="EEU390" s="22"/>
      <c r="EEV390" s="22"/>
      <c r="EEW390" s="22"/>
      <c r="EEX390" s="22"/>
      <c r="EEY390" s="22"/>
      <c r="EEZ390" s="22"/>
      <c r="EFA390" s="22"/>
      <c r="EFB390" s="22"/>
      <c r="EFC390" s="22"/>
      <c r="EFD390" s="22"/>
      <c r="EFE390" s="22"/>
      <c r="EFF390" s="22"/>
      <c r="EFG390" s="22"/>
      <c r="EFH390" s="22"/>
      <c r="EFI390" s="22"/>
      <c r="EFJ390" s="22"/>
      <c r="EFK390" s="22"/>
      <c r="EFL390" s="22"/>
      <c r="EFM390" s="22"/>
      <c r="EFN390" s="22"/>
      <c r="EFO390" s="22"/>
      <c r="EFP390" s="22"/>
      <c r="EFQ390" s="22"/>
      <c r="EFR390" s="22"/>
      <c r="EFS390" s="22"/>
      <c r="EFT390" s="22"/>
      <c r="EFU390" s="22"/>
      <c r="EFV390" s="22"/>
      <c r="EFW390" s="22"/>
      <c r="EFX390" s="22"/>
      <c r="EFY390" s="22"/>
      <c r="EFZ390" s="22"/>
      <c r="EGA390" s="22"/>
      <c r="EGB390" s="22"/>
      <c r="EGC390" s="22"/>
      <c r="EGD390" s="22"/>
      <c r="EGE390" s="22"/>
      <c r="EGF390" s="22"/>
      <c r="EGG390" s="22"/>
      <c r="EGH390" s="22"/>
      <c r="EGI390" s="22"/>
      <c r="EGJ390" s="22"/>
      <c r="EGK390" s="22"/>
      <c r="EGL390" s="22"/>
      <c r="EGM390" s="22"/>
      <c r="EGN390" s="22"/>
      <c r="EGO390" s="22"/>
      <c r="EGP390" s="22"/>
      <c r="EGQ390" s="22"/>
      <c r="EGR390" s="22"/>
      <c r="EGS390" s="22"/>
      <c r="EGT390" s="22"/>
      <c r="EGU390" s="22"/>
      <c r="EGV390" s="22"/>
      <c r="EGW390" s="22"/>
      <c r="EGX390" s="22"/>
      <c r="EGY390" s="22"/>
      <c r="EGZ390" s="22"/>
      <c r="EHA390" s="22"/>
      <c r="EHB390" s="22"/>
      <c r="EHC390" s="22"/>
      <c r="EHD390" s="22"/>
      <c r="EHE390" s="22"/>
      <c r="EHF390" s="22"/>
      <c r="EHG390" s="22"/>
      <c r="EHH390" s="22"/>
      <c r="EHI390" s="22"/>
      <c r="EHJ390" s="22"/>
      <c r="EHK390" s="22"/>
      <c r="EHL390" s="22"/>
      <c r="EHM390" s="22"/>
      <c r="EHN390" s="22"/>
      <c r="EHO390" s="22"/>
      <c r="EHP390" s="22"/>
      <c r="EHQ390" s="22"/>
      <c r="EHR390" s="22"/>
      <c r="EHS390" s="22"/>
      <c r="EHT390" s="22"/>
      <c r="EHU390" s="22"/>
      <c r="EHV390" s="22"/>
      <c r="EHW390" s="22"/>
      <c r="EHX390" s="22"/>
      <c r="EHY390" s="22"/>
      <c r="EHZ390" s="22"/>
      <c r="EIA390" s="22"/>
      <c r="EIB390" s="22"/>
      <c r="EIC390" s="22"/>
      <c r="EID390" s="22"/>
      <c r="EIE390" s="22"/>
      <c r="EIF390" s="22"/>
      <c r="EIG390" s="22"/>
      <c r="EIH390" s="22"/>
      <c r="EII390" s="22"/>
      <c r="EIJ390" s="22"/>
      <c r="EIK390" s="22"/>
      <c r="EIL390" s="22"/>
      <c r="EIM390" s="22"/>
      <c r="EIN390" s="22"/>
      <c r="EIO390" s="22"/>
      <c r="EIP390" s="22"/>
      <c r="EIQ390" s="22"/>
      <c r="EIR390" s="22"/>
      <c r="EIS390" s="22"/>
      <c r="EIT390" s="22"/>
      <c r="EIU390" s="22"/>
      <c r="EIV390" s="22"/>
      <c r="EIW390" s="22"/>
      <c r="EIX390" s="22"/>
      <c r="EIY390" s="22"/>
      <c r="EIZ390" s="22"/>
      <c r="EJA390" s="22"/>
      <c r="EJB390" s="22"/>
      <c r="EJC390" s="22"/>
      <c r="EJD390" s="22"/>
      <c r="EJE390" s="22"/>
      <c r="EJF390" s="22"/>
      <c r="EJG390" s="22"/>
      <c r="EJH390" s="22"/>
      <c r="EJI390" s="22"/>
      <c r="EJJ390" s="22"/>
      <c r="EJK390" s="22"/>
      <c r="EJL390" s="22"/>
      <c r="EJM390" s="22"/>
      <c r="EJN390" s="22"/>
      <c r="EJO390" s="22"/>
      <c r="EJP390" s="22"/>
      <c r="EJQ390" s="22"/>
      <c r="EJR390" s="22"/>
      <c r="EJS390" s="22"/>
      <c r="EJT390" s="22"/>
      <c r="EJU390" s="22"/>
      <c r="EJV390" s="22"/>
      <c r="EJW390" s="22"/>
      <c r="EJX390" s="22"/>
      <c r="EJY390" s="22"/>
      <c r="EJZ390" s="22"/>
      <c r="EKA390" s="22"/>
      <c r="EKB390" s="22"/>
      <c r="EKC390" s="22"/>
      <c r="EKD390" s="22"/>
      <c r="EKE390" s="22"/>
      <c r="EKF390" s="22"/>
      <c r="EKG390" s="22"/>
      <c r="EKH390" s="22"/>
      <c r="EKI390" s="22"/>
      <c r="EKJ390" s="22"/>
      <c r="EKK390" s="22"/>
      <c r="EKL390" s="22"/>
      <c r="EKM390" s="22"/>
      <c r="EKN390" s="22"/>
      <c r="EKO390" s="22"/>
      <c r="EKP390" s="22"/>
      <c r="EKQ390" s="22"/>
      <c r="EKR390" s="22"/>
      <c r="EKS390" s="22"/>
      <c r="EKT390" s="22"/>
      <c r="EKU390" s="22"/>
      <c r="EKV390" s="22"/>
      <c r="EKW390" s="22"/>
      <c r="EKX390" s="22"/>
      <c r="EKY390" s="22"/>
      <c r="EKZ390" s="22"/>
      <c r="ELA390" s="22"/>
      <c r="ELB390" s="22"/>
      <c r="ELC390" s="22"/>
      <c r="ELD390" s="22"/>
      <c r="ELE390" s="22"/>
      <c r="ELF390" s="22"/>
      <c r="ELG390" s="22"/>
      <c r="ELH390" s="22"/>
      <c r="ELI390" s="22"/>
      <c r="ELJ390" s="22"/>
      <c r="ELK390" s="22"/>
      <c r="ELL390" s="22"/>
      <c r="ELM390" s="22"/>
      <c r="ELN390" s="22"/>
      <c r="ELO390" s="22"/>
      <c r="ELP390" s="22"/>
      <c r="ELQ390" s="22"/>
      <c r="ELR390" s="22"/>
      <c r="ELS390" s="22"/>
      <c r="ELT390" s="22"/>
      <c r="ELU390" s="22"/>
      <c r="ELV390" s="22"/>
      <c r="ELW390" s="22"/>
      <c r="ELX390" s="22"/>
      <c r="ELY390" s="22"/>
      <c r="ELZ390" s="22"/>
      <c r="EMA390" s="22"/>
      <c r="EMB390" s="22"/>
      <c r="EMC390" s="22"/>
      <c r="EMD390" s="22"/>
      <c r="EME390" s="22"/>
      <c r="EMF390" s="22"/>
      <c r="EMG390" s="22"/>
      <c r="EMH390" s="22"/>
      <c r="EMI390" s="22"/>
      <c r="EMJ390" s="22"/>
      <c r="EMK390" s="22"/>
      <c r="EML390" s="22"/>
      <c r="EMM390" s="22"/>
      <c r="EMN390" s="22"/>
      <c r="EMO390" s="22"/>
      <c r="EMP390" s="22"/>
      <c r="EMQ390" s="22"/>
      <c r="EMR390" s="22"/>
      <c r="EMS390" s="22"/>
      <c r="EMT390" s="22"/>
      <c r="EMU390" s="22"/>
      <c r="EMV390" s="22"/>
      <c r="EMW390" s="22"/>
      <c r="EMX390" s="22"/>
      <c r="EMY390" s="22"/>
      <c r="EMZ390" s="22"/>
      <c r="ENA390" s="22"/>
      <c r="ENB390" s="22"/>
      <c r="ENC390" s="22"/>
      <c r="END390" s="22"/>
      <c r="ENE390" s="22"/>
      <c r="ENF390" s="22"/>
      <c r="ENG390" s="22"/>
      <c r="ENH390" s="22"/>
      <c r="ENI390" s="22"/>
      <c r="ENJ390" s="22"/>
      <c r="ENK390" s="22"/>
      <c r="ENL390" s="22"/>
      <c r="ENM390" s="22"/>
      <c r="ENN390" s="22"/>
      <c r="ENO390" s="22"/>
      <c r="ENP390" s="22"/>
      <c r="ENQ390" s="22"/>
      <c r="ENR390" s="22"/>
      <c r="ENS390" s="22"/>
      <c r="ENT390" s="22"/>
      <c r="ENU390" s="22"/>
      <c r="ENV390" s="22"/>
      <c r="ENW390" s="22"/>
      <c r="ENX390" s="22"/>
      <c r="ENY390" s="22"/>
      <c r="ENZ390" s="22"/>
      <c r="EOA390" s="22"/>
      <c r="EOB390" s="22"/>
      <c r="EOC390" s="22"/>
      <c r="EOD390" s="22"/>
      <c r="EOE390" s="22"/>
      <c r="EOF390" s="22"/>
      <c r="EOG390" s="22"/>
      <c r="EOH390" s="22"/>
      <c r="EOI390" s="22"/>
      <c r="EOJ390" s="22"/>
      <c r="EOK390" s="22"/>
      <c r="EOL390" s="22"/>
      <c r="EOM390" s="22"/>
      <c r="EON390" s="22"/>
      <c r="EOO390" s="22"/>
      <c r="EOP390" s="22"/>
      <c r="EOQ390" s="22"/>
      <c r="EOR390" s="22"/>
      <c r="EOS390" s="22"/>
      <c r="EOT390" s="22"/>
      <c r="EOU390" s="22"/>
      <c r="EOV390" s="22"/>
      <c r="EOW390" s="22"/>
      <c r="EOX390" s="22"/>
      <c r="EOY390" s="22"/>
      <c r="EOZ390" s="22"/>
      <c r="EPA390" s="22"/>
      <c r="EPB390" s="22"/>
      <c r="EPC390" s="22"/>
      <c r="EPD390" s="22"/>
      <c r="EPE390" s="22"/>
      <c r="EPF390" s="22"/>
      <c r="EPG390" s="22"/>
      <c r="EPH390" s="22"/>
      <c r="EPI390" s="22"/>
      <c r="EPJ390" s="22"/>
      <c r="EPK390" s="22"/>
      <c r="EPL390" s="22"/>
      <c r="EPM390" s="22"/>
      <c r="EPN390" s="22"/>
      <c r="EPO390" s="22"/>
      <c r="EPP390" s="22"/>
      <c r="EPQ390" s="22"/>
      <c r="EPR390" s="22"/>
      <c r="EPS390" s="22"/>
      <c r="EPT390" s="22"/>
      <c r="EPU390" s="22"/>
      <c r="EPV390" s="22"/>
      <c r="EPW390" s="22"/>
      <c r="EPX390" s="22"/>
      <c r="EPY390" s="22"/>
      <c r="EPZ390" s="22"/>
      <c r="EQA390" s="22"/>
      <c r="EQB390" s="22"/>
      <c r="EQC390" s="22"/>
      <c r="EQD390" s="22"/>
      <c r="EQE390" s="22"/>
      <c r="EQF390" s="22"/>
      <c r="EQG390" s="22"/>
      <c r="EQH390" s="22"/>
      <c r="EQI390" s="22"/>
      <c r="EQJ390" s="22"/>
      <c r="EQK390" s="22"/>
      <c r="EQL390" s="22"/>
      <c r="EQM390" s="22"/>
      <c r="EQN390" s="22"/>
      <c r="EQO390" s="22"/>
      <c r="EQP390" s="22"/>
      <c r="EQQ390" s="22"/>
      <c r="EQR390" s="22"/>
      <c r="EQS390" s="22"/>
      <c r="EQT390" s="22"/>
      <c r="EQU390" s="22"/>
      <c r="EQV390" s="22"/>
      <c r="EQW390" s="22"/>
      <c r="EQX390" s="22"/>
      <c r="EQY390" s="22"/>
      <c r="EQZ390" s="22"/>
      <c r="ERA390" s="22"/>
      <c r="ERB390" s="22"/>
      <c r="ERC390" s="22"/>
      <c r="ERD390" s="22"/>
      <c r="ERE390" s="22"/>
      <c r="ERF390" s="22"/>
      <c r="ERG390" s="22"/>
      <c r="ERH390" s="22"/>
      <c r="ERI390" s="22"/>
      <c r="ERJ390" s="22"/>
      <c r="ERK390" s="22"/>
      <c r="ERL390" s="22"/>
      <c r="ERM390" s="22"/>
      <c r="ERN390" s="22"/>
      <c r="ERO390" s="22"/>
      <c r="ERP390" s="22"/>
      <c r="ERQ390" s="22"/>
      <c r="ERR390" s="22"/>
      <c r="ERS390" s="22"/>
      <c r="ERT390" s="22"/>
      <c r="ERU390" s="22"/>
      <c r="ERV390" s="22"/>
      <c r="ERW390" s="22"/>
      <c r="ERX390" s="22"/>
      <c r="ERY390" s="22"/>
      <c r="ERZ390" s="22"/>
      <c r="ESA390" s="22"/>
      <c r="ESB390" s="22"/>
      <c r="ESC390" s="22"/>
      <c r="ESD390" s="22"/>
      <c r="ESE390" s="22"/>
      <c r="ESF390" s="22"/>
      <c r="ESG390" s="22"/>
      <c r="ESH390" s="22"/>
      <c r="ESI390" s="22"/>
      <c r="ESJ390" s="22"/>
      <c r="ESK390" s="22"/>
      <c r="ESL390" s="22"/>
      <c r="ESM390" s="22"/>
      <c r="ESN390" s="22"/>
      <c r="ESO390" s="22"/>
      <c r="ESP390" s="22"/>
      <c r="ESQ390" s="22"/>
      <c r="ESR390" s="22"/>
      <c r="ESS390" s="22"/>
      <c r="EST390" s="22"/>
      <c r="ESU390" s="22"/>
      <c r="ESV390" s="22"/>
      <c r="ESW390" s="22"/>
      <c r="ESX390" s="22"/>
      <c r="ESY390" s="22"/>
      <c r="ESZ390" s="22"/>
      <c r="ETA390" s="22"/>
      <c r="ETB390" s="22"/>
      <c r="ETC390" s="22"/>
      <c r="ETD390" s="22"/>
      <c r="ETE390" s="22"/>
      <c r="ETF390" s="22"/>
      <c r="ETG390" s="22"/>
      <c r="ETH390" s="22"/>
      <c r="ETI390" s="22"/>
      <c r="ETJ390" s="22"/>
      <c r="ETK390" s="22"/>
      <c r="ETL390" s="22"/>
      <c r="ETM390" s="22"/>
      <c r="ETN390" s="22"/>
      <c r="ETO390" s="22"/>
      <c r="ETP390" s="22"/>
      <c r="ETQ390" s="22"/>
      <c r="ETR390" s="22"/>
      <c r="ETS390" s="22"/>
      <c r="ETT390" s="22"/>
      <c r="ETU390" s="22"/>
      <c r="ETV390" s="22"/>
      <c r="ETW390" s="22"/>
      <c r="ETX390" s="22"/>
      <c r="ETY390" s="22"/>
      <c r="ETZ390" s="22"/>
      <c r="EUA390" s="22"/>
      <c r="EUB390" s="22"/>
      <c r="EUC390" s="22"/>
      <c r="EUD390" s="22"/>
      <c r="EUE390" s="22"/>
      <c r="EUF390" s="22"/>
      <c r="EUG390" s="22"/>
      <c r="EUH390" s="22"/>
      <c r="EUI390" s="22"/>
      <c r="EUJ390" s="22"/>
      <c r="EUK390" s="22"/>
      <c r="EUL390" s="22"/>
      <c r="EUM390" s="22"/>
      <c r="EUN390" s="22"/>
      <c r="EUO390" s="22"/>
      <c r="EUP390" s="22"/>
      <c r="EUQ390" s="22"/>
      <c r="EUR390" s="22"/>
      <c r="EUS390" s="22"/>
      <c r="EUT390" s="22"/>
      <c r="EUU390" s="22"/>
      <c r="EUV390" s="22"/>
      <c r="EUW390" s="22"/>
      <c r="EUX390" s="22"/>
      <c r="EUY390" s="22"/>
      <c r="EUZ390" s="22"/>
      <c r="EVA390" s="22"/>
      <c r="EVB390" s="22"/>
      <c r="EVC390" s="22"/>
      <c r="EVD390" s="22"/>
      <c r="EVE390" s="22"/>
      <c r="EVF390" s="22"/>
      <c r="EVG390" s="22"/>
      <c r="EVH390" s="22"/>
      <c r="EVI390" s="22"/>
      <c r="EVJ390" s="22"/>
      <c r="EVK390" s="22"/>
      <c r="EVL390" s="22"/>
      <c r="EVM390" s="22"/>
      <c r="EVN390" s="22"/>
      <c r="EVO390" s="22"/>
      <c r="EVP390" s="22"/>
      <c r="EVQ390" s="22"/>
      <c r="EVR390" s="22"/>
      <c r="EVS390" s="22"/>
      <c r="EVT390" s="22"/>
      <c r="EVU390" s="22"/>
      <c r="EVV390" s="22"/>
      <c r="EVW390" s="22"/>
      <c r="EVX390" s="22"/>
      <c r="EVY390" s="22"/>
      <c r="EVZ390" s="22"/>
      <c r="EWA390" s="22"/>
      <c r="EWB390" s="22"/>
      <c r="EWC390" s="22"/>
      <c r="EWD390" s="22"/>
      <c r="EWE390" s="22"/>
      <c r="EWF390" s="22"/>
      <c r="EWG390" s="22"/>
      <c r="EWH390" s="22"/>
      <c r="EWI390" s="22"/>
      <c r="EWJ390" s="22"/>
      <c r="EWK390" s="22"/>
      <c r="EWL390" s="22"/>
      <c r="EWM390" s="22"/>
      <c r="EWN390" s="22"/>
      <c r="EWO390" s="22"/>
      <c r="EWP390" s="22"/>
      <c r="EWQ390" s="22"/>
      <c r="EWR390" s="22"/>
      <c r="EWS390" s="22"/>
      <c r="EWT390" s="22"/>
      <c r="EWU390" s="22"/>
      <c r="EWV390" s="22"/>
      <c r="EWW390" s="22"/>
      <c r="EWX390" s="22"/>
      <c r="EWY390" s="22"/>
      <c r="EWZ390" s="22"/>
      <c r="EXA390" s="22"/>
      <c r="EXB390" s="22"/>
      <c r="EXC390" s="22"/>
      <c r="EXD390" s="22"/>
      <c r="EXE390" s="22"/>
      <c r="EXF390" s="22"/>
      <c r="EXG390" s="22"/>
      <c r="EXH390" s="22"/>
      <c r="EXI390" s="22"/>
      <c r="EXJ390" s="22"/>
      <c r="EXK390" s="22"/>
      <c r="EXL390" s="22"/>
      <c r="EXM390" s="22"/>
      <c r="EXN390" s="22"/>
      <c r="EXO390" s="22"/>
      <c r="EXP390" s="22"/>
      <c r="EXQ390" s="22"/>
      <c r="EXR390" s="22"/>
      <c r="EXS390" s="22"/>
      <c r="EXT390" s="22"/>
      <c r="EXU390" s="22"/>
      <c r="EXV390" s="22"/>
      <c r="EXW390" s="22"/>
      <c r="EXX390" s="22"/>
      <c r="EXY390" s="22"/>
      <c r="EXZ390" s="22"/>
      <c r="EYA390" s="22"/>
      <c r="EYB390" s="22"/>
      <c r="EYC390" s="22"/>
      <c r="EYD390" s="22"/>
      <c r="EYE390" s="22"/>
      <c r="EYF390" s="22"/>
      <c r="EYG390" s="22"/>
      <c r="EYH390" s="22"/>
      <c r="EYI390" s="22"/>
      <c r="EYJ390" s="22"/>
      <c r="EYK390" s="22"/>
      <c r="EYL390" s="22"/>
      <c r="EYM390" s="22"/>
      <c r="EYN390" s="22"/>
      <c r="EYO390" s="22"/>
      <c r="EYP390" s="22"/>
      <c r="EYQ390" s="22"/>
      <c r="EYR390" s="22"/>
      <c r="EYS390" s="22"/>
      <c r="EYT390" s="22"/>
      <c r="EYU390" s="22"/>
      <c r="EYV390" s="22"/>
      <c r="EYW390" s="22"/>
      <c r="EYX390" s="22"/>
      <c r="EYY390" s="22"/>
      <c r="EYZ390" s="22"/>
      <c r="EZA390" s="22"/>
      <c r="EZB390" s="22"/>
      <c r="EZC390" s="22"/>
      <c r="EZD390" s="22"/>
      <c r="EZE390" s="22"/>
      <c r="EZF390" s="22"/>
      <c r="EZG390" s="22"/>
      <c r="EZH390" s="22"/>
      <c r="EZI390" s="22"/>
      <c r="EZJ390" s="22"/>
      <c r="EZK390" s="22"/>
      <c r="EZL390" s="22"/>
      <c r="EZM390" s="22"/>
      <c r="EZN390" s="22"/>
      <c r="EZO390" s="22"/>
      <c r="EZP390" s="22"/>
      <c r="EZQ390" s="22"/>
      <c r="EZR390" s="22"/>
      <c r="EZS390" s="22"/>
      <c r="EZT390" s="22"/>
      <c r="EZU390" s="22"/>
      <c r="EZV390" s="22"/>
      <c r="EZW390" s="22"/>
      <c r="EZX390" s="22"/>
      <c r="EZY390" s="22"/>
      <c r="EZZ390" s="22"/>
      <c r="FAA390" s="22"/>
      <c r="FAB390" s="22"/>
      <c r="FAC390" s="22"/>
      <c r="FAD390" s="22"/>
      <c r="FAE390" s="22"/>
      <c r="FAF390" s="22"/>
      <c r="FAG390" s="22"/>
      <c r="FAH390" s="22"/>
      <c r="FAI390" s="22"/>
      <c r="FAJ390" s="22"/>
      <c r="FAK390" s="22"/>
      <c r="FAL390" s="22"/>
      <c r="FAM390" s="22"/>
      <c r="FAN390" s="22"/>
      <c r="FAO390" s="22"/>
      <c r="FAP390" s="22"/>
      <c r="FAQ390" s="22"/>
      <c r="FAR390" s="22"/>
      <c r="FAS390" s="22"/>
      <c r="FAT390" s="22"/>
      <c r="FAU390" s="22"/>
      <c r="FAV390" s="22"/>
      <c r="FAW390" s="22"/>
      <c r="FAX390" s="22"/>
      <c r="FAY390" s="22"/>
      <c r="FAZ390" s="22"/>
      <c r="FBA390" s="22"/>
      <c r="FBB390" s="22"/>
      <c r="FBC390" s="22"/>
      <c r="FBD390" s="22"/>
      <c r="FBE390" s="22"/>
      <c r="FBF390" s="22"/>
      <c r="FBG390" s="22"/>
      <c r="FBH390" s="22"/>
      <c r="FBI390" s="22"/>
      <c r="FBJ390" s="22"/>
      <c r="FBK390" s="22"/>
      <c r="FBL390" s="22"/>
      <c r="FBM390" s="22"/>
      <c r="FBN390" s="22"/>
      <c r="FBO390" s="22"/>
      <c r="FBP390" s="22"/>
      <c r="FBQ390" s="22"/>
      <c r="FBR390" s="22"/>
      <c r="FBS390" s="22"/>
      <c r="FBT390" s="22"/>
      <c r="FBU390" s="22"/>
      <c r="FBV390" s="22"/>
      <c r="FBW390" s="22"/>
      <c r="FBX390" s="22"/>
      <c r="FBY390" s="22"/>
      <c r="FBZ390" s="22"/>
      <c r="FCA390" s="22"/>
      <c r="FCB390" s="22"/>
      <c r="FCC390" s="22"/>
      <c r="FCD390" s="22"/>
      <c r="FCE390" s="22"/>
      <c r="FCF390" s="22"/>
      <c r="FCG390" s="22"/>
      <c r="FCH390" s="22"/>
      <c r="FCI390" s="22"/>
      <c r="FCJ390" s="22"/>
      <c r="FCK390" s="22"/>
      <c r="FCL390" s="22"/>
      <c r="FCM390" s="22"/>
      <c r="FCN390" s="22"/>
      <c r="FCO390" s="22"/>
      <c r="FCP390" s="22"/>
      <c r="FCQ390" s="22"/>
      <c r="FCR390" s="22"/>
      <c r="FCS390" s="22"/>
      <c r="FCT390" s="22"/>
      <c r="FCU390" s="22"/>
      <c r="FCV390" s="22"/>
      <c r="FCW390" s="22"/>
      <c r="FCX390" s="22"/>
      <c r="FCY390" s="22"/>
      <c r="FCZ390" s="22"/>
      <c r="FDA390" s="22"/>
      <c r="FDB390" s="22"/>
      <c r="FDC390" s="22"/>
      <c r="FDD390" s="22"/>
      <c r="FDE390" s="22"/>
      <c r="FDF390" s="22"/>
      <c r="FDG390" s="22"/>
      <c r="FDH390" s="22"/>
      <c r="FDI390" s="22"/>
      <c r="FDJ390" s="22"/>
      <c r="FDK390" s="22"/>
      <c r="FDL390" s="22"/>
      <c r="FDM390" s="22"/>
      <c r="FDN390" s="22"/>
      <c r="FDO390" s="22"/>
      <c r="FDP390" s="22"/>
      <c r="FDQ390" s="22"/>
      <c r="FDR390" s="22"/>
      <c r="FDS390" s="22"/>
      <c r="FDT390" s="22"/>
      <c r="FDU390" s="22"/>
      <c r="FDV390" s="22"/>
      <c r="FDW390" s="22"/>
      <c r="FDX390" s="22"/>
      <c r="FDY390" s="22"/>
      <c r="FDZ390" s="22"/>
      <c r="FEA390" s="22"/>
      <c r="FEB390" s="22"/>
      <c r="FEC390" s="22"/>
      <c r="FED390" s="22"/>
      <c r="FEE390" s="22"/>
      <c r="FEF390" s="22"/>
      <c r="FEG390" s="22"/>
      <c r="FEH390" s="22"/>
      <c r="FEI390" s="22"/>
      <c r="FEJ390" s="22"/>
      <c r="FEK390" s="22"/>
      <c r="FEL390" s="22"/>
      <c r="FEM390" s="22"/>
      <c r="FEN390" s="22"/>
      <c r="FEO390" s="22"/>
      <c r="FEP390" s="22"/>
      <c r="FEQ390" s="22"/>
      <c r="FER390" s="22"/>
      <c r="FES390" s="22"/>
      <c r="FET390" s="22"/>
      <c r="FEU390" s="22"/>
      <c r="FEV390" s="22"/>
      <c r="FEW390" s="22"/>
      <c r="FEX390" s="22"/>
      <c r="FEY390" s="22"/>
      <c r="FEZ390" s="22"/>
      <c r="FFA390" s="22"/>
      <c r="FFB390" s="22"/>
      <c r="FFC390" s="22"/>
      <c r="FFD390" s="22"/>
      <c r="FFE390" s="22"/>
      <c r="FFF390" s="22"/>
      <c r="FFG390" s="22"/>
      <c r="FFH390" s="22"/>
      <c r="FFI390" s="22"/>
      <c r="FFJ390" s="22"/>
      <c r="FFK390" s="22"/>
      <c r="FFL390" s="22"/>
      <c r="FFM390" s="22"/>
      <c r="FFN390" s="22"/>
      <c r="FFO390" s="22"/>
      <c r="FFP390" s="22"/>
      <c r="FFQ390" s="22"/>
      <c r="FFR390" s="22"/>
      <c r="FFS390" s="22"/>
      <c r="FFT390" s="22"/>
      <c r="FFU390" s="22"/>
      <c r="FFV390" s="22"/>
      <c r="FFW390" s="22"/>
      <c r="FFX390" s="22"/>
      <c r="FFY390" s="22"/>
      <c r="FFZ390" s="22"/>
      <c r="FGA390" s="22"/>
      <c r="FGB390" s="22"/>
      <c r="FGC390" s="22"/>
      <c r="FGD390" s="22"/>
      <c r="FGE390" s="22"/>
      <c r="FGF390" s="22"/>
      <c r="FGG390" s="22"/>
      <c r="FGH390" s="22"/>
      <c r="FGI390" s="22"/>
      <c r="FGJ390" s="22"/>
      <c r="FGK390" s="22"/>
      <c r="FGL390" s="22"/>
      <c r="FGM390" s="22"/>
      <c r="FGN390" s="22"/>
      <c r="FGO390" s="22"/>
      <c r="FGP390" s="22"/>
      <c r="FGQ390" s="22"/>
      <c r="FGR390" s="22"/>
      <c r="FGS390" s="22"/>
      <c r="FGT390" s="22"/>
      <c r="FGU390" s="22"/>
      <c r="FGV390" s="22"/>
      <c r="FGW390" s="22"/>
      <c r="FGX390" s="22"/>
      <c r="FGY390" s="22"/>
      <c r="FGZ390" s="22"/>
      <c r="FHA390" s="22"/>
      <c r="FHB390" s="22"/>
      <c r="FHC390" s="22"/>
      <c r="FHD390" s="22"/>
      <c r="FHE390" s="22"/>
      <c r="FHF390" s="22"/>
      <c r="FHG390" s="22"/>
      <c r="FHH390" s="22"/>
      <c r="FHI390" s="22"/>
      <c r="FHJ390" s="22"/>
      <c r="FHK390" s="22"/>
      <c r="FHL390" s="22"/>
      <c r="FHM390" s="22"/>
      <c r="FHN390" s="22"/>
      <c r="FHO390" s="22"/>
      <c r="FHP390" s="22"/>
      <c r="FHQ390" s="22"/>
      <c r="FHR390" s="22"/>
      <c r="FHS390" s="22"/>
      <c r="FHT390" s="22"/>
      <c r="FHU390" s="22"/>
      <c r="FHV390" s="22"/>
      <c r="FHW390" s="22"/>
      <c r="FHX390" s="22"/>
      <c r="FHY390" s="22"/>
      <c r="FHZ390" s="22"/>
      <c r="FIA390" s="22"/>
      <c r="FIB390" s="22"/>
      <c r="FIC390" s="22"/>
      <c r="FID390" s="22"/>
      <c r="FIE390" s="22"/>
      <c r="FIF390" s="22"/>
      <c r="FIG390" s="22"/>
      <c r="FIH390" s="22"/>
      <c r="FII390" s="22"/>
      <c r="FIJ390" s="22"/>
      <c r="FIK390" s="22"/>
      <c r="FIL390" s="22"/>
      <c r="FIM390" s="22"/>
      <c r="FIN390" s="22"/>
      <c r="FIO390" s="22"/>
      <c r="FIP390" s="22"/>
      <c r="FIQ390" s="22"/>
      <c r="FIR390" s="22"/>
      <c r="FIS390" s="22"/>
      <c r="FIT390" s="22"/>
      <c r="FIU390" s="22"/>
      <c r="FIV390" s="22"/>
      <c r="FIW390" s="22"/>
      <c r="FIX390" s="22"/>
      <c r="FIY390" s="22"/>
      <c r="FIZ390" s="22"/>
      <c r="FJA390" s="22"/>
      <c r="FJB390" s="22"/>
      <c r="FJC390" s="22"/>
      <c r="FJD390" s="22"/>
      <c r="FJE390" s="22"/>
      <c r="FJF390" s="22"/>
      <c r="FJG390" s="22"/>
      <c r="FJH390" s="22"/>
      <c r="FJI390" s="22"/>
      <c r="FJJ390" s="22"/>
      <c r="FJK390" s="22"/>
      <c r="FJL390" s="22"/>
      <c r="FJM390" s="22"/>
      <c r="FJN390" s="22"/>
      <c r="FJO390" s="22"/>
      <c r="FJP390" s="22"/>
      <c r="FJQ390" s="22"/>
      <c r="FJR390" s="22"/>
      <c r="FJS390" s="22"/>
      <c r="FJT390" s="22"/>
      <c r="FJU390" s="22"/>
      <c r="FJV390" s="22"/>
      <c r="FJW390" s="22"/>
      <c r="FJX390" s="22"/>
      <c r="FJY390" s="22"/>
      <c r="FJZ390" s="22"/>
      <c r="FKA390" s="22"/>
      <c r="FKB390" s="22"/>
      <c r="FKC390" s="22"/>
      <c r="FKD390" s="22"/>
      <c r="FKE390" s="22"/>
      <c r="FKF390" s="22"/>
      <c r="FKG390" s="22"/>
      <c r="FKH390" s="22"/>
      <c r="FKI390" s="22"/>
      <c r="FKJ390" s="22"/>
      <c r="FKK390" s="22"/>
      <c r="FKL390" s="22"/>
      <c r="FKM390" s="22"/>
      <c r="FKN390" s="22"/>
      <c r="FKO390" s="22"/>
      <c r="FKP390" s="22"/>
      <c r="FKQ390" s="22"/>
      <c r="FKR390" s="22"/>
      <c r="FKS390" s="22"/>
      <c r="FKT390" s="22"/>
      <c r="FKU390" s="22"/>
      <c r="FKV390" s="22"/>
      <c r="FKW390" s="22"/>
      <c r="FKX390" s="22"/>
      <c r="FKY390" s="22"/>
      <c r="FKZ390" s="22"/>
      <c r="FLA390" s="22"/>
      <c r="FLB390" s="22"/>
      <c r="FLC390" s="22"/>
      <c r="FLD390" s="22"/>
      <c r="FLE390" s="22"/>
      <c r="FLF390" s="22"/>
      <c r="FLG390" s="22"/>
      <c r="FLH390" s="22"/>
      <c r="FLI390" s="22"/>
      <c r="FLJ390" s="22"/>
      <c r="FLK390" s="22"/>
      <c r="FLL390" s="22"/>
      <c r="FLM390" s="22"/>
      <c r="FLN390" s="22"/>
      <c r="FLO390" s="22"/>
      <c r="FLP390" s="22"/>
      <c r="FLQ390" s="22"/>
      <c r="FLR390" s="22"/>
      <c r="FLS390" s="22"/>
      <c r="FLT390" s="22"/>
      <c r="FLU390" s="22"/>
      <c r="FLV390" s="22"/>
      <c r="FLW390" s="22"/>
      <c r="FLX390" s="22"/>
      <c r="FLY390" s="22"/>
      <c r="FLZ390" s="22"/>
      <c r="FMA390" s="22"/>
      <c r="FMB390" s="22"/>
      <c r="FMC390" s="22"/>
      <c r="FMD390" s="22"/>
      <c r="FME390" s="22"/>
      <c r="FMF390" s="22"/>
      <c r="FMG390" s="22"/>
      <c r="FMH390" s="22"/>
      <c r="FMI390" s="22"/>
      <c r="FMJ390" s="22"/>
      <c r="FMK390" s="22"/>
      <c r="FML390" s="22"/>
      <c r="FMM390" s="22"/>
      <c r="FMN390" s="22"/>
      <c r="FMO390" s="22"/>
      <c r="FMP390" s="22"/>
      <c r="FMQ390" s="22"/>
      <c r="FMR390" s="22"/>
      <c r="FMS390" s="22"/>
      <c r="FMT390" s="22"/>
      <c r="FMU390" s="22"/>
      <c r="FMV390" s="22"/>
      <c r="FMW390" s="22"/>
      <c r="FMX390" s="22"/>
      <c r="FMY390" s="22"/>
      <c r="FMZ390" s="22"/>
      <c r="FNA390" s="22"/>
      <c r="FNB390" s="22"/>
      <c r="FNC390" s="22"/>
      <c r="FND390" s="22"/>
      <c r="FNE390" s="22"/>
      <c r="FNF390" s="22"/>
      <c r="FNG390" s="22"/>
      <c r="FNH390" s="22"/>
      <c r="FNI390" s="22"/>
      <c r="FNJ390" s="22"/>
      <c r="FNK390" s="22"/>
      <c r="FNL390" s="22"/>
      <c r="FNM390" s="22"/>
      <c r="FNN390" s="22"/>
      <c r="FNO390" s="22"/>
      <c r="FNP390" s="22"/>
      <c r="FNQ390" s="22"/>
      <c r="FNR390" s="22"/>
      <c r="FNS390" s="22"/>
      <c r="FNT390" s="22"/>
      <c r="FNU390" s="22"/>
      <c r="FNV390" s="22"/>
      <c r="FNW390" s="22"/>
      <c r="FNX390" s="22"/>
      <c r="FNY390" s="22"/>
      <c r="FNZ390" s="22"/>
      <c r="FOA390" s="22"/>
      <c r="FOB390" s="22"/>
      <c r="FOC390" s="22"/>
      <c r="FOD390" s="22"/>
      <c r="FOE390" s="22"/>
      <c r="FOF390" s="22"/>
      <c r="FOG390" s="22"/>
      <c r="FOH390" s="22"/>
      <c r="FOI390" s="22"/>
      <c r="FOJ390" s="22"/>
      <c r="FOK390" s="22"/>
      <c r="FOL390" s="22"/>
      <c r="FOM390" s="22"/>
      <c r="FON390" s="22"/>
      <c r="FOO390" s="22"/>
      <c r="FOP390" s="22"/>
      <c r="FOQ390" s="22"/>
      <c r="FOR390" s="22"/>
      <c r="FOS390" s="22"/>
      <c r="FOT390" s="22"/>
      <c r="FOU390" s="22"/>
      <c r="FOV390" s="22"/>
      <c r="FOW390" s="22"/>
      <c r="FOX390" s="22"/>
      <c r="FOY390" s="22"/>
      <c r="FOZ390" s="22"/>
      <c r="FPA390" s="22"/>
      <c r="FPB390" s="22"/>
      <c r="FPC390" s="22"/>
      <c r="FPD390" s="22"/>
      <c r="FPE390" s="22"/>
      <c r="FPF390" s="22"/>
      <c r="FPG390" s="22"/>
      <c r="FPH390" s="22"/>
      <c r="FPI390" s="22"/>
      <c r="FPJ390" s="22"/>
      <c r="FPK390" s="22"/>
      <c r="FPL390" s="22"/>
      <c r="FPM390" s="22"/>
      <c r="FPN390" s="22"/>
      <c r="FPO390" s="22"/>
      <c r="FPP390" s="22"/>
      <c r="FPQ390" s="22"/>
      <c r="FPR390" s="22"/>
      <c r="FPS390" s="22"/>
      <c r="FPT390" s="22"/>
      <c r="FPU390" s="22"/>
      <c r="FPV390" s="22"/>
      <c r="FPW390" s="22"/>
      <c r="FPX390" s="22"/>
      <c r="FPY390" s="22"/>
      <c r="FPZ390" s="22"/>
      <c r="FQA390" s="22"/>
      <c r="FQB390" s="22"/>
      <c r="FQC390" s="22"/>
      <c r="FQD390" s="22"/>
      <c r="FQE390" s="22"/>
      <c r="FQF390" s="22"/>
      <c r="FQG390" s="22"/>
      <c r="FQH390" s="22"/>
      <c r="FQI390" s="22"/>
      <c r="FQJ390" s="22"/>
      <c r="FQK390" s="22"/>
      <c r="FQL390" s="22"/>
      <c r="FQM390" s="22"/>
      <c r="FQN390" s="22"/>
      <c r="FQO390" s="22"/>
      <c r="FQP390" s="22"/>
      <c r="FQQ390" s="22"/>
      <c r="FQR390" s="22"/>
      <c r="FQS390" s="22"/>
      <c r="FQT390" s="22"/>
      <c r="FQU390" s="22"/>
      <c r="FQV390" s="22"/>
      <c r="FQW390" s="22"/>
      <c r="FQX390" s="22"/>
      <c r="FQY390" s="22"/>
      <c r="FQZ390" s="22"/>
      <c r="FRA390" s="22"/>
      <c r="FRB390" s="22"/>
      <c r="FRC390" s="22"/>
      <c r="FRD390" s="22"/>
      <c r="FRE390" s="22"/>
      <c r="FRF390" s="22"/>
      <c r="FRG390" s="22"/>
      <c r="FRH390" s="22"/>
      <c r="FRI390" s="22"/>
      <c r="FRJ390" s="22"/>
      <c r="FRK390" s="22"/>
      <c r="FRL390" s="22"/>
      <c r="FRM390" s="22"/>
      <c r="FRN390" s="22"/>
      <c r="FRO390" s="22"/>
      <c r="FRP390" s="22"/>
      <c r="FRQ390" s="22"/>
      <c r="FRR390" s="22"/>
      <c r="FRS390" s="22"/>
      <c r="FRT390" s="22"/>
      <c r="FRU390" s="22"/>
      <c r="FRV390" s="22"/>
      <c r="FRW390" s="22"/>
      <c r="FRX390" s="22"/>
      <c r="FRY390" s="22"/>
      <c r="FRZ390" s="22"/>
      <c r="FSA390" s="22"/>
      <c r="FSB390" s="22"/>
      <c r="FSC390" s="22"/>
      <c r="FSD390" s="22"/>
      <c r="FSE390" s="22"/>
      <c r="FSF390" s="22"/>
      <c r="FSG390" s="22"/>
      <c r="FSH390" s="22"/>
      <c r="FSI390" s="22"/>
      <c r="FSJ390" s="22"/>
      <c r="FSK390" s="22"/>
      <c r="FSL390" s="22"/>
      <c r="FSM390" s="22"/>
      <c r="FSN390" s="22"/>
      <c r="FSO390" s="22"/>
      <c r="FSP390" s="22"/>
      <c r="FSQ390" s="22"/>
      <c r="FSR390" s="22"/>
      <c r="FSS390" s="22"/>
      <c r="FST390" s="22"/>
      <c r="FSU390" s="22"/>
      <c r="FSV390" s="22"/>
      <c r="FSW390" s="22"/>
      <c r="FSX390" s="22"/>
      <c r="FSY390" s="22"/>
      <c r="FSZ390" s="22"/>
      <c r="FTA390" s="22"/>
      <c r="FTB390" s="22"/>
      <c r="FTC390" s="22"/>
      <c r="FTD390" s="22"/>
      <c r="FTE390" s="22"/>
      <c r="FTF390" s="22"/>
      <c r="FTG390" s="22"/>
      <c r="FTH390" s="22"/>
      <c r="FTI390" s="22"/>
      <c r="FTJ390" s="22"/>
      <c r="FTK390" s="22"/>
      <c r="FTL390" s="22"/>
      <c r="FTM390" s="22"/>
      <c r="FTN390" s="22"/>
      <c r="FTO390" s="22"/>
      <c r="FTP390" s="22"/>
      <c r="FTQ390" s="22"/>
      <c r="FTR390" s="22"/>
      <c r="FTS390" s="22"/>
      <c r="FTT390" s="22"/>
      <c r="FTU390" s="22"/>
      <c r="FTV390" s="22"/>
      <c r="FTW390" s="22"/>
      <c r="FTX390" s="22"/>
      <c r="FTY390" s="22"/>
      <c r="FTZ390" s="22"/>
      <c r="FUA390" s="22"/>
      <c r="FUB390" s="22"/>
      <c r="FUC390" s="22"/>
      <c r="FUD390" s="22"/>
      <c r="FUE390" s="22"/>
      <c r="FUF390" s="22"/>
      <c r="FUG390" s="22"/>
      <c r="FUH390" s="22"/>
      <c r="FUI390" s="22"/>
      <c r="FUJ390" s="22"/>
      <c r="FUK390" s="22"/>
      <c r="FUL390" s="22"/>
      <c r="FUM390" s="22"/>
      <c r="FUN390" s="22"/>
      <c r="FUO390" s="22"/>
      <c r="FUP390" s="22"/>
      <c r="FUQ390" s="22"/>
      <c r="FUR390" s="22"/>
      <c r="FUS390" s="22"/>
      <c r="FUT390" s="22"/>
      <c r="FUU390" s="22"/>
      <c r="FUV390" s="22"/>
      <c r="FUW390" s="22"/>
      <c r="FUX390" s="22"/>
      <c r="FUY390" s="22"/>
      <c r="FUZ390" s="22"/>
      <c r="FVA390" s="22"/>
      <c r="FVB390" s="22"/>
      <c r="FVC390" s="22"/>
      <c r="FVD390" s="22"/>
      <c r="FVE390" s="22"/>
      <c r="FVF390" s="22"/>
      <c r="FVG390" s="22"/>
      <c r="FVH390" s="22"/>
      <c r="FVI390" s="22"/>
      <c r="FVJ390" s="22"/>
      <c r="FVK390" s="22"/>
      <c r="FVL390" s="22"/>
      <c r="FVM390" s="22"/>
      <c r="FVN390" s="22"/>
      <c r="FVO390" s="22"/>
      <c r="FVP390" s="22"/>
      <c r="FVQ390" s="22"/>
      <c r="FVR390" s="22"/>
      <c r="FVS390" s="22"/>
      <c r="FVT390" s="22"/>
      <c r="FVU390" s="22"/>
      <c r="FVV390" s="22"/>
      <c r="FVW390" s="22"/>
      <c r="FVX390" s="22"/>
      <c r="FVY390" s="22"/>
      <c r="FVZ390" s="22"/>
      <c r="FWA390" s="22"/>
      <c r="FWB390" s="22"/>
      <c r="FWC390" s="22"/>
      <c r="FWD390" s="22"/>
      <c r="FWE390" s="22"/>
      <c r="FWF390" s="22"/>
      <c r="FWG390" s="22"/>
      <c r="FWH390" s="22"/>
      <c r="FWI390" s="22"/>
      <c r="FWJ390" s="22"/>
      <c r="FWK390" s="22"/>
      <c r="FWL390" s="22"/>
      <c r="FWM390" s="22"/>
      <c r="FWN390" s="22"/>
      <c r="FWO390" s="22"/>
      <c r="FWP390" s="22"/>
      <c r="FWQ390" s="22"/>
      <c r="FWR390" s="22"/>
      <c r="FWS390" s="22"/>
      <c r="FWT390" s="22"/>
      <c r="FWU390" s="22"/>
      <c r="FWV390" s="22"/>
      <c r="FWW390" s="22"/>
      <c r="FWX390" s="22"/>
      <c r="FWY390" s="22"/>
      <c r="FWZ390" s="22"/>
      <c r="FXA390" s="22"/>
      <c r="FXB390" s="22"/>
      <c r="FXC390" s="22"/>
      <c r="FXD390" s="22"/>
      <c r="FXE390" s="22"/>
      <c r="FXF390" s="22"/>
      <c r="FXG390" s="22"/>
      <c r="FXH390" s="22"/>
      <c r="FXI390" s="22"/>
      <c r="FXJ390" s="22"/>
      <c r="FXK390" s="22"/>
      <c r="FXL390" s="22"/>
      <c r="FXM390" s="22"/>
      <c r="FXN390" s="22"/>
      <c r="FXO390" s="22"/>
      <c r="FXP390" s="22"/>
      <c r="FXQ390" s="22"/>
      <c r="FXR390" s="22"/>
      <c r="FXS390" s="22"/>
      <c r="FXT390" s="22"/>
      <c r="FXU390" s="22"/>
      <c r="FXV390" s="22"/>
      <c r="FXW390" s="22"/>
      <c r="FXX390" s="22"/>
      <c r="FXY390" s="22"/>
      <c r="FXZ390" s="22"/>
      <c r="FYA390" s="22"/>
      <c r="FYB390" s="22"/>
      <c r="FYC390" s="22"/>
      <c r="FYD390" s="22"/>
      <c r="FYE390" s="22"/>
      <c r="FYF390" s="22"/>
      <c r="FYG390" s="22"/>
      <c r="FYH390" s="22"/>
      <c r="FYI390" s="22"/>
      <c r="FYJ390" s="22"/>
      <c r="FYK390" s="22"/>
      <c r="FYL390" s="22"/>
      <c r="FYM390" s="22"/>
      <c r="FYN390" s="22"/>
      <c r="FYO390" s="22"/>
      <c r="FYP390" s="22"/>
      <c r="FYQ390" s="22"/>
      <c r="FYR390" s="22"/>
      <c r="FYS390" s="22"/>
      <c r="FYT390" s="22"/>
      <c r="FYU390" s="22"/>
      <c r="FYV390" s="22"/>
      <c r="FYW390" s="22"/>
      <c r="FYX390" s="22"/>
      <c r="FYY390" s="22"/>
      <c r="FYZ390" s="22"/>
      <c r="FZA390" s="22"/>
      <c r="FZB390" s="22"/>
      <c r="FZC390" s="22"/>
      <c r="FZD390" s="22"/>
      <c r="FZE390" s="22"/>
      <c r="FZF390" s="22"/>
      <c r="FZG390" s="22"/>
      <c r="FZH390" s="22"/>
      <c r="FZI390" s="22"/>
      <c r="FZJ390" s="22"/>
      <c r="FZK390" s="22"/>
      <c r="FZL390" s="22"/>
      <c r="FZM390" s="22"/>
      <c r="FZN390" s="22"/>
      <c r="FZO390" s="22"/>
      <c r="FZP390" s="22"/>
      <c r="FZQ390" s="22"/>
      <c r="FZR390" s="22"/>
      <c r="FZS390" s="22"/>
      <c r="FZT390" s="22"/>
      <c r="FZU390" s="22"/>
      <c r="FZV390" s="22"/>
      <c r="FZW390" s="22"/>
      <c r="FZX390" s="22"/>
      <c r="FZY390" s="22"/>
      <c r="FZZ390" s="22"/>
      <c r="GAA390" s="22"/>
      <c r="GAB390" s="22"/>
      <c r="GAC390" s="22"/>
      <c r="GAD390" s="22"/>
      <c r="GAE390" s="22"/>
      <c r="GAF390" s="22"/>
      <c r="GAG390" s="22"/>
      <c r="GAH390" s="22"/>
      <c r="GAI390" s="22"/>
      <c r="GAJ390" s="22"/>
      <c r="GAK390" s="22"/>
      <c r="GAL390" s="22"/>
      <c r="GAM390" s="22"/>
      <c r="GAN390" s="22"/>
      <c r="GAO390" s="22"/>
      <c r="GAP390" s="22"/>
      <c r="GAQ390" s="22"/>
      <c r="GAR390" s="22"/>
      <c r="GAS390" s="22"/>
      <c r="GAT390" s="22"/>
      <c r="GAU390" s="22"/>
      <c r="GAV390" s="22"/>
      <c r="GAW390" s="22"/>
      <c r="GAX390" s="22"/>
      <c r="GAY390" s="22"/>
      <c r="GAZ390" s="22"/>
      <c r="GBA390" s="22"/>
      <c r="GBB390" s="22"/>
      <c r="GBC390" s="22"/>
      <c r="GBD390" s="22"/>
      <c r="GBE390" s="22"/>
      <c r="GBF390" s="22"/>
      <c r="GBG390" s="22"/>
      <c r="GBH390" s="22"/>
      <c r="GBI390" s="22"/>
      <c r="GBJ390" s="22"/>
      <c r="GBK390" s="22"/>
      <c r="GBL390" s="22"/>
      <c r="GBM390" s="22"/>
      <c r="GBN390" s="22"/>
      <c r="GBO390" s="22"/>
      <c r="GBP390" s="22"/>
      <c r="GBQ390" s="22"/>
      <c r="GBR390" s="22"/>
      <c r="GBS390" s="22"/>
      <c r="GBT390" s="22"/>
      <c r="GBU390" s="22"/>
      <c r="GBV390" s="22"/>
      <c r="GBW390" s="22"/>
      <c r="GBX390" s="22"/>
      <c r="GBY390" s="22"/>
      <c r="GBZ390" s="22"/>
      <c r="GCA390" s="22"/>
      <c r="GCB390" s="22"/>
      <c r="GCC390" s="22"/>
      <c r="GCD390" s="22"/>
      <c r="GCE390" s="22"/>
      <c r="GCF390" s="22"/>
      <c r="GCG390" s="22"/>
      <c r="GCH390" s="22"/>
      <c r="GCI390" s="22"/>
      <c r="GCJ390" s="22"/>
      <c r="GCK390" s="22"/>
      <c r="GCL390" s="22"/>
      <c r="GCM390" s="22"/>
      <c r="GCN390" s="22"/>
      <c r="GCO390" s="22"/>
      <c r="GCP390" s="22"/>
      <c r="GCQ390" s="22"/>
      <c r="GCR390" s="22"/>
      <c r="GCS390" s="22"/>
      <c r="GCT390" s="22"/>
      <c r="GCU390" s="22"/>
      <c r="GCV390" s="22"/>
      <c r="GCW390" s="22"/>
      <c r="GCX390" s="22"/>
      <c r="GCY390" s="22"/>
      <c r="GCZ390" s="22"/>
      <c r="GDA390" s="22"/>
      <c r="GDB390" s="22"/>
      <c r="GDC390" s="22"/>
      <c r="GDD390" s="22"/>
      <c r="GDE390" s="22"/>
      <c r="GDF390" s="22"/>
      <c r="GDG390" s="22"/>
      <c r="GDH390" s="22"/>
      <c r="GDI390" s="22"/>
      <c r="GDJ390" s="22"/>
      <c r="GDK390" s="22"/>
      <c r="GDL390" s="22"/>
      <c r="GDM390" s="22"/>
      <c r="GDN390" s="22"/>
      <c r="GDO390" s="22"/>
      <c r="GDP390" s="22"/>
      <c r="GDQ390" s="22"/>
      <c r="GDR390" s="22"/>
      <c r="GDS390" s="22"/>
      <c r="GDT390" s="22"/>
      <c r="GDU390" s="22"/>
      <c r="GDV390" s="22"/>
      <c r="GDW390" s="22"/>
      <c r="GDX390" s="22"/>
      <c r="GDY390" s="22"/>
      <c r="GDZ390" s="22"/>
      <c r="GEA390" s="22"/>
      <c r="GEB390" s="22"/>
      <c r="GEC390" s="22"/>
      <c r="GED390" s="22"/>
      <c r="GEE390" s="22"/>
      <c r="GEF390" s="22"/>
      <c r="GEG390" s="22"/>
      <c r="GEH390" s="22"/>
      <c r="GEI390" s="22"/>
      <c r="GEJ390" s="22"/>
      <c r="GEK390" s="22"/>
      <c r="GEL390" s="22"/>
      <c r="GEM390" s="22"/>
      <c r="GEN390" s="22"/>
      <c r="GEO390" s="22"/>
      <c r="GEP390" s="22"/>
      <c r="GEQ390" s="22"/>
      <c r="GER390" s="22"/>
      <c r="GES390" s="22"/>
      <c r="GET390" s="22"/>
      <c r="GEU390" s="22"/>
      <c r="GEV390" s="22"/>
      <c r="GEW390" s="22"/>
      <c r="GEX390" s="22"/>
      <c r="GEY390" s="22"/>
      <c r="GEZ390" s="22"/>
      <c r="GFA390" s="22"/>
      <c r="GFB390" s="22"/>
      <c r="GFC390" s="22"/>
      <c r="GFD390" s="22"/>
      <c r="GFE390" s="22"/>
      <c r="GFF390" s="22"/>
      <c r="GFG390" s="22"/>
      <c r="GFH390" s="22"/>
      <c r="GFI390" s="22"/>
      <c r="GFJ390" s="22"/>
      <c r="GFK390" s="22"/>
      <c r="GFL390" s="22"/>
      <c r="GFM390" s="22"/>
      <c r="GFN390" s="22"/>
      <c r="GFO390" s="22"/>
      <c r="GFP390" s="22"/>
      <c r="GFQ390" s="22"/>
      <c r="GFR390" s="22"/>
      <c r="GFS390" s="22"/>
      <c r="GFT390" s="22"/>
      <c r="GFU390" s="22"/>
      <c r="GFV390" s="22"/>
      <c r="GFW390" s="22"/>
      <c r="GFX390" s="22"/>
      <c r="GFY390" s="22"/>
      <c r="GFZ390" s="22"/>
      <c r="GGA390" s="22"/>
      <c r="GGB390" s="22"/>
      <c r="GGC390" s="22"/>
      <c r="GGD390" s="22"/>
      <c r="GGE390" s="22"/>
      <c r="GGF390" s="22"/>
      <c r="GGG390" s="22"/>
      <c r="GGH390" s="22"/>
      <c r="GGI390" s="22"/>
      <c r="GGJ390" s="22"/>
      <c r="GGK390" s="22"/>
      <c r="GGL390" s="22"/>
      <c r="GGM390" s="22"/>
      <c r="GGN390" s="22"/>
      <c r="GGO390" s="22"/>
      <c r="GGP390" s="22"/>
      <c r="GGQ390" s="22"/>
      <c r="GGR390" s="22"/>
      <c r="GGS390" s="22"/>
      <c r="GGT390" s="22"/>
      <c r="GGU390" s="22"/>
      <c r="GGV390" s="22"/>
      <c r="GGW390" s="22"/>
      <c r="GGX390" s="22"/>
      <c r="GGY390" s="22"/>
      <c r="GGZ390" s="22"/>
      <c r="GHA390" s="22"/>
      <c r="GHB390" s="22"/>
      <c r="GHC390" s="22"/>
      <c r="GHD390" s="22"/>
      <c r="GHE390" s="22"/>
      <c r="GHF390" s="22"/>
      <c r="GHG390" s="22"/>
      <c r="GHH390" s="22"/>
      <c r="GHI390" s="22"/>
      <c r="GHJ390" s="22"/>
      <c r="GHK390" s="22"/>
      <c r="GHL390" s="22"/>
      <c r="GHM390" s="22"/>
      <c r="GHN390" s="22"/>
      <c r="GHO390" s="22"/>
      <c r="GHP390" s="22"/>
      <c r="GHQ390" s="22"/>
      <c r="GHR390" s="22"/>
      <c r="GHS390" s="22"/>
      <c r="GHT390" s="22"/>
      <c r="GHU390" s="22"/>
      <c r="GHV390" s="22"/>
      <c r="GHW390" s="22"/>
      <c r="GHX390" s="22"/>
      <c r="GHY390" s="22"/>
      <c r="GHZ390" s="22"/>
      <c r="GIA390" s="22"/>
      <c r="GIB390" s="22"/>
      <c r="GIC390" s="22"/>
      <c r="GID390" s="22"/>
      <c r="GIE390" s="22"/>
      <c r="GIF390" s="22"/>
      <c r="GIG390" s="22"/>
      <c r="GIH390" s="22"/>
      <c r="GII390" s="22"/>
      <c r="GIJ390" s="22"/>
      <c r="GIK390" s="22"/>
      <c r="GIL390" s="22"/>
      <c r="GIM390" s="22"/>
      <c r="GIN390" s="22"/>
      <c r="GIO390" s="22"/>
      <c r="GIP390" s="22"/>
      <c r="GIQ390" s="22"/>
      <c r="GIR390" s="22"/>
      <c r="GIS390" s="22"/>
      <c r="GIT390" s="22"/>
      <c r="GIU390" s="22"/>
      <c r="GIV390" s="22"/>
      <c r="GIW390" s="22"/>
      <c r="GIX390" s="22"/>
      <c r="GIY390" s="22"/>
      <c r="GIZ390" s="22"/>
      <c r="GJA390" s="22"/>
      <c r="GJB390" s="22"/>
      <c r="GJC390" s="22"/>
      <c r="GJD390" s="22"/>
      <c r="GJE390" s="22"/>
      <c r="GJF390" s="22"/>
      <c r="GJG390" s="22"/>
      <c r="GJH390" s="22"/>
      <c r="GJI390" s="22"/>
      <c r="GJJ390" s="22"/>
      <c r="GJK390" s="22"/>
      <c r="GJL390" s="22"/>
      <c r="GJM390" s="22"/>
      <c r="GJN390" s="22"/>
      <c r="GJO390" s="22"/>
      <c r="GJP390" s="22"/>
      <c r="GJQ390" s="22"/>
      <c r="GJR390" s="22"/>
      <c r="GJS390" s="22"/>
      <c r="GJT390" s="22"/>
      <c r="GJU390" s="22"/>
      <c r="GJV390" s="22"/>
      <c r="GJW390" s="22"/>
      <c r="GJX390" s="22"/>
      <c r="GJY390" s="22"/>
      <c r="GJZ390" s="22"/>
      <c r="GKA390" s="22"/>
      <c r="GKB390" s="22"/>
      <c r="GKC390" s="22"/>
      <c r="GKD390" s="22"/>
      <c r="GKE390" s="22"/>
      <c r="GKF390" s="22"/>
      <c r="GKG390" s="22"/>
      <c r="GKH390" s="22"/>
      <c r="GKI390" s="22"/>
      <c r="GKJ390" s="22"/>
      <c r="GKK390" s="22"/>
      <c r="GKL390" s="22"/>
      <c r="GKM390" s="22"/>
      <c r="GKN390" s="22"/>
      <c r="GKO390" s="22"/>
      <c r="GKP390" s="22"/>
      <c r="GKQ390" s="22"/>
      <c r="GKR390" s="22"/>
      <c r="GKS390" s="22"/>
      <c r="GKT390" s="22"/>
      <c r="GKU390" s="22"/>
      <c r="GKV390" s="22"/>
      <c r="GKW390" s="22"/>
      <c r="GKX390" s="22"/>
      <c r="GKY390" s="22"/>
      <c r="GKZ390" s="22"/>
      <c r="GLA390" s="22"/>
      <c r="GLB390" s="22"/>
      <c r="GLC390" s="22"/>
      <c r="GLD390" s="22"/>
      <c r="GLE390" s="22"/>
      <c r="GLF390" s="22"/>
      <c r="GLG390" s="22"/>
      <c r="GLH390" s="22"/>
      <c r="GLI390" s="22"/>
      <c r="GLJ390" s="22"/>
      <c r="GLK390" s="22"/>
      <c r="GLL390" s="22"/>
      <c r="GLM390" s="22"/>
      <c r="GLN390" s="22"/>
      <c r="GLO390" s="22"/>
      <c r="GLP390" s="22"/>
      <c r="GLQ390" s="22"/>
      <c r="GLR390" s="22"/>
      <c r="GLS390" s="22"/>
      <c r="GLT390" s="22"/>
      <c r="GLU390" s="22"/>
      <c r="GLV390" s="22"/>
      <c r="GLW390" s="22"/>
      <c r="GLX390" s="22"/>
      <c r="GLY390" s="22"/>
      <c r="GLZ390" s="22"/>
      <c r="GMA390" s="22"/>
      <c r="GMB390" s="22"/>
      <c r="GMC390" s="22"/>
      <c r="GMD390" s="22"/>
      <c r="GME390" s="22"/>
      <c r="GMF390" s="22"/>
      <c r="GMG390" s="22"/>
      <c r="GMH390" s="22"/>
      <c r="GMI390" s="22"/>
      <c r="GMJ390" s="22"/>
      <c r="GMK390" s="22"/>
      <c r="GML390" s="22"/>
      <c r="GMM390" s="22"/>
      <c r="GMN390" s="22"/>
      <c r="GMO390" s="22"/>
      <c r="GMP390" s="22"/>
      <c r="GMQ390" s="22"/>
      <c r="GMR390" s="22"/>
      <c r="GMS390" s="22"/>
      <c r="GMT390" s="22"/>
      <c r="GMU390" s="22"/>
      <c r="GMV390" s="22"/>
      <c r="GMW390" s="22"/>
      <c r="GMX390" s="22"/>
      <c r="GMY390" s="22"/>
      <c r="GMZ390" s="22"/>
      <c r="GNA390" s="22"/>
      <c r="GNB390" s="22"/>
      <c r="GNC390" s="22"/>
      <c r="GND390" s="22"/>
      <c r="GNE390" s="22"/>
      <c r="GNF390" s="22"/>
      <c r="GNG390" s="22"/>
      <c r="GNH390" s="22"/>
      <c r="GNI390" s="22"/>
      <c r="GNJ390" s="22"/>
      <c r="GNK390" s="22"/>
      <c r="GNL390" s="22"/>
      <c r="GNM390" s="22"/>
      <c r="GNN390" s="22"/>
      <c r="GNO390" s="22"/>
      <c r="GNP390" s="22"/>
      <c r="GNQ390" s="22"/>
      <c r="GNR390" s="22"/>
      <c r="GNS390" s="22"/>
      <c r="GNT390" s="22"/>
      <c r="GNU390" s="22"/>
      <c r="GNV390" s="22"/>
      <c r="GNW390" s="22"/>
      <c r="GNX390" s="22"/>
      <c r="GNY390" s="22"/>
      <c r="GNZ390" s="22"/>
      <c r="GOA390" s="22"/>
      <c r="GOB390" s="22"/>
      <c r="GOC390" s="22"/>
      <c r="GOD390" s="22"/>
      <c r="GOE390" s="22"/>
      <c r="GOF390" s="22"/>
      <c r="GOG390" s="22"/>
      <c r="GOH390" s="22"/>
      <c r="GOI390" s="22"/>
      <c r="GOJ390" s="22"/>
      <c r="GOK390" s="22"/>
      <c r="GOL390" s="22"/>
      <c r="GOM390" s="22"/>
      <c r="GON390" s="22"/>
      <c r="GOO390" s="22"/>
      <c r="GOP390" s="22"/>
      <c r="GOQ390" s="22"/>
      <c r="GOR390" s="22"/>
      <c r="GOS390" s="22"/>
      <c r="GOT390" s="22"/>
      <c r="GOU390" s="22"/>
      <c r="GOV390" s="22"/>
      <c r="GOW390" s="22"/>
      <c r="GOX390" s="22"/>
      <c r="GOY390" s="22"/>
      <c r="GOZ390" s="22"/>
      <c r="GPA390" s="22"/>
      <c r="GPB390" s="22"/>
      <c r="GPC390" s="22"/>
      <c r="GPD390" s="22"/>
      <c r="GPE390" s="22"/>
      <c r="GPF390" s="22"/>
      <c r="GPG390" s="22"/>
      <c r="GPH390" s="22"/>
      <c r="GPI390" s="22"/>
      <c r="GPJ390" s="22"/>
      <c r="GPK390" s="22"/>
      <c r="GPL390" s="22"/>
      <c r="GPM390" s="22"/>
      <c r="GPN390" s="22"/>
      <c r="GPO390" s="22"/>
      <c r="GPP390" s="22"/>
      <c r="GPQ390" s="22"/>
      <c r="GPR390" s="22"/>
      <c r="GPS390" s="22"/>
      <c r="GPT390" s="22"/>
      <c r="GPU390" s="22"/>
      <c r="GPV390" s="22"/>
      <c r="GPW390" s="22"/>
      <c r="GPX390" s="22"/>
      <c r="GPY390" s="22"/>
      <c r="GPZ390" s="22"/>
      <c r="GQA390" s="22"/>
      <c r="GQB390" s="22"/>
      <c r="GQC390" s="22"/>
      <c r="GQD390" s="22"/>
      <c r="GQE390" s="22"/>
      <c r="GQF390" s="22"/>
      <c r="GQG390" s="22"/>
      <c r="GQH390" s="22"/>
      <c r="GQI390" s="22"/>
      <c r="GQJ390" s="22"/>
      <c r="GQK390" s="22"/>
      <c r="GQL390" s="22"/>
      <c r="GQM390" s="22"/>
      <c r="GQN390" s="22"/>
      <c r="GQO390" s="22"/>
      <c r="GQP390" s="22"/>
      <c r="GQQ390" s="22"/>
      <c r="GQR390" s="22"/>
      <c r="GQS390" s="22"/>
      <c r="GQT390" s="22"/>
      <c r="GQU390" s="22"/>
      <c r="GQV390" s="22"/>
      <c r="GQW390" s="22"/>
      <c r="GQX390" s="22"/>
      <c r="GQY390" s="22"/>
      <c r="GQZ390" s="22"/>
      <c r="GRA390" s="22"/>
      <c r="GRB390" s="22"/>
      <c r="GRC390" s="22"/>
      <c r="GRD390" s="22"/>
      <c r="GRE390" s="22"/>
      <c r="GRF390" s="22"/>
      <c r="GRG390" s="22"/>
      <c r="GRH390" s="22"/>
      <c r="GRI390" s="22"/>
      <c r="GRJ390" s="22"/>
      <c r="GRK390" s="22"/>
      <c r="GRL390" s="22"/>
      <c r="GRM390" s="22"/>
      <c r="GRN390" s="22"/>
      <c r="GRO390" s="22"/>
      <c r="GRP390" s="22"/>
      <c r="GRQ390" s="22"/>
      <c r="GRR390" s="22"/>
      <c r="GRS390" s="22"/>
      <c r="GRT390" s="22"/>
      <c r="GRU390" s="22"/>
      <c r="GRV390" s="22"/>
      <c r="GRW390" s="22"/>
      <c r="GRX390" s="22"/>
      <c r="GRY390" s="22"/>
      <c r="GRZ390" s="22"/>
      <c r="GSA390" s="22"/>
      <c r="GSB390" s="22"/>
      <c r="GSC390" s="22"/>
      <c r="GSD390" s="22"/>
      <c r="GSE390" s="22"/>
      <c r="GSF390" s="22"/>
      <c r="GSG390" s="22"/>
      <c r="GSH390" s="22"/>
      <c r="GSI390" s="22"/>
      <c r="GSJ390" s="22"/>
      <c r="GSK390" s="22"/>
      <c r="GSL390" s="22"/>
      <c r="GSM390" s="22"/>
      <c r="GSN390" s="22"/>
      <c r="GSO390" s="22"/>
      <c r="GSP390" s="22"/>
      <c r="GSQ390" s="22"/>
      <c r="GSR390" s="22"/>
      <c r="GSS390" s="22"/>
      <c r="GST390" s="22"/>
      <c r="GSU390" s="22"/>
      <c r="GSV390" s="22"/>
      <c r="GSW390" s="22"/>
      <c r="GSX390" s="22"/>
      <c r="GSY390" s="22"/>
      <c r="GSZ390" s="22"/>
      <c r="GTA390" s="22"/>
      <c r="GTB390" s="22"/>
      <c r="GTC390" s="22"/>
      <c r="GTD390" s="22"/>
      <c r="GTE390" s="22"/>
      <c r="GTF390" s="22"/>
      <c r="GTG390" s="22"/>
      <c r="GTH390" s="22"/>
      <c r="GTI390" s="22"/>
      <c r="GTJ390" s="22"/>
      <c r="GTK390" s="22"/>
      <c r="GTL390" s="22"/>
      <c r="GTM390" s="22"/>
      <c r="GTN390" s="22"/>
      <c r="GTO390" s="22"/>
      <c r="GTP390" s="22"/>
      <c r="GTQ390" s="22"/>
      <c r="GTR390" s="22"/>
      <c r="GTS390" s="22"/>
      <c r="GTT390" s="22"/>
      <c r="GTU390" s="22"/>
      <c r="GTV390" s="22"/>
      <c r="GTW390" s="22"/>
      <c r="GTX390" s="22"/>
      <c r="GTY390" s="22"/>
      <c r="GTZ390" s="22"/>
      <c r="GUA390" s="22"/>
      <c r="GUB390" s="22"/>
      <c r="GUC390" s="22"/>
      <c r="GUD390" s="22"/>
      <c r="GUE390" s="22"/>
      <c r="GUF390" s="22"/>
      <c r="GUG390" s="22"/>
      <c r="GUH390" s="22"/>
      <c r="GUI390" s="22"/>
      <c r="GUJ390" s="22"/>
      <c r="GUK390" s="22"/>
      <c r="GUL390" s="22"/>
      <c r="GUM390" s="22"/>
      <c r="GUN390" s="22"/>
      <c r="GUO390" s="22"/>
      <c r="GUP390" s="22"/>
      <c r="GUQ390" s="22"/>
      <c r="GUR390" s="22"/>
      <c r="GUS390" s="22"/>
      <c r="GUT390" s="22"/>
      <c r="GUU390" s="22"/>
      <c r="GUV390" s="22"/>
      <c r="GUW390" s="22"/>
      <c r="GUX390" s="22"/>
      <c r="GUY390" s="22"/>
      <c r="GUZ390" s="22"/>
      <c r="GVA390" s="22"/>
      <c r="GVB390" s="22"/>
      <c r="GVC390" s="22"/>
      <c r="GVD390" s="22"/>
      <c r="GVE390" s="22"/>
      <c r="GVF390" s="22"/>
      <c r="GVG390" s="22"/>
      <c r="GVH390" s="22"/>
      <c r="GVI390" s="22"/>
      <c r="GVJ390" s="22"/>
      <c r="GVK390" s="22"/>
      <c r="GVL390" s="22"/>
      <c r="GVM390" s="22"/>
      <c r="GVN390" s="22"/>
      <c r="GVO390" s="22"/>
      <c r="GVP390" s="22"/>
      <c r="GVQ390" s="22"/>
      <c r="GVR390" s="22"/>
      <c r="GVS390" s="22"/>
      <c r="GVT390" s="22"/>
      <c r="GVU390" s="22"/>
      <c r="GVV390" s="22"/>
      <c r="GVW390" s="22"/>
      <c r="GVX390" s="22"/>
      <c r="GVY390" s="22"/>
      <c r="GVZ390" s="22"/>
      <c r="GWA390" s="22"/>
      <c r="GWB390" s="22"/>
      <c r="GWC390" s="22"/>
      <c r="GWD390" s="22"/>
      <c r="GWE390" s="22"/>
      <c r="GWF390" s="22"/>
      <c r="GWG390" s="22"/>
      <c r="GWH390" s="22"/>
      <c r="GWI390" s="22"/>
      <c r="GWJ390" s="22"/>
      <c r="GWK390" s="22"/>
      <c r="GWL390" s="22"/>
      <c r="GWM390" s="22"/>
      <c r="GWN390" s="22"/>
      <c r="GWO390" s="22"/>
      <c r="GWP390" s="22"/>
      <c r="GWQ390" s="22"/>
      <c r="GWR390" s="22"/>
      <c r="GWS390" s="22"/>
      <c r="GWT390" s="22"/>
      <c r="GWU390" s="22"/>
      <c r="GWV390" s="22"/>
      <c r="GWW390" s="22"/>
      <c r="GWX390" s="22"/>
      <c r="GWY390" s="22"/>
      <c r="GWZ390" s="22"/>
      <c r="GXA390" s="22"/>
      <c r="GXB390" s="22"/>
      <c r="GXC390" s="22"/>
      <c r="GXD390" s="22"/>
      <c r="GXE390" s="22"/>
      <c r="GXF390" s="22"/>
      <c r="GXG390" s="22"/>
      <c r="GXH390" s="22"/>
      <c r="GXI390" s="22"/>
      <c r="GXJ390" s="22"/>
      <c r="GXK390" s="22"/>
      <c r="GXL390" s="22"/>
      <c r="GXM390" s="22"/>
      <c r="GXN390" s="22"/>
      <c r="GXO390" s="22"/>
      <c r="GXP390" s="22"/>
      <c r="GXQ390" s="22"/>
      <c r="GXR390" s="22"/>
      <c r="GXS390" s="22"/>
      <c r="GXT390" s="22"/>
      <c r="GXU390" s="22"/>
      <c r="GXV390" s="22"/>
      <c r="GXW390" s="22"/>
      <c r="GXX390" s="22"/>
      <c r="GXY390" s="22"/>
      <c r="GXZ390" s="22"/>
      <c r="GYA390" s="22"/>
      <c r="GYB390" s="22"/>
      <c r="GYC390" s="22"/>
      <c r="GYD390" s="22"/>
      <c r="GYE390" s="22"/>
      <c r="GYF390" s="22"/>
      <c r="GYG390" s="22"/>
      <c r="GYH390" s="22"/>
      <c r="GYI390" s="22"/>
      <c r="GYJ390" s="22"/>
      <c r="GYK390" s="22"/>
      <c r="GYL390" s="22"/>
      <c r="GYM390" s="22"/>
      <c r="GYN390" s="22"/>
      <c r="GYO390" s="22"/>
      <c r="GYP390" s="22"/>
      <c r="GYQ390" s="22"/>
      <c r="GYR390" s="22"/>
      <c r="GYS390" s="22"/>
      <c r="GYT390" s="22"/>
      <c r="GYU390" s="22"/>
      <c r="GYV390" s="22"/>
      <c r="GYW390" s="22"/>
      <c r="GYX390" s="22"/>
      <c r="GYY390" s="22"/>
      <c r="GYZ390" s="22"/>
      <c r="GZA390" s="22"/>
      <c r="GZB390" s="22"/>
      <c r="GZC390" s="22"/>
      <c r="GZD390" s="22"/>
      <c r="GZE390" s="22"/>
      <c r="GZF390" s="22"/>
      <c r="GZG390" s="22"/>
      <c r="GZH390" s="22"/>
      <c r="GZI390" s="22"/>
      <c r="GZJ390" s="22"/>
      <c r="GZK390" s="22"/>
      <c r="GZL390" s="22"/>
      <c r="GZM390" s="22"/>
      <c r="GZN390" s="22"/>
      <c r="GZO390" s="22"/>
      <c r="GZP390" s="22"/>
      <c r="GZQ390" s="22"/>
      <c r="GZR390" s="22"/>
      <c r="GZS390" s="22"/>
      <c r="GZT390" s="22"/>
      <c r="GZU390" s="22"/>
      <c r="GZV390" s="22"/>
      <c r="GZW390" s="22"/>
      <c r="GZX390" s="22"/>
      <c r="GZY390" s="22"/>
      <c r="GZZ390" s="22"/>
      <c r="HAA390" s="22"/>
      <c r="HAB390" s="22"/>
      <c r="HAC390" s="22"/>
      <c r="HAD390" s="22"/>
      <c r="HAE390" s="22"/>
      <c r="HAF390" s="22"/>
      <c r="HAG390" s="22"/>
      <c r="HAH390" s="22"/>
      <c r="HAI390" s="22"/>
      <c r="HAJ390" s="22"/>
      <c r="HAK390" s="22"/>
      <c r="HAL390" s="22"/>
      <c r="HAM390" s="22"/>
      <c r="HAN390" s="22"/>
      <c r="HAO390" s="22"/>
      <c r="HAP390" s="22"/>
      <c r="HAQ390" s="22"/>
      <c r="HAR390" s="22"/>
      <c r="HAS390" s="22"/>
      <c r="HAT390" s="22"/>
      <c r="HAU390" s="22"/>
      <c r="HAV390" s="22"/>
      <c r="HAW390" s="22"/>
      <c r="HAX390" s="22"/>
      <c r="HAY390" s="22"/>
      <c r="HAZ390" s="22"/>
      <c r="HBA390" s="22"/>
      <c r="HBB390" s="22"/>
      <c r="HBC390" s="22"/>
      <c r="HBD390" s="22"/>
      <c r="HBE390" s="22"/>
      <c r="HBF390" s="22"/>
      <c r="HBG390" s="22"/>
      <c r="HBH390" s="22"/>
      <c r="HBI390" s="22"/>
      <c r="HBJ390" s="22"/>
      <c r="HBK390" s="22"/>
      <c r="HBL390" s="22"/>
      <c r="HBM390" s="22"/>
      <c r="HBN390" s="22"/>
      <c r="HBO390" s="22"/>
      <c r="HBP390" s="22"/>
      <c r="HBQ390" s="22"/>
      <c r="HBR390" s="22"/>
      <c r="HBS390" s="22"/>
      <c r="HBT390" s="22"/>
      <c r="HBU390" s="22"/>
      <c r="HBV390" s="22"/>
      <c r="HBW390" s="22"/>
      <c r="HBX390" s="22"/>
      <c r="HBY390" s="22"/>
      <c r="HBZ390" s="22"/>
      <c r="HCA390" s="22"/>
      <c r="HCB390" s="22"/>
      <c r="HCC390" s="22"/>
      <c r="HCD390" s="22"/>
      <c r="HCE390" s="22"/>
      <c r="HCF390" s="22"/>
      <c r="HCG390" s="22"/>
      <c r="HCH390" s="22"/>
      <c r="HCI390" s="22"/>
      <c r="HCJ390" s="22"/>
      <c r="HCK390" s="22"/>
      <c r="HCL390" s="22"/>
      <c r="HCM390" s="22"/>
      <c r="HCN390" s="22"/>
      <c r="HCO390" s="22"/>
      <c r="HCP390" s="22"/>
      <c r="HCQ390" s="22"/>
      <c r="HCR390" s="22"/>
      <c r="HCS390" s="22"/>
      <c r="HCT390" s="22"/>
      <c r="HCU390" s="22"/>
      <c r="HCV390" s="22"/>
      <c r="HCW390" s="22"/>
      <c r="HCX390" s="22"/>
      <c r="HCY390" s="22"/>
      <c r="HCZ390" s="22"/>
      <c r="HDA390" s="22"/>
      <c r="HDB390" s="22"/>
      <c r="HDC390" s="22"/>
      <c r="HDD390" s="22"/>
      <c r="HDE390" s="22"/>
      <c r="HDF390" s="22"/>
      <c r="HDG390" s="22"/>
      <c r="HDH390" s="22"/>
      <c r="HDI390" s="22"/>
      <c r="HDJ390" s="22"/>
      <c r="HDK390" s="22"/>
      <c r="HDL390" s="22"/>
      <c r="HDM390" s="22"/>
      <c r="HDN390" s="22"/>
      <c r="HDO390" s="22"/>
      <c r="HDP390" s="22"/>
      <c r="HDQ390" s="22"/>
      <c r="HDR390" s="22"/>
      <c r="HDS390" s="22"/>
      <c r="HDT390" s="22"/>
      <c r="HDU390" s="22"/>
      <c r="HDV390" s="22"/>
      <c r="HDW390" s="22"/>
      <c r="HDX390" s="22"/>
      <c r="HDY390" s="22"/>
      <c r="HDZ390" s="22"/>
      <c r="HEA390" s="22"/>
      <c r="HEB390" s="22"/>
      <c r="HEC390" s="22"/>
      <c r="HED390" s="22"/>
      <c r="HEE390" s="22"/>
      <c r="HEF390" s="22"/>
      <c r="HEG390" s="22"/>
      <c r="HEH390" s="22"/>
      <c r="HEI390" s="22"/>
      <c r="HEJ390" s="22"/>
      <c r="HEK390" s="22"/>
      <c r="HEL390" s="22"/>
      <c r="HEM390" s="22"/>
      <c r="HEN390" s="22"/>
      <c r="HEO390" s="22"/>
      <c r="HEP390" s="22"/>
      <c r="HEQ390" s="22"/>
      <c r="HER390" s="22"/>
      <c r="HES390" s="22"/>
      <c r="HET390" s="22"/>
      <c r="HEU390" s="22"/>
      <c r="HEV390" s="22"/>
      <c r="HEW390" s="22"/>
      <c r="HEX390" s="22"/>
      <c r="HEY390" s="22"/>
      <c r="HEZ390" s="22"/>
      <c r="HFA390" s="22"/>
      <c r="HFB390" s="22"/>
      <c r="HFC390" s="22"/>
      <c r="HFD390" s="22"/>
      <c r="HFE390" s="22"/>
      <c r="HFF390" s="22"/>
      <c r="HFG390" s="22"/>
      <c r="HFH390" s="22"/>
      <c r="HFI390" s="22"/>
      <c r="HFJ390" s="22"/>
      <c r="HFK390" s="22"/>
      <c r="HFL390" s="22"/>
      <c r="HFM390" s="22"/>
      <c r="HFN390" s="22"/>
      <c r="HFO390" s="22"/>
      <c r="HFP390" s="22"/>
      <c r="HFQ390" s="22"/>
      <c r="HFR390" s="22"/>
      <c r="HFS390" s="22"/>
      <c r="HFT390" s="22"/>
      <c r="HFU390" s="22"/>
      <c r="HFV390" s="22"/>
      <c r="HFW390" s="22"/>
      <c r="HFX390" s="22"/>
      <c r="HFY390" s="22"/>
      <c r="HFZ390" s="22"/>
      <c r="HGA390" s="22"/>
      <c r="HGB390" s="22"/>
      <c r="HGC390" s="22"/>
      <c r="HGD390" s="22"/>
      <c r="HGE390" s="22"/>
      <c r="HGF390" s="22"/>
      <c r="HGG390" s="22"/>
      <c r="HGH390" s="22"/>
      <c r="HGI390" s="22"/>
      <c r="HGJ390" s="22"/>
      <c r="HGK390" s="22"/>
      <c r="HGL390" s="22"/>
      <c r="HGM390" s="22"/>
      <c r="HGN390" s="22"/>
      <c r="HGO390" s="22"/>
      <c r="HGP390" s="22"/>
      <c r="HGQ390" s="22"/>
      <c r="HGR390" s="22"/>
      <c r="HGS390" s="22"/>
      <c r="HGT390" s="22"/>
      <c r="HGU390" s="22"/>
      <c r="HGV390" s="22"/>
      <c r="HGW390" s="22"/>
      <c r="HGX390" s="22"/>
      <c r="HGY390" s="22"/>
      <c r="HGZ390" s="22"/>
      <c r="HHA390" s="22"/>
      <c r="HHB390" s="22"/>
      <c r="HHC390" s="22"/>
      <c r="HHD390" s="22"/>
      <c r="HHE390" s="22"/>
      <c r="HHF390" s="22"/>
      <c r="HHG390" s="22"/>
      <c r="HHH390" s="22"/>
      <c r="HHI390" s="22"/>
      <c r="HHJ390" s="22"/>
      <c r="HHK390" s="22"/>
      <c r="HHL390" s="22"/>
      <c r="HHM390" s="22"/>
      <c r="HHN390" s="22"/>
      <c r="HHO390" s="22"/>
      <c r="HHP390" s="22"/>
      <c r="HHQ390" s="22"/>
      <c r="HHR390" s="22"/>
      <c r="HHS390" s="22"/>
      <c r="HHT390" s="22"/>
      <c r="HHU390" s="22"/>
      <c r="HHV390" s="22"/>
      <c r="HHW390" s="22"/>
      <c r="HHX390" s="22"/>
      <c r="HHY390" s="22"/>
      <c r="HHZ390" s="22"/>
      <c r="HIA390" s="22"/>
      <c r="HIB390" s="22"/>
      <c r="HIC390" s="22"/>
      <c r="HID390" s="22"/>
      <c r="HIE390" s="22"/>
      <c r="HIF390" s="22"/>
      <c r="HIG390" s="22"/>
      <c r="HIH390" s="22"/>
      <c r="HII390" s="22"/>
      <c r="HIJ390" s="22"/>
      <c r="HIK390" s="22"/>
      <c r="HIL390" s="22"/>
      <c r="HIM390" s="22"/>
      <c r="HIN390" s="22"/>
      <c r="HIO390" s="22"/>
      <c r="HIP390" s="22"/>
      <c r="HIQ390" s="22"/>
      <c r="HIR390" s="22"/>
      <c r="HIS390" s="22"/>
      <c r="HIT390" s="22"/>
      <c r="HIU390" s="22"/>
      <c r="HIV390" s="22"/>
      <c r="HIW390" s="22"/>
      <c r="HIX390" s="22"/>
      <c r="HIY390" s="22"/>
      <c r="HIZ390" s="22"/>
      <c r="HJA390" s="22"/>
      <c r="HJB390" s="22"/>
      <c r="HJC390" s="22"/>
      <c r="HJD390" s="22"/>
      <c r="HJE390" s="22"/>
      <c r="HJF390" s="22"/>
      <c r="HJG390" s="22"/>
      <c r="HJH390" s="22"/>
      <c r="HJI390" s="22"/>
      <c r="HJJ390" s="22"/>
      <c r="HJK390" s="22"/>
      <c r="HJL390" s="22"/>
      <c r="HJM390" s="22"/>
      <c r="HJN390" s="22"/>
      <c r="HJO390" s="22"/>
      <c r="HJP390" s="22"/>
      <c r="HJQ390" s="22"/>
      <c r="HJR390" s="22"/>
      <c r="HJS390" s="22"/>
      <c r="HJT390" s="22"/>
      <c r="HJU390" s="22"/>
      <c r="HJV390" s="22"/>
      <c r="HJW390" s="22"/>
      <c r="HJX390" s="22"/>
      <c r="HJY390" s="22"/>
      <c r="HJZ390" s="22"/>
      <c r="HKA390" s="22"/>
      <c r="HKB390" s="22"/>
      <c r="HKC390" s="22"/>
      <c r="HKD390" s="22"/>
      <c r="HKE390" s="22"/>
      <c r="HKF390" s="22"/>
      <c r="HKG390" s="22"/>
      <c r="HKH390" s="22"/>
      <c r="HKI390" s="22"/>
      <c r="HKJ390" s="22"/>
      <c r="HKK390" s="22"/>
      <c r="HKL390" s="22"/>
      <c r="HKM390" s="22"/>
      <c r="HKN390" s="22"/>
      <c r="HKO390" s="22"/>
      <c r="HKP390" s="22"/>
      <c r="HKQ390" s="22"/>
      <c r="HKR390" s="22"/>
      <c r="HKS390" s="22"/>
      <c r="HKT390" s="22"/>
      <c r="HKU390" s="22"/>
      <c r="HKV390" s="22"/>
      <c r="HKW390" s="22"/>
      <c r="HKX390" s="22"/>
      <c r="HKY390" s="22"/>
      <c r="HKZ390" s="22"/>
      <c r="HLA390" s="22"/>
      <c r="HLB390" s="22"/>
      <c r="HLC390" s="22"/>
      <c r="HLD390" s="22"/>
      <c r="HLE390" s="22"/>
      <c r="HLF390" s="22"/>
      <c r="HLG390" s="22"/>
      <c r="HLH390" s="22"/>
      <c r="HLI390" s="22"/>
      <c r="HLJ390" s="22"/>
      <c r="HLK390" s="22"/>
      <c r="HLL390" s="22"/>
      <c r="HLM390" s="22"/>
      <c r="HLN390" s="22"/>
      <c r="HLO390" s="22"/>
      <c r="HLP390" s="22"/>
      <c r="HLQ390" s="22"/>
      <c r="HLR390" s="22"/>
      <c r="HLS390" s="22"/>
      <c r="HLT390" s="22"/>
      <c r="HLU390" s="22"/>
      <c r="HLV390" s="22"/>
      <c r="HLW390" s="22"/>
      <c r="HLX390" s="22"/>
      <c r="HLY390" s="22"/>
      <c r="HLZ390" s="22"/>
      <c r="HMA390" s="22"/>
      <c r="HMB390" s="22"/>
      <c r="HMC390" s="22"/>
      <c r="HMD390" s="22"/>
      <c r="HME390" s="22"/>
      <c r="HMF390" s="22"/>
      <c r="HMG390" s="22"/>
      <c r="HMH390" s="22"/>
      <c r="HMI390" s="22"/>
      <c r="HMJ390" s="22"/>
      <c r="HMK390" s="22"/>
      <c r="HML390" s="22"/>
      <c r="HMM390" s="22"/>
      <c r="HMN390" s="22"/>
      <c r="HMO390" s="22"/>
      <c r="HMP390" s="22"/>
      <c r="HMQ390" s="22"/>
      <c r="HMR390" s="22"/>
      <c r="HMS390" s="22"/>
      <c r="HMT390" s="22"/>
      <c r="HMU390" s="22"/>
      <c r="HMV390" s="22"/>
      <c r="HMW390" s="22"/>
      <c r="HMX390" s="22"/>
      <c r="HMY390" s="22"/>
      <c r="HMZ390" s="22"/>
      <c r="HNA390" s="22"/>
      <c r="HNB390" s="22"/>
      <c r="HNC390" s="22"/>
      <c r="HND390" s="22"/>
      <c r="HNE390" s="22"/>
      <c r="HNF390" s="22"/>
      <c r="HNG390" s="22"/>
      <c r="HNH390" s="22"/>
      <c r="HNI390" s="22"/>
      <c r="HNJ390" s="22"/>
      <c r="HNK390" s="22"/>
      <c r="HNL390" s="22"/>
      <c r="HNM390" s="22"/>
      <c r="HNN390" s="22"/>
      <c r="HNO390" s="22"/>
      <c r="HNP390" s="22"/>
      <c r="HNQ390" s="22"/>
      <c r="HNR390" s="22"/>
      <c r="HNS390" s="22"/>
      <c r="HNT390" s="22"/>
      <c r="HNU390" s="22"/>
      <c r="HNV390" s="22"/>
      <c r="HNW390" s="22"/>
      <c r="HNX390" s="22"/>
      <c r="HNY390" s="22"/>
      <c r="HNZ390" s="22"/>
      <c r="HOA390" s="22"/>
      <c r="HOB390" s="22"/>
      <c r="HOC390" s="22"/>
      <c r="HOD390" s="22"/>
      <c r="HOE390" s="22"/>
      <c r="HOF390" s="22"/>
      <c r="HOG390" s="22"/>
      <c r="HOH390" s="22"/>
      <c r="HOI390" s="22"/>
      <c r="HOJ390" s="22"/>
      <c r="HOK390" s="22"/>
      <c r="HOL390" s="22"/>
      <c r="HOM390" s="22"/>
      <c r="HON390" s="22"/>
      <c r="HOO390" s="22"/>
      <c r="HOP390" s="22"/>
      <c r="HOQ390" s="22"/>
      <c r="HOR390" s="22"/>
      <c r="HOS390" s="22"/>
      <c r="HOT390" s="22"/>
      <c r="HOU390" s="22"/>
      <c r="HOV390" s="22"/>
      <c r="HOW390" s="22"/>
      <c r="HOX390" s="22"/>
      <c r="HOY390" s="22"/>
      <c r="HOZ390" s="22"/>
      <c r="HPA390" s="22"/>
      <c r="HPB390" s="22"/>
      <c r="HPC390" s="22"/>
      <c r="HPD390" s="22"/>
      <c r="HPE390" s="22"/>
      <c r="HPF390" s="22"/>
      <c r="HPG390" s="22"/>
      <c r="HPH390" s="22"/>
      <c r="HPI390" s="22"/>
      <c r="HPJ390" s="22"/>
      <c r="HPK390" s="22"/>
      <c r="HPL390" s="22"/>
      <c r="HPM390" s="22"/>
      <c r="HPN390" s="22"/>
      <c r="HPO390" s="22"/>
      <c r="HPP390" s="22"/>
      <c r="HPQ390" s="22"/>
      <c r="HPR390" s="22"/>
      <c r="HPS390" s="22"/>
      <c r="HPT390" s="22"/>
      <c r="HPU390" s="22"/>
      <c r="HPV390" s="22"/>
      <c r="HPW390" s="22"/>
      <c r="HPX390" s="22"/>
      <c r="HPY390" s="22"/>
      <c r="HPZ390" s="22"/>
      <c r="HQA390" s="22"/>
      <c r="HQB390" s="22"/>
      <c r="HQC390" s="22"/>
      <c r="HQD390" s="22"/>
      <c r="HQE390" s="22"/>
      <c r="HQF390" s="22"/>
      <c r="HQG390" s="22"/>
      <c r="HQH390" s="22"/>
      <c r="HQI390" s="22"/>
      <c r="HQJ390" s="22"/>
      <c r="HQK390" s="22"/>
      <c r="HQL390" s="22"/>
      <c r="HQM390" s="22"/>
      <c r="HQN390" s="22"/>
      <c r="HQO390" s="22"/>
      <c r="HQP390" s="22"/>
      <c r="HQQ390" s="22"/>
      <c r="HQR390" s="22"/>
      <c r="HQS390" s="22"/>
      <c r="HQT390" s="22"/>
      <c r="HQU390" s="22"/>
      <c r="HQV390" s="22"/>
      <c r="HQW390" s="22"/>
      <c r="HQX390" s="22"/>
      <c r="HQY390" s="22"/>
      <c r="HQZ390" s="22"/>
      <c r="HRA390" s="22"/>
      <c r="HRB390" s="22"/>
      <c r="HRC390" s="22"/>
      <c r="HRD390" s="22"/>
      <c r="HRE390" s="22"/>
      <c r="HRF390" s="22"/>
      <c r="HRG390" s="22"/>
      <c r="HRH390" s="22"/>
      <c r="HRI390" s="22"/>
      <c r="HRJ390" s="22"/>
      <c r="HRK390" s="22"/>
      <c r="HRL390" s="22"/>
      <c r="HRM390" s="22"/>
      <c r="HRN390" s="22"/>
      <c r="HRO390" s="22"/>
      <c r="HRP390" s="22"/>
      <c r="HRQ390" s="22"/>
      <c r="HRR390" s="22"/>
      <c r="HRS390" s="22"/>
      <c r="HRT390" s="22"/>
      <c r="HRU390" s="22"/>
      <c r="HRV390" s="22"/>
      <c r="HRW390" s="22"/>
      <c r="HRX390" s="22"/>
      <c r="HRY390" s="22"/>
      <c r="HRZ390" s="22"/>
      <c r="HSA390" s="22"/>
      <c r="HSB390" s="22"/>
      <c r="HSC390" s="22"/>
      <c r="HSD390" s="22"/>
      <c r="HSE390" s="22"/>
      <c r="HSF390" s="22"/>
      <c r="HSG390" s="22"/>
      <c r="HSH390" s="22"/>
      <c r="HSI390" s="22"/>
      <c r="HSJ390" s="22"/>
      <c r="HSK390" s="22"/>
      <c r="HSL390" s="22"/>
      <c r="HSM390" s="22"/>
      <c r="HSN390" s="22"/>
      <c r="HSO390" s="22"/>
      <c r="HSP390" s="22"/>
      <c r="HSQ390" s="22"/>
      <c r="HSR390" s="22"/>
      <c r="HSS390" s="22"/>
      <c r="HST390" s="22"/>
      <c r="HSU390" s="22"/>
      <c r="HSV390" s="22"/>
      <c r="HSW390" s="22"/>
      <c r="HSX390" s="22"/>
      <c r="HSY390" s="22"/>
      <c r="HSZ390" s="22"/>
      <c r="HTA390" s="22"/>
      <c r="HTB390" s="22"/>
      <c r="HTC390" s="22"/>
      <c r="HTD390" s="22"/>
      <c r="HTE390" s="22"/>
      <c r="HTF390" s="22"/>
      <c r="HTG390" s="22"/>
      <c r="HTH390" s="22"/>
      <c r="HTI390" s="22"/>
      <c r="HTJ390" s="22"/>
      <c r="HTK390" s="22"/>
      <c r="HTL390" s="22"/>
      <c r="HTM390" s="22"/>
      <c r="HTN390" s="22"/>
      <c r="HTO390" s="22"/>
      <c r="HTP390" s="22"/>
      <c r="HTQ390" s="22"/>
      <c r="HTR390" s="22"/>
      <c r="HTS390" s="22"/>
      <c r="HTT390" s="22"/>
      <c r="HTU390" s="22"/>
      <c r="HTV390" s="22"/>
      <c r="HTW390" s="22"/>
      <c r="HTX390" s="22"/>
      <c r="HTY390" s="22"/>
      <c r="HTZ390" s="22"/>
      <c r="HUA390" s="22"/>
      <c r="HUB390" s="22"/>
      <c r="HUC390" s="22"/>
      <c r="HUD390" s="22"/>
      <c r="HUE390" s="22"/>
      <c r="HUF390" s="22"/>
      <c r="HUG390" s="22"/>
      <c r="HUH390" s="22"/>
      <c r="HUI390" s="22"/>
      <c r="HUJ390" s="22"/>
      <c r="HUK390" s="22"/>
      <c r="HUL390" s="22"/>
      <c r="HUM390" s="22"/>
      <c r="HUN390" s="22"/>
      <c r="HUO390" s="22"/>
      <c r="HUP390" s="22"/>
      <c r="HUQ390" s="22"/>
      <c r="HUR390" s="22"/>
      <c r="HUS390" s="22"/>
      <c r="HUT390" s="22"/>
      <c r="HUU390" s="22"/>
      <c r="HUV390" s="22"/>
      <c r="HUW390" s="22"/>
      <c r="HUX390" s="22"/>
      <c r="HUY390" s="22"/>
      <c r="HUZ390" s="22"/>
      <c r="HVA390" s="22"/>
      <c r="HVB390" s="22"/>
      <c r="HVC390" s="22"/>
      <c r="HVD390" s="22"/>
      <c r="HVE390" s="22"/>
      <c r="HVF390" s="22"/>
      <c r="HVG390" s="22"/>
      <c r="HVH390" s="22"/>
      <c r="HVI390" s="22"/>
      <c r="HVJ390" s="22"/>
      <c r="HVK390" s="22"/>
      <c r="HVL390" s="22"/>
      <c r="HVM390" s="22"/>
      <c r="HVN390" s="22"/>
      <c r="HVO390" s="22"/>
      <c r="HVP390" s="22"/>
      <c r="HVQ390" s="22"/>
      <c r="HVR390" s="22"/>
      <c r="HVS390" s="22"/>
      <c r="HVT390" s="22"/>
      <c r="HVU390" s="22"/>
      <c r="HVV390" s="22"/>
      <c r="HVW390" s="22"/>
      <c r="HVX390" s="22"/>
      <c r="HVY390" s="22"/>
      <c r="HVZ390" s="22"/>
      <c r="HWA390" s="22"/>
      <c r="HWB390" s="22"/>
      <c r="HWC390" s="22"/>
      <c r="HWD390" s="22"/>
      <c r="HWE390" s="22"/>
      <c r="HWF390" s="22"/>
      <c r="HWG390" s="22"/>
      <c r="HWH390" s="22"/>
      <c r="HWI390" s="22"/>
      <c r="HWJ390" s="22"/>
      <c r="HWK390" s="22"/>
      <c r="HWL390" s="22"/>
      <c r="HWM390" s="22"/>
      <c r="HWN390" s="22"/>
      <c r="HWO390" s="22"/>
      <c r="HWP390" s="22"/>
      <c r="HWQ390" s="22"/>
      <c r="HWR390" s="22"/>
      <c r="HWS390" s="22"/>
      <c r="HWT390" s="22"/>
      <c r="HWU390" s="22"/>
      <c r="HWV390" s="22"/>
      <c r="HWW390" s="22"/>
      <c r="HWX390" s="22"/>
      <c r="HWY390" s="22"/>
      <c r="HWZ390" s="22"/>
      <c r="HXA390" s="22"/>
      <c r="HXB390" s="22"/>
      <c r="HXC390" s="22"/>
      <c r="HXD390" s="22"/>
      <c r="HXE390" s="22"/>
      <c r="HXF390" s="22"/>
      <c r="HXG390" s="22"/>
      <c r="HXH390" s="22"/>
      <c r="HXI390" s="22"/>
      <c r="HXJ390" s="22"/>
      <c r="HXK390" s="22"/>
      <c r="HXL390" s="22"/>
      <c r="HXM390" s="22"/>
      <c r="HXN390" s="22"/>
      <c r="HXO390" s="22"/>
      <c r="HXP390" s="22"/>
      <c r="HXQ390" s="22"/>
      <c r="HXR390" s="22"/>
      <c r="HXS390" s="22"/>
      <c r="HXT390" s="22"/>
      <c r="HXU390" s="22"/>
      <c r="HXV390" s="22"/>
      <c r="HXW390" s="22"/>
      <c r="HXX390" s="22"/>
      <c r="HXY390" s="22"/>
      <c r="HXZ390" s="22"/>
      <c r="HYA390" s="22"/>
      <c r="HYB390" s="22"/>
      <c r="HYC390" s="22"/>
      <c r="HYD390" s="22"/>
      <c r="HYE390" s="22"/>
      <c r="HYF390" s="22"/>
      <c r="HYG390" s="22"/>
      <c r="HYH390" s="22"/>
      <c r="HYI390" s="22"/>
      <c r="HYJ390" s="22"/>
      <c r="HYK390" s="22"/>
      <c r="HYL390" s="22"/>
      <c r="HYM390" s="22"/>
      <c r="HYN390" s="22"/>
      <c r="HYO390" s="22"/>
      <c r="HYP390" s="22"/>
      <c r="HYQ390" s="22"/>
      <c r="HYR390" s="22"/>
      <c r="HYS390" s="22"/>
      <c r="HYT390" s="22"/>
      <c r="HYU390" s="22"/>
      <c r="HYV390" s="22"/>
      <c r="HYW390" s="22"/>
      <c r="HYX390" s="22"/>
      <c r="HYY390" s="22"/>
      <c r="HYZ390" s="22"/>
      <c r="HZA390" s="22"/>
      <c r="HZB390" s="22"/>
      <c r="HZC390" s="22"/>
      <c r="HZD390" s="22"/>
      <c r="HZE390" s="22"/>
      <c r="HZF390" s="22"/>
      <c r="HZG390" s="22"/>
      <c r="HZH390" s="22"/>
      <c r="HZI390" s="22"/>
      <c r="HZJ390" s="22"/>
      <c r="HZK390" s="22"/>
      <c r="HZL390" s="22"/>
      <c r="HZM390" s="22"/>
      <c r="HZN390" s="22"/>
      <c r="HZO390" s="22"/>
      <c r="HZP390" s="22"/>
      <c r="HZQ390" s="22"/>
      <c r="HZR390" s="22"/>
      <c r="HZS390" s="22"/>
      <c r="HZT390" s="22"/>
      <c r="HZU390" s="22"/>
      <c r="HZV390" s="22"/>
      <c r="HZW390" s="22"/>
      <c r="HZX390" s="22"/>
      <c r="HZY390" s="22"/>
      <c r="HZZ390" s="22"/>
      <c r="IAA390" s="22"/>
      <c r="IAB390" s="22"/>
      <c r="IAC390" s="22"/>
      <c r="IAD390" s="22"/>
      <c r="IAE390" s="22"/>
      <c r="IAF390" s="22"/>
      <c r="IAG390" s="22"/>
      <c r="IAH390" s="22"/>
      <c r="IAI390" s="22"/>
      <c r="IAJ390" s="22"/>
      <c r="IAK390" s="22"/>
      <c r="IAL390" s="22"/>
      <c r="IAM390" s="22"/>
      <c r="IAN390" s="22"/>
      <c r="IAO390" s="22"/>
      <c r="IAP390" s="22"/>
      <c r="IAQ390" s="22"/>
      <c r="IAR390" s="22"/>
      <c r="IAS390" s="22"/>
      <c r="IAT390" s="22"/>
      <c r="IAU390" s="22"/>
      <c r="IAV390" s="22"/>
      <c r="IAW390" s="22"/>
      <c r="IAX390" s="22"/>
      <c r="IAY390" s="22"/>
      <c r="IAZ390" s="22"/>
      <c r="IBA390" s="22"/>
      <c r="IBB390" s="22"/>
      <c r="IBC390" s="22"/>
      <c r="IBD390" s="22"/>
      <c r="IBE390" s="22"/>
      <c r="IBF390" s="22"/>
      <c r="IBG390" s="22"/>
      <c r="IBH390" s="22"/>
      <c r="IBI390" s="22"/>
      <c r="IBJ390" s="22"/>
      <c r="IBK390" s="22"/>
      <c r="IBL390" s="22"/>
      <c r="IBM390" s="22"/>
      <c r="IBN390" s="22"/>
      <c r="IBO390" s="22"/>
      <c r="IBP390" s="22"/>
      <c r="IBQ390" s="22"/>
      <c r="IBR390" s="22"/>
      <c r="IBS390" s="22"/>
      <c r="IBT390" s="22"/>
      <c r="IBU390" s="22"/>
      <c r="IBV390" s="22"/>
      <c r="IBW390" s="22"/>
      <c r="IBX390" s="22"/>
      <c r="IBY390" s="22"/>
      <c r="IBZ390" s="22"/>
      <c r="ICA390" s="22"/>
      <c r="ICB390" s="22"/>
      <c r="ICC390" s="22"/>
      <c r="ICD390" s="22"/>
      <c r="ICE390" s="22"/>
      <c r="ICF390" s="22"/>
      <c r="ICG390" s="22"/>
      <c r="ICH390" s="22"/>
      <c r="ICI390" s="22"/>
      <c r="ICJ390" s="22"/>
      <c r="ICK390" s="22"/>
      <c r="ICL390" s="22"/>
      <c r="ICM390" s="22"/>
      <c r="ICN390" s="22"/>
      <c r="ICO390" s="22"/>
      <c r="ICP390" s="22"/>
      <c r="ICQ390" s="22"/>
      <c r="ICR390" s="22"/>
      <c r="ICS390" s="22"/>
      <c r="ICT390" s="22"/>
      <c r="ICU390" s="22"/>
      <c r="ICV390" s="22"/>
      <c r="ICW390" s="22"/>
      <c r="ICX390" s="22"/>
      <c r="ICY390" s="22"/>
      <c r="ICZ390" s="22"/>
      <c r="IDA390" s="22"/>
      <c r="IDB390" s="22"/>
      <c r="IDC390" s="22"/>
      <c r="IDD390" s="22"/>
      <c r="IDE390" s="22"/>
      <c r="IDF390" s="22"/>
      <c r="IDG390" s="22"/>
      <c r="IDH390" s="22"/>
      <c r="IDI390" s="22"/>
      <c r="IDJ390" s="22"/>
      <c r="IDK390" s="22"/>
      <c r="IDL390" s="22"/>
      <c r="IDM390" s="22"/>
      <c r="IDN390" s="22"/>
      <c r="IDO390" s="22"/>
      <c r="IDP390" s="22"/>
      <c r="IDQ390" s="22"/>
      <c r="IDR390" s="22"/>
      <c r="IDS390" s="22"/>
      <c r="IDT390" s="22"/>
      <c r="IDU390" s="22"/>
      <c r="IDV390" s="22"/>
      <c r="IDW390" s="22"/>
      <c r="IDX390" s="22"/>
      <c r="IDY390" s="22"/>
      <c r="IDZ390" s="22"/>
      <c r="IEA390" s="22"/>
      <c r="IEB390" s="22"/>
      <c r="IEC390" s="22"/>
      <c r="IED390" s="22"/>
      <c r="IEE390" s="22"/>
      <c r="IEF390" s="22"/>
      <c r="IEG390" s="22"/>
      <c r="IEH390" s="22"/>
      <c r="IEI390" s="22"/>
      <c r="IEJ390" s="22"/>
      <c r="IEK390" s="22"/>
      <c r="IEL390" s="22"/>
      <c r="IEM390" s="22"/>
      <c r="IEN390" s="22"/>
      <c r="IEO390" s="22"/>
      <c r="IEP390" s="22"/>
      <c r="IEQ390" s="22"/>
      <c r="IER390" s="22"/>
      <c r="IES390" s="22"/>
      <c r="IET390" s="22"/>
      <c r="IEU390" s="22"/>
      <c r="IEV390" s="22"/>
      <c r="IEW390" s="22"/>
      <c r="IEX390" s="22"/>
      <c r="IEY390" s="22"/>
      <c r="IEZ390" s="22"/>
      <c r="IFA390" s="22"/>
      <c r="IFB390" s="22"/>
      <c r="IFC390" s="22"/>
      <c r="IFD390" s="22"/>
      <c r="IFE390" s="22"/>
      <c r="IFF390" s="22"/>
      <c r="IFG390" s="22"/>
      <c r="IFH390" s="22"/>
      <c r="IFI390" s="22"/>
      <c r="IFJ390" s="22"/>
      <c r="IFK390" s="22"/>
      <c r="IFL390" s="22"/>
      <c r="IFM390" s="22"/>
      <c r="IFN390" s="22"/>
      <c r="IFO390" s="22"/>
      <c r="IFP390" s="22"/>
      <c r="IFQ390" s="22"/>
      <c r="IFR390" s="22"/>
      <c r="IFS390" s="22"/>
      <c r="IFT390" s="22"/>
      <c r="IFU390" s="22"/>
      <c r="IFV390" s="22"/>
      <c r="IFW390" s="22"/>
      <c r="IFX390" s="22"/>
      <c r="IFY390" s="22"/>
      <c r="IFZ390" s="22"/>
      <c r="IGA390" s="22"/>
      <c r="IGB390" s="22"/>
      <c r="IGC390" s="22"/>
      <c r="IGD390" s="22"/>
      <c r="IGE390" s="22"/>
      <c r="IGF390" s="22"/>
      <c r="IGG390" s="22"/>
      <c r="IGH390" s="22"/>
      <c r="IGI390" s="22"/>
      <c r="IGJ390" s="22"/>
      <c r="IGK390" s="22"/>
      <c r="IGL390" s="22"/>
      <c r="IGM390" s="22"/>
      <c r="IGN390" s="22"/>
      <c r="IGO390" s="22"/>
      <c r="IGP390" s="22"/>
      <c r="IGQ390" s="22"/>
      <c r="IGR390" s="22"/>
      <c r="IGS390" s="22"/>
      <c r="IGT390" s="22"/>
      <c r="IGU390" s="22"/>
      <c r="IGV390" s="22"/>
      <c r="IGW390" s="22"/>
      <c r="IGX390" s="22"/>
      <c r="IGY390" s="22"/>
      <c r="IGZ390" s="22"/>
      <c r="IHA390" s="22"/>
      <c r="IHB390" s="22"/>
      <c r="IHC390" s="22"/>
      <c r="IHD390" s="22"/>
      <c r="IHE390" s="22"/>
      <c r="IHF390" s="22"/>
      <c r="IHG390" s="22"/>
      <c r="IHH390" s="22"/>
      <c r="IHI390" s="22"/>
      <c r="IHJ390" s="22"/>
      <c r="IHK390" s="22"/>
      <c r="IHL390" s="22"/>
      <c r="IHM390" s="22"/>
      <c r="IHN390" s="22"/>
      <c r="IHO390" s="22"/>
      <c r="IHP390" s="22"/>
      <c r="IHQ390" s="22"/>
      <c r="IHR390" s="22"/>
      <c r="IHS390" s="22"/>
      <c r="IHT390" s="22"/>
      <c r="IHU390" s="22"/>
      <c r="IHV390" s="22"/>
      <c r="IHW390" s="22"/>
      <c r="IHX390" s="22"/>
      <c r="IHY390" s="22"/>
      <c r="IHZ390" s="22"/>
      <c r="IIA390" s="22"/>
      <c r="IIB390" s="22"/>
      <c r="IIC390" s="22"/>
      <c r="IID390" s="22"/>
      <c r="IIE390" s="22"/>
      <c r="IIF390" s="22"/>
      <c r="IIG390" s="22"/>
      <c r="IIH390" s="22"/>
      <c r="III390" s="22"/>
      <c r="IIJ390" s="22"/>
      <c r="IIK390" s="22"/>
      <c r="IIL390" s="22"/>
      <c r="IIM390" s="22"/>
      <c r="IIN390" s="22"/>
      <c r="IIO390" s="22"/>
      <c r="IIP390" s="22"/>
      <c r="IIQ390" s="22"/>
      <c r="IIR390" s="22"/>
      <c r="IIS390" s="22"/>
      <c r="IIT390" s="22"/>
      <c r="IIU390" s="22"/>
      <c r="IIV390" s="22"/>
      <c r="IIW390" s="22"/>
      <c r="IIX390" s="22"/>
      <c r="IIY390" s="22"/>
      <c r="IIZ390" s="22"/>
      <c r="IJA390" s="22"/>
      <c r="IJB390" s="22"/>
      <c r="IJC390" s="22"/>
      <c r="IJD390" s="22"/>
      <c r="IJE390" s="22"/>
      <c r="IJF390" s="22"/>
      <c r="IJG390" s="22"/>
      <c r="IJH390" s="22"/>
      <c r="IJI390" s="22"/>
      <c r="IJJ390" s="22"/>
      <c r="IJK390" s="22"/>
      <c r="IJL390" s="22"/>
      <c r="IJM390" s="22"/>
      <c r="IJN390" s="22"/>
      <c r="IJO390" s="22"/>
      <c r="IJP390" s="22"/>
      <c r="IJQ390" s="22"/>
      <c r="IJR390" s="22"/>
      <c r="IJS390" s="22"/>
      <c r="IJT390" s="22"/>
      <c r="IJU390" s="22"/>
      <c r="IJV390" s="22"/>
      <c r="IJW390" s="22"/>
      <c r="IJX390" s="22"/>
      <c r="IJY390" s="22"/>
      <c r="IJZ390" s="22"/>
      <c r="IKA390" s="22"/>
      <c r="IKB390" s="22"/>
      <c r="IKC390" s="22"/>
      <c r="IKD390" s="22"/>
      <c r="IKE390" s="22"/>
      <c r="IKF390" s="22"/>
      <c r="IKG390" s="22"/>
      <c r="IKH390" s="22"/>
      <c r="IKI390" s="22"/>
      <c r="IKJ390" s="22"/>
      <c r="IKK390" s="22"/>
      <c r="IKL390" s="22"/>
      <c r="IKM390" s="22"/>
      <c r="IKN390" s="22"/>
      <c r="IKO390" s="22"/>
      <c r="IKP390" s="22"/>
      <c r="IKQ390" s="22"/>
      <c r="IKR390" s="22"/>
      <c r="IKS390" s="22"/>
      <c r="IKT390" s="22"/>
      <c r="IKU390" s="22"/>
      <c r="IKV390" s="22"/>
      <c r="IKW390" s="22"/>
      <c r="IKX390" s="22"/>
      <c r="IKY390" s="22"/>
      <c r="IKZ390" s="22"/>
      <c r="ILA390" s="22"/>
      <c r="ILB390" s="22"/>
      <c r="ILC390" s="22"/>
      <c r="ILD390" s="22"/>
      <c r="ILE390" s="22"/>
      <c r="ILF390" s="22"/>
      <c r="ILG390" s="22"/>
      <c r="ILH390" s="22"/>
      <c r="ILI390" s="22"/>
      <c r="ILJ390" s="22"/>
      <c r="ILK390" s="22"/>
      <c r="ILL390" s="22"/>
      <c r="ILM390" s="22"/>
      <c r="ILN390" s="22"/>
      <c r="ILO390" s="22"/>
      <c r="ILP390" s="22"/>
      <c r="ILQ390" s="22"/>
      <c r="ILR390" s="22"/>
      <c r="ILS390" s="22"/>
      <c r="ILT390" s="22"/>
      <c r="ILU390" s="22"/>
      <c r="ILV390" s="22"/>
      <c r="ILW390" s="22"/>
      <c r="ILX390" s="22"/>
      <c r="ILY390" s="22"/>
      <c r="ILZ390" s="22"/>
      <c r="IMA390" s="22"/>
      <c r="IMB390" s="22"/>
      <c r="IMC390" s="22"/>
      <c r="IMD390" s="22"/>
      <c r="IME390" s="22"/>
      <c r="IMF390" s="22"/>
      <c r="IMG390" s="22"/>
      <c r="IMH390" s="22"/>
      <c r="IMI390" s="22"/>
      <c r="IMJ390" s="22"/>
      <c r="IMK390" s="22"/>
      <c r="IML390" s="22"/>
      <c r="IMM390" s="22"/>
      <c r="IMN390" s="22"/>
      <c r="IMO390" s="22"/>
      <c r="IMP390" s="22"/>
      <c r="IMQ390" s="22"/>
      <c r="IMR390" s="22"/>
      <c r="IMS390" s="22"/>
      <c r="IMT390" s="22"/>
      <c r="IMU390" s="22"/>
      <c r="IMV390" s="22"/>
      <c r="IMW390" s="22"/>
      <c r="IMX390" s="22"/>
      <c r="IMY390" s="22"/>
      <c r="IMZ390" s="22"/>
      <c r="INA390" s="22"/>
      <c r="INB390" s="22"/>
      <c r="INC390" s="22"/>
      <c r="IND390" s="22"/>
      <c r="INE390" s="22"/>
      <c r="INF390" s="22"/>
      <c r="ING390" s="22"/>
      <c r="INH390" s="22"/>
      <c r="INI390" s="22"/>
      <c r="INJ390" s="22"/>
      <c r="INK390" s="22"/>
      <c r="INL390" s="22"/>
      <c r="INM390" s="22"/>
      <c r="INN390" s="22"/>
      <c r="INO390" s="22"/>
      <c r="INP390" s="22"/>
      <c r="INQ390" s="22"/>
      <c r="INR390" s="22"/>
      <c r="INS390" s="22"/>
      <c r="INT390" s="22"/>
      <c r="INU390" s="22"/>
      <c r="INV390" s="22"/>
      <c r="INW390" s="22"/>
      <c r="INX390" s="22"/>
      <c r="INY390" s="22"/>
      <c r="INZ390" s="22"/>
      <c r="IOA390" s="22"/>
      <c r="IOB390" s="22"/>
      <c r="IOC390" s="22"/>
      <c r="IOD390" s="22"/>
      <c r="IOE390" s="22"/>
      <c r="IOF390" s="22"/>
      <c r="IOG390" s="22"/>
      <c r="IOH390" s="22"/>
      <c r="IOI390" s="22"/>
      <c r="IOJ390" s="22"/>
      <c r="IOK390" s="22"/>
      <c r="IOL390" s="22"/>
      <c r="IOM390" s="22"/>
      <c r="ION390" s="22"/>
      <c r="IOO390" s="22"/>
      <c r="IOP390" s="22"/>
      <c r="IOQ390" s="22"/>
      <c r="IOR390" s="22"/>
      <c r="IOS390" s="22"/>
      <c r="IOT390" s="22"/>
      <c r="IOU390" s="22"/>
      <c r="IOV390" s="22"/>
      <c r="IOW390" s="22"/>
      <c r="IOX390" s="22"/>
      <c r="IOY390" s="22"/>
      <c r="IOZ390" s="22"/>
      <c r="IPA390" s="22"/>
      <c r="IPB390" s="22"/>
      <c r="IPC390" s="22"/>
      <c r="IPD390" s="22"/>
      <c r="IPE390" s="22"/>
      <c r="IPF390" s="22"/>
      <c r="IPG390" s="22"/>
      <c r="IPH390" s="22"/>
      <c r="IPI390" s="22"/>
      <c r="IPJ390" s="22"/>
      <c r="IPK390" s="22"/>
      <c r="IPL390" s="22"/>
      <c r="IPM390" s="22"/>
      <c r="IPN390" s="22"/>
      <c r="IPO390" s="22"/>
      <c r="IPP390" s="22"/>
      <c r="IPQ390" s="22"/>
      <c r="IPR390" s="22"/>
      <c r="IPS390" s="22"/>
      <c r="IPT390" s="22"/>
      <c r="IPU390" s="22"/>
      <c r="IPV390" s="22"/>
      <c r="IPW390" s="22"/>
      <c r="IPX390" s="22"/>
      <c r="IPY390" s="22"/>
      <c r="IPZ390" s="22"/>
      <c r="IQA390" s="22"/>
      <c r="IQB390" s="22"/>
      <c r="IQC390" s="22"/>
      <c r="IQD390" s="22"/>
      <c r="IQE390" s="22"/>
      <c r="IQF390" s="22"/>
      <c r="IQG390" s="22"/>
      <c r="IQH390" s="22"/>
      <c r="IQI390" s="22"/>
      <c r="IQJ390" s="22"/>
      <c r="IQK390" s="22"/>
      <c r="IQL390" s="22"/>
      <c r="IQM390" s="22"/>
      <c r="IQN390" s="22"/>
      <c r="IQO390" s="22"/>
      <c r="IQP390" s="22"/>
      <c r="IQQ390" s="22"/>
      <c r="IQR390" s="22"/>
      <c r="IQS390" s="22"/>
      <c r="IQT390" s="22"/>
      <c r="IQU390" s="22"/>
      <c r="IQV390" s="22"/>
      <c r="IQW390" s="22"/>
      <c r="IQX390" s="22"/>
      <c r="IQY390" s="22"/>
      <c r="IQZ390" s="22"/>
      <c r="IRA390" s="22"/>
      <c r="IRB390" s="22"/>
      <c r="IRC390" s="22"/>
      <c r="IRD390" s="22"/>
      <c r="IRE390" s="22"/>
      <c r="IRF390" s="22"/>
      <c r="IRG390" s="22"/>
      <c r="IRH390" s="22"/>
      <c r="IRI390" s="22"/>
      <c r="IRJ390" s="22"/>
      <c r="IRK390" s="22"/>
      <c r="IRL390" s="22"/>
      <c r="IRM390" s="22"/>
      <c r="IRN390" s="22"/>
      <c r="IRO390" s="22"/>
      <c r="IRP390" s="22"/>
      <c r="IRQ390" s="22"/>
      <c r="IRR390" s="22"/>
      <c r="IRS390" s="22"/>
      <c r="IRT390" s="22"/>
      <c r="IRU390" s="22"/>
      <c r="IRV390" s="22"/>
      <c r="IRW390" s="22"/>
      <c r="IRX390" s="22"/>
      <c r="IRY390" s="22"/>
      <c r="IRZ390" s="22"/>
      <c r="ISA390" s="22"/>
      <c r="ISB390" s="22"/>
      <c r="ISC390" s="22"/>
      <c r="ISD390" s="22"/>
      <c r="ISE390" s="22"/>
      <c r="ISF390" s="22"/>
      <c r="ISG390" s="22"/>
      <c r="ISH390" s="22"/>
      <c r="ISI390" s="22"/>
      <c r="ISJ390" s="22"/>
      <c r="ISK390" s="22"/>
      <c r="ISL390" s="22"/>
      <c r="ISM390" s="22"/>
      <c r="ISN390" s="22"/>
      <c r="ISO390" s="22"/>
      <c r="ISP390" s="22"/>
      <c r="ISQ390" s="22"/>
      <c r="ISR390" s="22"/>
      <c r="ISS390" s="22"/>
      <c r="IST390" s="22"/>
      <c r="ISU390" s="22"/>
      <c r="ISV390" s="22"/>
      <c r="ISW390" s="22"/>
      <c r="ISX390" s="22"/>
      <c r="ISY390" s="22"/>
      <c r="ISZ390" s="22"/>
      <c r="ITA390" s="22"/>
      <c r="ITB390" s="22"/>
      <c r="ITC390" s="22"/>
      <c r="ITD390" s="22"/>
      <c r="ITE390" s="22"/>
      <c r="ITF390" s="22"/>
      <c r="ITG390" s="22"/>
      <c r="ITH390" s="22"/>
      <c r="ITI390" s="22"/>
      <c r="ITJ390" s="22"/>
      <c r="ITK390" s="22"/>
      <c r="ITL390" s="22"/>
      <c r="ITM390" s="22"/>
      <c r="ITN390" s="22"/>
      <c r="ITO390" s="22"/>
      <c r="ITP390" s="22"/>
      <c r="ITQ390" s="22"/>
      <c r="ITR390" s="22"/>
      <c r="ITS390" s="22"/>
      <c r="ITT390" s="22"/>
      <c r="ITU390" s="22"/>
      <c r="ITV390" s="22"/>
      <c r="ITW390" s="22"/>
      <c r="ITX390" s="22"/>
      <c r="ITY390" s="22"/>
      <c r="ITZ390" s="22"/>
      <c r="IUA390" s="22"/>
      <c r="IUB390" s="22"/>
      <c r="IUC390" s="22"/>
      <c r="IUD390" s="22"/>
      <c r="IUE390" s="22"/>
      <c r="IUF390" s="22"/>
      <c r="IUG390" s="22"/>
      <c r="IUH390" s="22"/>
      <c r="IUI390" s="22"/>
      <c r="IUJ390" s="22"/>
      <c r="IUK390" s="22"/>
      <c r="IUL390" s="22"/>
      <c r="IUM390" s="22"/>
      <c r="IUN390" s="22"/>
      <c r="IUO390" s="22"/>
      <c r="IUP390" s="22"/>
      <c r="IUQ390" s="22"/>
      <c r="IUR390" s="22"/>
      <c r="IUS390" s="22"/>
      <c r="IUT390" s="22"/>
      <c r="IUU390" s="22"/>
      <c r="IUV390" s="22"/>
      <c r="IUW390" s="22"/>
      <c r="IUX390" s="22"/>
      <c r="IUY390" s="22"/>
      <c r="IUZ390" s="22"/>
      <c r="IVA390" s="22"/>
      <c r="IVB390" s="22"/>
      <c r="IVC390" s="22"/>
      <c r="IVD390" s="22"/>
      <c r="IVE390" s="22"/>
      <c r="IVF390" s="22"/>
      <c r="IVG390" s="22"/>
      <c r="IVH390" s="22"/>
      <c r="IVI390" s="22"/>
      <c r="IVJ390" s="22"/>
      <c r="IVK390" s="22"/>
      <c r="IVL390" s="22"/>
      <c r="IVM390" s="22"/>
      <c r="IVN390" s="22"/>
      <c r="IVO390" s="22"/>
      <c r="IVP390" s="22"/>
      <c r="IVQ390" s="22"/>
      <c r="IVR390" s="22"/>
      <c r="IVS390" s="22"/>
      <c r="IVT390" s="22"/>
      <c r="IVU390" s="22"/>
      <c r="IVV390" s="22"/>
      <c r="IVW390" s="22"/>
      <c r="IVX390" s="22"/>
      <c r="IVY390" s="22"/>
      <c r="IVZ390" s="22"/>
      <c r="IWA390" s="22"/>
      <c r="IWB390" s="22"/>
      <c r="IWC390" s="22"/>
      <c r="IWD390" s="22"/>
      <c r="IWE390" s="22"/>
      <c r="IWF390" s="22"/>
      <c r="IWG390" s="22"/>
      <c r="IWH390" s="22"/>
      <c r="IWI390" s="22"/>
      <c r="IWJ390" s="22"/>
      <c r="IWK390" s="22"/>
      <c r="IWL390" s="22"/>
      <c r="IWM390" s="22"/>
      <c r="IWN390" s="22"/>
      <c r="IWO390" s="22"/>
      <c r="IWP390" s="22"/>
      <c r="IWQ390" s="22"/>
      <c r="IWR390" s="22"/>
      <c r="IWS390" s="22"/>
      <c r="IWT390" s="22"/>
      <c r="IWU390" s="22"/>
      <c r="IWV390" s="22"/>
      <c r="IWW390" s="22"/>
      <c r="IWX390" s="22"/>
      <c r="IWY390" s="22"/>
      <c r="IWZ390" s="22"/>
      <c r="IXA390" s="22"/>
      <c r="IXB390" s="22"/>
      <c r="IXC390" s="22"/>
      <c r="IXD390" s="22"/>
      <c r="IXE390" s="22"/>
      <c r="IXF390" s="22"/>
      <c r="IXG390" s="22"/>
      <c r="IXH390" s="22"/>
      <c r="IXI390" s="22"/>
      <c r="IXJ390" s="22"/>
      <c r="IXK390" s="22"/>
      <c r="IXL390" s="22"/>
      <c r="IXM390" s="22"/>
      <c r="IXN390" s="22"/>
      <c r="IXO390" s="22"/>
      <c r="IXP390" s="22"/>
      <c r="IXQ390" s="22"/>
      <c r="IXR390" s="22"/>
      <c r="IXS390" s="22"/>
      <c r="IXT390" s="22"/>
      <c r="IXU390" s="22"/>
      <c r="IXV390" s="22"/>
      <c r="IXW390" s="22"/>
      <c r="IXX390" s="22"/>
      <c r="IXY390" s="22"/>
      <c r="IXZ390" s="22"/>
      <c r="IYA390" s="22"/>
      <c r="IYB390" s="22"/>
      <c r="IYC390" s="22"/>
      <c r="IYD390" s="22"/>
      <c r="IYE390" s="22"/>
      <c r="IYF390" s="22"/>
      <c r="IYG390" s="22"/>
      <c r="IYH390" s="22"/>
      <c r="IYI390" s="22"/>
      <c r="IYJ390" s="22"/>
      <c r="IYK390" s="22"/>
      <c r="IYL390" s="22"/>
      <c r="IYM390" s="22"/>
      <c r="IYN390" s="22"/>
      <c r="IYO390" s="22"/>
      <c r="IYP390" s="22"/>
      <c r="IYQ390" s="22"/>
      <c r="IYR390" s="22"/>
      <c r="IYS390" s="22"/>
      <c r="IYT390" s="22"/>
      <c r="IYU390" s="22"/>
      <c r="IYV390" s="22"/>
      <c r="IYW390" s="22"/>
      <c r="IYX390" s="22"/>
      <c r="IYY390" s="22"/>
      <c r="IYZ390" s="22"/>
      <c r="IZA390" s="22"/>
      <c r="IZB390" s="22"/>
      <c r="IZC390" s="22"/>
      <c r="IZD390" s="22"/>
      <c r="IZE390" s="22"/>
      <c r="IZF390" s="22"/>
      <c r="IZG390" s="22"/>
      <c r="IZH390" s="22"/>
      <c r="IZI390" s="22"/>
      <c r="IZJ390" s="22"/>
      <c r="IZK390" s="22"/>
      <c r="IZL390" s="22"/>
      <c r="IZM390" s="22"/>
      <c r="IZN390" s="22"/>
      <c r="IZO390" s="22"/>
      <c r="IZP390" s="22"/>
      <c r="IZQ390" s="22"/>
      <c r="IZR390" s="22"/>
      <c r="IZS390" s="22"/>
      <c r="IZT390" s="22"/>
      <c r="IZU390" s="22"/>
      <c r="IZV390" s="22"/>
      <c r="IZW390" s="22"/>
      <c r="IZX390" s="22"/>
      <c r="IZY390" s="22"/>
      <c r="IZZ390" s="22"/>
      <c r="JAA390" s="22"/>
      <c r="JAB390" s="22"/>
      <c r="JAC390" s="22"/>
      <c r="JAD390" s="22"/>
      <c r="JAE390" s="22"/>
      <c r="JAF390" s="22"/>
      <c r="JAG390" s="22"/>
      <c r="JAH390" s="22"/>
      <c r="JAI390" s="22"/>
      <c r="JAJ390" s="22"/>
      <c r="JAK390" s="22"/>
      <c r="JAL390" s="22"/>
      <c r="JAM390" s="22"/>
      <c r="JAN390" s="22"/>
      <c r="JAO390" s="22"/>
      <c r="JAP390" s="22"/>
      <c r="JAQ390" s="22"/>
      <c r="JAR390" s="22"/>
      <c r="JAS390" s="22"/>
      <c r="JAT390" s="22"/>
      <c r="JAU390" s="22"/>
      <c r="JAV390" s="22"/>
      <c r="JAW390" s="22"/>
      <c r="JAX390" s="22"/>
      <c r="JAY390" s="22"/>
      <c r="JAZ390" s="22"/>
      <c r="JBA390" s="22"/>
      <c r="JBB390" s="22"/>
      <c r="JBC390" s="22"/>
      <c r="JBD390" s="22"/>
      <c r="JBE390" s="22"/>
      <c r="JBF390" s="22"/>
      <c r="JBG390" s="22"/>
      <c r="JBH390" s="22"/>
      <c r="JBI390" s="22"/>
      <c r="JBJ390" s="22"/>
      <c r="JBK390" s="22"/>
      <c r="JBL390" s="22"/>
      <c r="JBM390" s="22"/>
      <c r="JBN390" s="22"/>
      <c r="JBO390" s="22"/>
      <c r="JBP390" s="22"/>
      <c r="JBQ390" s="22"/>
      <c r="JBR390" s="22"/>
      <c r="JBS390" s="22"/>
      <c r="JBT390" s="22"/>
      <c r="JBU390" s="22"/>
      <c r="JBV390" s="22"/>
      <c r="JBW390" s="22"/>
      <c r="JBX390" s="22"/>
      <c r="JBY390" s="22"/>
      <c r="JBZ390" s="22"/>
      <c r="JCA390" s="22"/>
      <c r="JCB390" s="22"/>
      <c r="JCC390" s="22"/>
      <c r="JCD390" s="22"/>
      <c r="JCE390" s="22"/>
      <c r="JCF390" s="22"/>
      <c r="JCG390" s="22"/>
      <c r="JCH390" s="22"/>
      <c r="JCI390" s="22"/>
      <c r="JCJ390" s="22"/>
      <c r="JCK390" s="22"/>
      <c r="JCL390" s="22"/>
      <c r="JCM390" s="22"/>
      <c r="JCN390" s="22"/>
      <c r="JCO390" s="22"/>
      <c r="JCP390" s="22"/>
      <c r="JCQ390" s="22"/>
      <c r="JCR390" s="22"/>
      <c r="JCS390" s="22"/>
      <c r="JCT390" s="22"/>
      <c r="JCU390" s="22"/>
      <c r="JCV390" s="22"/>
      <c r="JCW390" s="22"/>
      <c r="JCX390" s="22"/>
      <c r="JCY390" s="22"/>
      <c r="JCZ390" s="22"/>
      <c r="JDA390" s="22"/>
      <c r="JDB390" s="22"/>
      <c r="JDC390" s="22"/>
      <c r="JDD390" s="22"/>
      <c r="JDE390" s="22"/>
      <c r="JDF390" s="22"/>
      <c r="JDG390" s="22"/>
      <c r="JDH390" s="22"/>
      <c r="JDI390" s="22"/>
      <c r="JDJ390" s="22"/>
      <c r="JDK390" s="22"/>
      <c r="JDL390" s="22"/>
      <c r="JDM390" s="22"/>
      <c r="JDN390" s="22"/>
      <c r="JDO390" s="22"/>
      <c r="JDP390" s="22"/>
      <c r="JDQ390" s="22"/>
      <c r="JDR390" s="22"/>
      <c r="JDS390" s="22"/>
      <c r="JDT390" s="22"/>
      <c r="JDU390" s="22"/>
      <c r="JDV390" s="22"/>
      <c r="JDW390" s="22"/>
      <c r="JDX390" s="22"/>
      <c r="JDY390" s="22"/>
      <c r="JDZ390" s="22"/>
      <c r="JEA390" s="22"/>
      <c r="JEB390" s="22"/>
      <c r="JEC390" s="22"/>
      <c r="JED390" s="22"/>
      <c r="JEE390" s="22"/>
      <c r="JEF390" s="22"/>
      <c r="JEG390" s="22"/>
      <c r="JEH390" s="22"/>
      <c r="JEI390" s="22"/>
      <c r="JEJ390" s="22"/>
      <c r="JEK390" s="22"/>
      <c r="JEL390" s="22"/>
      <c r="JEM390" s="22"/>
      <c r="JEN390" s="22"/>
      <c r="JEO390" s="22"/>
      <c r="JEP390" s="22"/>
      <c r="JEQ390" s="22"/>
      <c r="JER390" s="22"/>
      <c r="JES390" s="22"/>
      <c r="JET390" s="22"/>
      <c r="JEU390" s="22"/>
      <c r="JEV390" s="22"/>
      <c r="JEW390" s="22"/>
      <c r="JEX390" s="22"/>
      <c r="JEY390" s="22"/>
      <c r="JEZ390" s="22"/>
      <c r="JFA390" s="22"/>
      <c r="JFB390" s="22"/>
      <c r="JFC390" s="22"/>
      <c r="JFD390" s="22"/>
      <c r="JFE390" s="22"/>
      <c r="JFF390" s="22"/>
      <c r="JFG390" s="22"/>
      <c r="JFH390" s="22"/>
      <c r="JFI390" s="22"/>
      <c r="JFJ390" s="22"/>
      <c r="JFK390" s="22"/>
      <c r="JFL390" s="22"/>
      <c r="JFM390" s="22"/>
      <c r="JFN390" s="22"/>
      <c r="JFO390" s="22"/>
      <c r="JFP390" s="22"/>
      <c r="JFQ390" s="22"/>
      <c r="JFR390" s="22"/>
      <c r="JFS390" s="22"/>
      <c r="JFT390" s="22"/>
      <c r="JFU390" s="22"/>
      <c r="JFV390" s="22"/>
      <c r="JFW390" s="22"/>
      <c r="JFX390" s="22"/>
      <c r="JFY390" s="22"/>
      <c r="JFZ390" s="22"/>
      <c r="JGA390" s="22"/>
      <c r="JGB390" s="22"/>
      <c r="JGC390" s="22"/>
      <c r="JGD390" s="22"/>
      <c r="JGE390" s="22"/>
      <c r="JGF390" s="22"/>
      <c r="JGG390" s="22"/>
      <c r="JGH390" s="22"/>
      <c r="JGI390" s="22"/>
      <c r="JGJ390" s="22"/>
      <c r="JGK390" s="22"/>
      <c r="JGL390" s="22"/>
      <c r="JGM390" s="22"/>
      <c r="JGN390" s="22"/>
      <c r="JGO390" s="22"/>
      <c r="JGP390" s="22"/>
      <c r="JGQ390" s="22"/>
      <c r="JGR390" s="22"/>
      <c r="JGS390" s="22"/>
      <c r="JGT390" s="22"/>
      <c r="JGU390" s="22"/>
      <c r="JGV390" s="22"/>
      <c r="JGW390" s="22"/>
      <c r="JGX390" s="22"/>
      <c r="JGY390" s="22"/>
      <c r="JGZ390" s="22"/>
      <c r="JHA390" s="22"/>
      <c r="JHB390" s="22"/>
      <c r="JHC390" s="22"/>
      <c r="JHD390" s="22"/>
      <c r="JHE390" s="22"/>
      <c r="JHF390" s="22"/>
      <c r="JHG390" s="22"/>
      <c r="JHH390" s="22"/>
      <c r="JHI390" s="22"/>
      <c r="JHJ390" s="22"/>
      <c r="JHK390" s="22"/>
      <c r="JHL390" s="22"/>
      <c r="JHM390" s="22"/>
      <c r="JHN390" s="22"/>
      <c r="JHO390" s="22"/>
      <c r="JHP390" s="22"/>
      <c r="JHQ390" s="22"/>
      <c r="JHR390" s="22"/>
      <c r="JHS390" s="22"/>
      <c r="JHT390" s="22"/>
      <c r="JHU390" s="22"/>
      <c r="JHV390" s="22"/>
      <c r="JHW390" s="22"/>
      <c r="JHX390" s="22"/>
      <c r="JHY390" s="22"/>
      <c r="JHZ390" s="22"/>
      <c r="JIA390" s="22"/>
      <c r="JIB390" s="22"/>
      <c r="JIC390" s="22"/>
      <c r="JID390" s="22"/>
      <c r="JIE390" s="22"/>
      <c r="JIF390" s="22"/>
      <c r="JIG390" s="22"/>
      <c r="JIH390" s="22"/>
      <c r="JII390" s="22"/>
      <c r="JIJ390" s="22"/>
      <c r="JIK390" s="22"/>
      <c r="JIL390" s="22"/>
      <c r="JIM390" s="22"/>
      <c r="JIN390" s="22"/>
      <c r="JIO390" s="22"/>
      <c r="JIP390" s="22"/>
      <c r="JIQ390" s="22"/>
      <c r="JIR390" s="22"/>
      <c r="JIS390" s="22"/>
      <c r="JIT390" s="22"/>
      <c r="JIU390" s="22"/>
      <c r="JIV390" s="22"/>
      <c r="JIW390" s="22"/>
      <c r="JIX390" s="22"/>
      <c r="JIY390" s="22"/>
      <c r="JIZ390" s="22"/>
      <c r="JJA390" s="22"/>
      <c r="JJB390" s="22"/>
      <c r="JJC390" s="22"/>
      <c r="JJD390" s="22"/>
      <c r="JJE390" s="22"/>
      <c r="JJF390" s="22"/>
      <c r="JJG390" s="22"/>
      <c r="JJH390" s="22"/>
      <c r="JJI390" s="22"/>
      <c r="JJJ390" s="22"/>
      <c r="JJK390" s="22"/>
      <c r="JJL390" s="22"/>
      <c r="JJM390" s="22"/>
      <c r="JJN390" s="22"/>
      <c r="JJO390" s="22"/>
      <c r="JJP390" s="22"/>
      <c r="JJQ390" s="22"/>
      <c r="JJR390" s="22"/>
      <c r="JJS390" s="22"/>
      <c r="JJT390" s="22"/>
      <c r="JJU390" s="22"/>
      <c r="JJV390" s="22"/>
      <c r="JJW390" s="22"/>
      <c r="JJX390" s="22"/>
      <c r="JJY390" s="22"/>
      <c r="JJZ390" s="22"/>
      <c r="JKA390" s="22"/>
      <c r="JKB390" s="22"/>
      <c r="JKC390" s="22"/>
      <c r="JKD390" s="22"/>
      <c r="JKE390" s="22"/>
      <c r="JKF390" s="22"/>
      <c r="JKG390" s="22"/>
      <c r="JKH390" s="22"/>
      <c r="JKI390" s="22"/>
      <c r="JKJ390" s="22"/>
      <c r="JKK390" s="22"/>
      <c r="JKL390" s="22"/>
      <c r="JKM390" s="22"/>
      <c r="JKN390" s="22"/>
      <c r="JKO390" s="22"/>
      <c r="JKP390" s="22"/>
      <c r="JKQ390" s="22"/>
      <c r="JKR390" s="22"/>
      <c r="JKS390" s="22"/>
      <c r="JKT390" s="22"/>
      <c r="JKU390" s="22"/>
      <c r="JKV390" s="22"/>
      <c r="JKW390" s="22"/>
      <c r="JKX390" s="22"/>
      <c r="JKY390" s="22"/>
      <c r="JKZ390" s="22"/>
      <c r="JLA390" s="22"/>
      <c r="JLB390" s="22"/>
      <c r="JLC390" s="22"/>
      <c r="JLD390" s="22"/>
      <c r="JLE390" s="22"/>
      <c r="JLF390" s="22"/>
      <c r="JLG390" s="22"/>
      <c r="JLH390" s="22"/>
      <c r="JLI390" s="22"/>
      <c r="JLJ390" s="22"/>
      <c r="JLK390" s="22"/>
      <c r="JLL390" s="22"/>
      <c r="JLM390" s="22"/>
      <c r="JLN390" s="22"/>
      <c r="JLO390" s="22"/>
      <c r="JLP390" s="22"/>
      <c r="JLQ390" s="22"/>
      <c r="JLR390" s="22"/>
      <c r="JLS390" s="22"/>
      <c r="JLT390" s="22"/>
      <c r="JLU390" s="22"/>
      <c r="JLV390" s="22"/>
      <c r="JLW390" s="22"/>
      <c r="JLX390" s="22"/>
      <c r="JLY390" s="22"/>
      <c r="JLZ390" s="22"/>
      <c r="JMA390" s="22"/>
      <c r="JMB390" s="22"/>
      <c r="JMC390" s="22"/>
      <c r="JMD390" s="22"/>
      <c r="JME390" s="22"/>
      <c r="JMF390" s="22"/>
      <c r="JMG390" s="22"/>
      <c r="JMH390" s="22"/>
      <c r="JMI390" s="22"/>
      <c r="JMJ390" s="22"/>
      <c r="JMK390" s="22"/>
      <c r="JML390" s="22"/>
      <c r="JMM390" s="22"/>
      <c r="JMN390" s="22"/>
      <c r="JMO390" s="22"/>
      <c r="JMP390" s="22"/>
      <c r="JMQ390" s="22"/>
      <c r="JMR390" s="22"/>
      <c r="JMS390" s="22"/>
      <c r="JMT390" s="22"/>
      <c r="JMU390" s="22"/>
      <c r="JMV390" s="22"/>
      <c r="JMW390" s="22"/>
      <c r="JMX390" s="22"/>
      <c r="JMY390" s="22"/>
      <c r="JMZ390" s="22"/>
      <c r="JNA390" s="22"/>
      <c r="JNB390" s="22"/>
      <c r="JNC390" s="22"/>
      <c r="JND390" s="22"/>
      <c r="JNE390" s="22"/>
      <c r="JNF390" s="22"/>
      <c r="JNG390" s="22"/>
      <c r="JNH390" s="22"/>
      <c r="JNI390" s="22"/>
      <c r="JNJ390" s="22"/>
      <c r="JNK390" s="22"/>
      <c r="JNL390" s="22"/>
      <c r="JNM390" s="22"/>
      <c r="JNN390" s="22"/>
      <c r="JNO390" s="22"/>
      <c r="JNP390" s="22"/>
      <c r="JNQ390" s="22"/>
      <c r="JNR390" s="22"/>
      <c r="JNS390" s="22"/>
      <c r="JNT390" s="22"/>
      <c r="JNU390" s="22"/>
      <c r="JNV390" s="22"/>
      <c r="JNW390" s="22"/>
      <c r="JNX390" s="22"/>
      <c r="JNY390" s="22"/>
      <c r="JNZ390" s="22"/>
      <c r="JOA390" s="22"/>
      <c r="JOB390" s="22"/>
      <c r="JOC390" s="22"/>
      <c r="JOD390" s="22"/>
      <c r="JOE390" s="22"/>
      <c r="JOF390" s="22"/>
      <c r="JOG390" s="22"/>
      <c r="JOH390" s="22"/>
      <c r="JOI390" s="22"/>
      <c r="JOJ390" s="22"/>
      <c r="JOK390" s="22"/>
      <c r="JOL390" s="22"/>
      <c r="JOM390" s="22"/>
      <c r="JON390" s="22"/>
      <c r="JOO390" s="22"/>
      <c r="JOP390" s="22"/>
      <c r="JOQ390" s="22"/>
      <c r="JOR390" s="22"/>
      <c r="JOS390" s="22"/>
      <c r="JOT390" s="22"/>
      <c r="JOU390" s="22"/>
      <c r="JOV390" s="22"/>
      <c r="JOW390" s="22"/>
      <c r="JOX390" s="22"/>
      <c r="JOY390" s="22"/>
      <c r="JOZ390" s="22"/>
      <c r="JPA390" s="22"/>
      <c r="JPB390" s="22"/>
      <c r="JPC390" s="22"/>
      <c r="JPD390" s="22"/>
      <c r="JPE390" s="22"/>
      <c r="JPF390" s="22"/>
      <c r="JPG390" s="22"/>
      <c r="JPH390" s="22"/>
      <c r="JPI390" s="22"/>
      <c r="JPJ390" s="22"/>
      <c r="JPK390" s="22"/>
      <c r="JPL390" s="22"/>
      <c r="JPM390" s="22"/>
      <c r="JPN390" s="22"/>
      <c r="JPO390" s="22"/>
      <c r="JPP390" s="22"/>
      <c r="JPQ390" s="22"/>
      <c r="JPR390" s="22"/>
      <c r="JPS390" s="22"/>
      <c r="JPT390" s="22"/>
      <c r="JPU390" s="22"/>
      <c r="JPV390" s="22"/>
      <c r="JPW390" s="22"/>
      <c r="JPX390" s="22"/>
      <c r="JPY390" s="22"/>
      <c r="JPZ390" s="22"/>
      <c r="JQA390" s="22"/>
      <c r="JQB390" s="22"/>
      <c r="JQC390" s="22"/>
      <c r="JQD390" s="22"/>
      <c r="JQE390" s="22"/>
      <c r="JQF390" s="22"/>
      <c r="JQG390" s="22"/>
      <c r="JQH390" s="22"/>
      <c r="JQI390" s="22"/>
      <c r="JQJ390" s="22"/>
      <c r="JQK390" s="22"/>
      <c r="JQL390" s="22"/>
      <c r="JQM390" s="22"/>
      <c r="JQN390" s="22"/>
      <c r="JQO390" s="22"/>
      <c r="JQP390" s="22"/>
      <c r="JQQ390" s="22"/>
      <c r="JQR390" s="22"/>
      <c r="JQS390" s="22"/>
      <c r="JQT390" s="22"/>
      <c r="JQU390" s="22"/>
      <c r="JQV390" s="22"/>
      <c r="JQW390" s="22"/>
      <c r="JQX390" s="22"/>
      <c r="JQY390" s="22"/>
      <c r="JQZ390" s="22"/>
      <c r="JRA390" s="22"/>
      <c r="JRB390" s="22"/>
      <c r="JRC390" s="22"/>
      <c r="JRD390" s="22"/>
      <c r="JRE390" s="22"/>
      <c r="JRF390" s="22"/>
      <c r="JRG390" s="22"/>
      <c r="JRH390" s="22"/>
      <c r="JRI390" s="22"/>
      <c r="JRJ390" s="22"/>
      <c r="JRK390" s="22"/>
      <c r="JRL390" s="22"/>
      <c r="JRM390" s="22"/>
      <c r="JRN390" s="22"/>
      <c r="JRO390" s="22"/>
      <c r="JRP390" s="22"/>
      <c r="JRQ390" s="22"/>
      <c r="JRR390" s="22"/>
      <c r="JRS390" s="22"/>
      <c r="JRT390" s="22"/>
      <c r="JRU390" s="22"/>
      <c r="JRV390" s="22"/>
      <c r="JRW390" s="22"/>
      <c r="JRX390" s="22"/>
      <c r="JRY390" s="22"/>
      <c r="JRZ390" s="22"/>
      <c r="JSA390" s="22"/>
      <c r="JSB390" s="22"/>
      <c r="JSC390" s="22"/>
      <c r="JSD390" s="22"/>
      <c r="JSE390" s="22"/>
      <c r="JSF390" s="22"/>
      <c r="JSG390" s="22"/>
      <c r="JSH390" s="22"/>
      <c r="JSI390" s="22"/>
      <c r="JSJ390" s="22"/>
      <c r="JSK390" s="22"/>
      <c r="JSL390" s="22"/>
      <c r="JSM390" s="22"/>
      <c r="JSN390" s="22"/>
      <c r="JSO390" s="22"/>
      <c r="JSP390" s="22"/>
      <c r="JSQ390" s="22"/>
      <c r="JSR390" s="22"/>
      <c r="JSS390" s="22"/>
      <c r="JST390" s="22"/>
      <c r="JSU390" s="22"/>
      <c r="JSV390" s="22"/>
      <c r="JSW390" s="22"/>
      <c r="JSX390" s="22"/>
      <c r="JSY390" s="22"/>
      <c r="JSZ390" s="22"/>
      <c r="JTA390" s="22"/>
      <c r="JTB390" s="22"/>
      <c r="JTC390" s="22"/>
      <c r="JTD390" s="22"/>
      <c r="JTE390" s="22"/>
      <c r="JTF390" s="22"/>
      <c r="JTG390" s="22"/>
      <c r="JTH390" s="22"/>
      <c r="JTI390" s="22"/>
      <c r="JTJ390" s="22"/>
      <c r="JTK390" s="22"/>
      <c r="JTL390" s="22"/>
      <c r="JTM390" s="22"/>
      <c r="JTN390" s="22"/>
      <c r="JTO390" s="22"/>
      <c r="JTP390" s="22"/>
      <c r="JTQ390" s="22"/>
      <c r="JTR390" s="22"/>
      <c r="JTS390" s="22"/>
      <c r="JTT390" s="22"/>
      <c r="JTU390" s="22"/>
      <c r="JTV390" s="22"/>
      <c r="JTW390" s="22"/>
      <c r="JTX390" s="22"/>
      <c r="JTY390" s="22"/>
      <c r="JTZ390" s="22"/>
      <c r="JUA390" s="22"/>
      <c r="JUB390" s="22"/>
      <c r="JUC390" s="22"/>
      <c r="JUD390" s="22"/>
      <c r="JUE390" s="22"/>
      <c r="JUF390" s="22"/>
      <c r="JUG390" s="22"/>
      <c r="JUH390" s="22"/>
      <c r="JUI390" s="22"/>
      <c r="JUJ390" s="22"/>
      <c r="JUK390" s="22"/>
      <c r="JUL390" s="22"/>
      <c r="JUM390" s="22"/>
      <c r="JUN390" s="22"/>
      <c r="JUO390" s="22"/>
      <c r="JUP390" s="22"/>
      <c r="JUQ390" s="22"/>
      <c r="JUR390" s="22"/>
      <c r="JUS390" s="22"/>
      <c r="JUT390" s="22"/>
      <c r="JUU390" s="22"/>
      <c r="JUV390" s="22"/>
      <c r="JUW390" s="22"/>
      <c r="JUX390" s="22"/>
      <c r="JUY390" s="22"/>
      <c r="JUZ390" s="22"/>
      <c r="JVA390" s="22"/>
      <c r="JVB390" s="22"/>
      <c r="JVC390" s="22"/>
      <c r="JVD390" s="22"/>
      <c r="JVE390" s="22"/>
      <c r="JVF390" s="22"/>
      <c r="JVG390" s="22"/>
      <c r="JVH390" s="22"/>
      <c r="JVI390" s="22"/>
      <c r="JVJ390" s="22"/>
      <c r="JVK390" s="22"/>
      <c r="JVL390" s="22"/>
      <c r="JVM390" s="22"/>
      <c r="JVN390" s="22"/>
      <c r="JVO390" s="22"/>
      <c r="JVP390" s="22"/>
      <c r="JVQ390" s="22"/>
      <c r="JVR390" s="22"/>
      <c r="JVS390" s="22"/>
      <c r="JVT390" s="22"/>
      <c r="JVU390" s="22"/>
      <c r="JVV390" s="22"/>
      <c r="JVW390" s="22"/>
      <c r="JVX390" s="22"/>
      <c r="JVY390" s="22"/>
      <c r="JVZ390" s="22"/>
      <c r="JWA390" s="22"/>
      <c r="JWB390" s="22"/>
      <c r="JWC390" s="22"/>
      <c r="JWD390" s="22"/>
      <c r="JWE390" s="22"/>
      <c r="JWF390" s="22"/>
      <c r="JWG390" s="22"/>
      <c r="JWH390" s="22"/>
      <c r="JWI390" s="22"/>
      <c r="JWJ390" s="22"/>
      <c r="JWK390" s="22"/>
      <c r="JWL390" s="22"/>
      <c r="JWM390" s="22"/>
      <c r="JWN390" s="22"/>
      <c r="JWO390" s="22"/>
      <c r="JWP390" s="22"/>
      <c r="JWQ390" s="22"/>
      <c r="JWR390" s="22"/>
      <c r="JWS390" s="22"/>
      <c r="JWT390" s="22"/>
      <c r="JWU390" s="22"/>
      <c r="JWV390" s="22"/>
      <c r="JWW390" s="22"/>
      <c r="JWX390" s="22"/>
      <c r="JWY390" s="22"/>
      <c r="JWZ390" s="22"/>
      <c r="JXA390" s="22"/>
      <c r="JXB390" s="22"/>
      <c r="JXC390" s="22"/>
      <c r="JXD390" s="22"/>
      <c r="JXE390" s="22"/>
      <c r="JXF390" s="22"/>
      <c r="JXG390" s="22"/>
      <c r="JXH390" s="22"/>
      <c r="JXI390" s="22"/>
      <c r="JXJ390" s="22"/>
      <c r="JXK390" s="22"/>
      <c r="JXL390" s="22"/>
      <c r="JXM390" s="22"/>
      <c r="JXN390" s="22"/>
      <c r="JXO390" s="22"/>
      <c r="JXP390" s="22"/>
      <c r="JXQ390" s="22"/>
      <c r="JXR390" s="22"/>
      <c r="JXS390" s="22"/>
      <c r="JXT390" s="22"/>
      <c r="JXU390" s="22"/>
      <c r="JXV390" s="22"/>
      <c r="JXW390" s="22"/>
      <c r="JXX390" s="22"/>
      <c r="JXY390" s="22"/>
      <c r="JXZ390" s="22"/>
      <c r="JYA390" s="22"/>
      <c r="JYB390" s="22"/>
      <c r="JYC390" s="22"/>
      <c r="JYD390" s="22"/>
      <c r="JYE390" s="22"/>
      <c r="JYF390" s="22"/>
      <c r="JYG390" s="22"/>
      <c r="JYH390" s="22"/>
      <c r="JYI390" s="22"/>
      <c r="JYJ390" s="22"/>
      <c r="JYK390" s="22"/>
      <c r="JYL390" s="22"/>
      <c r="JYM390" s="22"/>
      <c r="JYN390" s="22"/>
      <c r="JYO390" s="22"/>
      <c r="JYP390" s="22"/>
      <c r="JYQ390" s="22"/>
      <c r="JYR390" s="22"/>
      <c r="JYS390" s="22"/>
      <c r="JYT390" s="22"/>
      <c r="JYU390" s="22"/>
      <c r="JYV390" s="22"/>
      <c r="JYW390" s="22"/>
      <c r="JYX390" s="22"/>
      <c r="JYY390" s="22"/>
      <c r="JYZ390" s="22"/>
      <c r="JZA390" s="22"/>
      <c r="JZB390" s="22"/>
      <c r="JZC390" s="22"/>
      <c r="JZD390" s="22"/>
      <c r="JZE390" s="22"/>
      <c r="JZF390" s="22"/>
      <c r="JZG390" s="22"/>
      <c r="JZH390" s="22"/>
      <c r="JZI390" s="22"/>
      <c r="JZJ390" s="22"/>
      <c r="JZK390" s="22"/>
      <c r="JZL390" s="22"/>
      <c r="JZM390" s="22"/>
      <c r="JZN390" s="22"/>
      <c r="JZO390" s="22"/>
      <c r="JZP390" s="22"/>
      <c r="JZQ390" s="22"/>
      <c r="JZR390" s="22"/>
      <c r="JZS390" s="22"/>
      <c r="JZT390" s="22"/>
      <c r="JZU390" s="22"/>
      <c r="JZV390" s="22"/>
      <c r="JZW390" s="22"/>
      <c r="JZX390" s="22"/>
      <c r="JZY390" s="22"/>
      <c r="JZZ390" s="22"/>
      <c r="KAA390" s="22"/>
      <c r="KAB390" s="22"/>
      <c r="KAC390" s="22"/>
      <c r="KAD390" s="22"/>
      <c r="KAE390" s="22"/>
      <c r="KAF390" s="22"/>
      <c r="KAG390" s="22"/>
      <c r="KAH390" s="22"/>
      <c r="KAI390" s="22"/>
      <c r="KAJ390" s="22"/>
      <c r="KAK390" s="22"/>
      <c r="KAL390" s="22"/>
      <c r="KAM390" s="22"/>
      <c r="KAN390" s="22"/>
      <c r="KAO390" s="22"/>
      <c r="KAP390" s="22"/>
      <c r="KAQ390" s="22"/>
      <c r="KAR390" s="22"/>
      <c r="KAS390" s="22"/>
      <c r="KAT390" s="22"/>
      <c r="KAU390" s="22"/>
      <c r="KAV390" s="22"/>
      <c r="KAW390" s="22"/>
      <c r="KAX390" s="22"/>
      <c r="KAY390" s="22"/>
      <c r="KAZ390" s="22"/>
      <c r="KBA390" s="22"/>
      <c r="KBB390" s="22"/>
      <c r="KBC390" s="22"/>
      <c r="KBD390" s="22"/>
      <c r="KBE390" s="22"/>
      <c r="KBF390" s="22"/>
      <c r="KBG390" s="22"/>
      <c r="KBH390" s="22"/>
      <c r="KBI390" s="22"/>
      <c r="KBJ390" s="22"/>
      <c r="KBK390" s="22"/>
      <c r="KBL390" s="22"/>
      <c r="KBM390" s="22"/>
      <c r="KBN390" s="22"/>
      <c r="KBO390" s="22"/>
      <c r="KBP390" s="22"/>
      <c r="KBQ390" s="22"/>
      <c r="KBR390" s="22"/>
      <c r="KBS390" s="22"/>
      <c r="KBT390" s="22"/>
      <c r="KBU390" s="22"/>
      <c r="KBV390" s="22"/>
      <c r="KBW390" s="22"/>
      <c r="KBX390" s="22"/>
      <c r="KBY390" s="22"/>
      <c r="KBZ390" s="22"/>
      <c r="KCA390" s="22"/>
      <c r="KCB390" s="22"/>
      <c r="KCC390" s="22"/>
      <c r="KCD390" s="22"/>
      <c r="KCE390" s="22"/>
      <c r="KCF390" s="22"/>
      <c r="KCG390" s="22"/>
      <c r="KCH390" s="22"/>
      <c r="KCI390" s="22"/>
      <c r="KCJ390" s="22"/>
      <c r="KCK390" s="22"/>
      <c r="KCL390" s="22"/>
      <c r="KCM390" s="22"/>
      <c r="KCN390" s="22"/>
      <c r="KCO390" s="22"/>
      <c r="KCP390" s="22"/>
      <c r="KCQ390" s="22"/>
      <c r="KCR390" s="22"/>
      <c r="KCS390" s="22"/>
      <c r="KCT390" s="22"/>
      <c r="KCU390" s="22"/>
      <c r="KCV390" s="22"/>
      <c r="KCW390" s="22"/>
      <c r="KCX390" s="22"/>
      <c r="KCY390" s="22"/>
      <c r="KCZ390" s="22"/>
      <c r="KDA390" s="22"/>
      <c r="KDB390" s="22"/>
      <c r="KDC390" s="22"/>
      <c r="KDD390" s="22"/>
      <c r="KDE390" s="22"/>
      <c r="KDF390" s="22"/>
      <c r="KDG390" s="22"/>
      <c r="KDH390" s="22"/>
      <c r="KDI390" s="22"/>
      <c r="KDJ390" s="22"/>
      <c r="KDK390" s="22"/>
      <c r="KDL390" s="22"/>
      <c r="KDM390" s="22"/>
      <c r="KDN390" s="22"/>
      <c r="KDO390" s="22"/>
      <c r="KDP390" s="22"/>
      <c r="KDQ390" s="22"/>
      <c r="KDR390" s="22"/>
      <c r="KDS390" s="22"/>
      <c r="KDT390" s="22"/>
      <c r="KDU390" s="22"/>
      <c r="KDV390" s="22"/>
      <c r="KDW390" s="22"/>
      <c r="KDX390" s="22"/>
      <c r="KDY390" s="22"/>
      <c r="KDZ390" s="22"/>
      <c r="KEA390" s="22"/>
      <c r="KEB390" s="22"/>
      <c r="KEC390" s="22"/>
      <c r="KED390" s="22"/>
      <c r="KEE390" s="22"/>
      <c r="KEF390" s="22"/>
      <c r="KEG390" s="22"/>
      <c r="KEH390" s="22"/>
      <c r="KEI390" s="22"/>
      <c r="KEJ390" s="22"/>
      <c r="KEK390" s="22"/>
      <c r="KEL390" s="22"/>
      <c r="KEM390" s="22"/>
      <c r="KEN390" s="22"/>
      <c r="KEO390" s="22"/>
      <c r="KEP390" s="22"/>
      <c r="KEQ390" s="22"/>
      <c r="KER390" s="22"/>
      <c r="KES390" s="22"/>
      <c r="KET390" s="22"/>
      <c r="KEU390" s="22"/>
      <c r="KEV390" s="22"/>
      <c r="KEW390" s="22"/>
      <c r="KEX390" s="22"/>
      <c r="KEY390" s="22"/>
      <c r="KEZ390" s="22"/>
      <c r="KFA390" s="22"/>
      <c r="KFB390" s="22"/>
      <c r="KFC390" s="22"/>
      <c r="KFD390" s="22"/>
      <c r="KFE390" s="22"/>
      <c r="KFF390" s="22"/>
      <c r="KFG390" s="22"/>
      <c r="KFH390" s="22"/>
      <c r="KFI390" s="22"/>
      <c r="KFJ390" s="22"/>
      <c r="KFK390" s="22"/>
      <c r="KFL390" s="22"/>
      <c r="KFM390" s="22"/>
      <c r="KFN390" s="22"/>
      <c r="KFO390" s="22"/>
      <c r="KFP390" s="22"/>
      <c r="KFQ390" s="22"/>
      <c r="KFR390" s="22"/>
      <c r="KFS390" s="22"/>
      <c r="KFT390" s="22"/>
      <c r="KFU390" s="22"/>
      <c r="KFV390" s="22"/>
      <c r="KFW390" s="22"/>
      <c r="KFX390" s="22"/>
      <c r="KFY390" s="22"/>
      <c r="KFZ390" s="22"/>
      <c r="KGA390" s="22"/>
      <c r="KGB390" s="22"/>
      <c r="KGC390" s="22"/>
      <c r="KGD390" s="22"/>
      <c r="KGE390" s="22"/>
      <c r="KGF390" s="22"/>
      <c r="KGG390" s="22"/>
      <c r="KGH390" s="22"/>
      <c r="KGI390" s="22"/>
      <c r="KGJ390" s="22"/>
      <c r="KGK390" s="22"/>
      <c r="KGL390" s="22"/>
      <c r="KGM390" s="22"/>
      <c r="KGN390" s="22"/>
      <c r="KGO390" s="22"/>
      <c r="KGP390" s="22"/>
      <c r="KGQ390" s="22"/>
      <c r="KGR390" s="22"/>
      <c r="KGS390" s="22"/>
      <c r="KGT390" s="22"/>
      <c r="KGU390" s="22"/>
      <c r="KGV390" s="22"/>
      <c r="KGW390" s="22"/>
      <c r="KGX390" s="22"/>
      <c r="KGY390" s="22"/>
      <c r="KGZ390" s="22"/>
      <c r="KHA390" s="22"/>
      <c r="KHB390" s="22"/>
      <c r="KHC390" s="22"/>
      <c r="KHD390" s="22"/>
      <c r="KHE390" s="22"/>
      <c r="KHF390" s="22"/>
      <c r="KHG390" s="22"/>
      <c r="KHH390" s="22"/>
      <c r="KHI390" s="22"/>
      <c r="KHJ390" s="22"/>
      <c r="KHK390" s="22"/>
      <c r="KHL390" s="22"/>
      <c r="KHM390" s="22"/>
      <c r="KHN390" s="22"/>
      <c r="KHO390" s="22"/>
      <c r="KHP390" s="22"/>
      <c r="KHQ390" s="22"/>
      <c r="KHR390" s="22"/>
      <c r="KHS390" s="22"/>
      <c r="KHT390" s="22"/>
      <c r="KHU390" s="22"/>
      <c r="KHV390" s="22"/>
      <c r="KHW390" s="22"/>
      <c r="KHX390" s="22"/>
      <c r="KHY390" s="22"/>
      <c r="KHZ390" s="22"/>
      <c r="KIA390" s="22"/>
      <c r="KIB390" s="22"/>
      <c r="KIC390" s="22"/>
      <c r="KID390" s="22"/>
      <c r="KIE390" s="22"/>
      <c r="KIF390" s="22"/>
      <c r="KIG390" s="22"/>
      <c r="KIH390" s="22"/>
      <c r="KII390" s="22"/>
      <c r="KIJ390" s="22"/>
      <c r="KIK390" s="22"/>
      <c r="KIL390" s="22"/>
      <c r="KIM390" s="22"/>
      <c r="KIN390" s="22"/>
      <c r="KIO390" s="22"/>
      <c r="KIP390" s="22"/>
      <c r="KIQ390" s="22"/>
      <c r="KIR390" s="22"/>
      <c r="KIS390" s="22"/>
      <c r="KIT390" s="22"/>
      <c r="KIU390" s="22"/>
      <c r="KIV390" s="22"/>
      <c r="KIW390" s="22"/>
      <c r="KIX390" s="22"/>
      <c r="KIY390" s="22"/>
      <c r="KIZ390" s="22"/>
      <c r="KJA390" s="22"/>
      <c r="KJB390" s="22"/>
      <c r="KJC390" s="22"/>
      <c r="KJD390" s="22"/>
      <c r="KJE390" s="22"/>
      <c r="KJF390" s="22"/>
      <c r="KJG390" s="22"/>
      <c r="KJH390" s="22"/>
      <c r="KJI390" s="22"/>
      <c r="KJJ390" s="22"/>
      <c r="KJK390" s="22"/>
      <c r="KJL390" s="22"/>
      <c r="KJM390" s="22"/>
      <c r="KJN390" s="22"/>
      <c r="KJO390" s="22"/>
      <c r="KJP390" s="22"/>
      <c r="KJQ390" s="22"/>
      <c r="KJR390" s="22"/>
      <c r="KJS390" s="22"/>
      <c r="KJT390" s="22"/>
      <c r="KJU390" s="22"/>
      <c r="KJV390" s="22"/>
      <c r="KJW390" s="22"/>
      <c r="KJX390" s="22"/>
      <c r="KJY390" s="22"/>
      <c r="KJZ390" s="22"/>
      <c r="KKA390" s="22"/>
      <c r="KKB390" s="22"/>
      <c r="KKC390" s="22"/>
      <c r="KKD390" s="22"/>
      <c r="KKE390" s="22"/>
      <c r="KKF390" s="22"/>
      <c r="KKG390" s="22"/>
      <c r="KKH390" s="22"/>
      <c r="KKI390" s="22"/>
      <c r="KKJ390" s="22"/>
      <c r="KKK390" s="22"/>
      <c r="KKL390" s="22"/>
      <c r="KKM390" s="22"/>
      <c r="KKN390" s="22"/>
      <c r="KKO390" s="22"/>
      <c r="KKP390" s="22"/>
      <c r="KKQ390" s="22"/>
      <c r="KKR390" s="22"/>
      <c r="KKS390" s="22"/>
      <c r="KKT390" s="22"/>
      <c r="KKU390" s="22"/>
      <c r="KKV390" s="22"/>
      <c r="KKW390" s="22"/>
      <c r="KKX390" s="22"/>
      <c r="KKY390" s="22"/>
      <c r="KKZ390" s="22"/>
      <c r="KLA390" s="22"/>
      <c r="KLB390" s="22"/>
      <c r="KLC390" s="22"/>
      <c r="KLD390" s="22"/>
      <c r="KLE390" s="22"/>
      <c r="KLF390" s="22"/>
      <c r="KLG390" s="22"/>
      <c r="KLH390" s="22"/>
      <c r="KLI390" s="22"/>
      <c r="KLJ390" s="22"/>
      <c r="KLK390" s="22"/>
      <c r="KLL390" s="22"/>
      <c r="KLM390" s="22"/>
      <c r="KLN390" s="22"/>
      <c r="KLO390" s="22"/>
      <c r="KLP390" s="22"/>
      <c r="KLQ390" s="22"/>
      <c r="KLR390" s="22"/>
      <c r="KLS390" s="22"/>
      <c r="KLT390" s="22"/>
      <c r="KLU390" s="22"/>
      <c r="KLV390" s="22"/>
      <c r="KLW390" s="22"/>
      <c r="KLX390" s="22"/>
      <c r="KLY390" s="22"/>
      <c r="KLZ390" s="22"/>
      <c r="KMA390" s="22"/>
      <c r="KMB390" s="22"/>
      <c r="KMC390" s="22"/>
      <c r="KMD390" s="22"/>
      <c r="KME390" s="22"/>
      <c r="KMF390" s="22"/>
      <c r="KMG390" s="22"/>
      <c r="KMH390" s="22"/>
      <c r="KMI390" s="22"/>
      <c r="KMJ390" s="22"/>
      <c r="KMK390" s="22"/>
      <c r="KML390" s="22"/>
      <c r="KMM390" s="22"/>
      <c r="KMN390" s="22"/>
      <c r="KMO390" s="22"/>
      <c r="KMP390" s="22"/>
      <c r="KMQ390" s="22"/>
      <c r="KMR390" s="22"/>
      <c r="KMS390" s="22"/>
      <c r="KMT390" s="22"/>
      <c r="KMU390" s="22"/>
      <c r="KMV390" s="22"/>
      <c r="KMW390" s="22"/>
      <c r="KMX390" s="22"/>
      <c r="KMY390" s="22"/>
      <c r="KMZ390" s="22"/>
      <c r="KNA390" s="22"/>
      <c r="KNB390" s="22"/>
      <c r="KNC390" s="22"/>
      <c r="KND390" s="22"/>
      <c r="KNE390" s="22"/>
      <c r="KNF390" s="22"/>
      <c r="KNG390" s="22"/>
      <c r="KNH390" s="22"/>
      <c r="KNI390" s="22"/>
      <c r="KNJ390" s="22"/>
      <c r="KNK390" s="22"/>
      <c r="KNL390" s="22"/>
      <c r="KNM390" s="22"/>
      <c r="KNN390" s="22"/>
      <c r="KNO390" s="22"/>
      <c r="KNP390" s="22"/>
      <c r="KNQ390" s="22"/>
      <c r="KNR390" s="22"/>
      <c r="KNS390" s="22"/>
      <c r="KNT390" s="22"/>
      <c r="KNU390" s="22"/>
      <c r="KNV390" s="22"/>
      <c r="KNW390" s="22"/>
      <c r="KNX390" s="22"/>
      <c r="KNY390" s="22"/>
      <c r="KNZ390" s="22"/>
      <c r="KOA390" s="22"/>
      <c r="KOB390" s="22"/>
      <c r="KOC390" s="22"/>
      <c r="KOD390" s="22"/>
      <c r="KOE390" s="22"/>
      <c r="KOF390" s="22"/>
      <c r="KOG390" s="22"/>
      <c r="KOH390" s="22"/>
      <c r="KOI390" s="22"/>
      <c r="KOJ390" s="22"/>
      <c r="KOK390" s="22"/>
      <c r="KOL390" s="22"/>
      <c r="KOM390" s="22"/>
      <c r="KON390" s="22"/>
      <c r="KOO390" s="22"/>
      <c r="KOP390" s="22"/>
      <c r="KOQ390" s="22"/>
      <c r="KOR390" s="22"/>
      <c r="KOS390" s="22"/>
      <c r="KOT390" s="22"/>
      <c r="KOU390" s="22"/>
      <c r="KOV390" s="22"/>
      <c r="KOW390" s="22"/>
      <c r="KOX390" s="22"/>
      <c r="KOY390" s="22"/>
      <c r="KOZ390" s="22"/>
      <c r="KPA390" s="22"/>
      <c r="KPB390" s="22"/>
      <c r="KPC390" s="22"/>
      <c r="KPD390" s="22"/>
      <c r="KPE390" s="22"/>
      <c r="KPF390" s="22"/>
      <c r="KPG390" s="22"/>
      <c r="KPH390" s="22"/>
      <c r="KPI390" s="22"/>
      <c r="KPJ390" s="22"/>
      <c r="KPK390" s="22"/>
      <c r="KPL390" s="22"/>
      <c r="KPM390" s="22"/>
      <c r="KPN390" s="22"/>
      <c r="KPO390" s="22"/>
      <c r="KPP390" s="22"/>
      <c r="KPQ390" s="22"/>
      <c r="KPR390" s="22"/>
      <c r="KPS390" s="22"/>
      <c r="KPT390" s="22"/>
      <c r="KPU390" s="22"/>
      <c r="KPV390" s="22"/>
      <c r="KPW390" s="22"/>
      <c r="KPX390" s="22"/>
      <c r="KPY390" s="22"/>
      <c r="KPZ390" s="22"/>
      <c r="KQA390" s="22"/>
      <c r="KQB390" s="22"/>
      <c r="KQC390" s="22"/>
      <c r="KQD390" s="22"/>
      <c r="KQE390" s="22"/>
      <c r="KQF390" s="22"/>
      <c r="KQG390" s="22"/>
      <c r="KQH390" s="22"/>
      <c r="KQI390" s="22"/>
      <c r="KQJ390" s="22"/>
      <c r="KQK390" s="22"/>
      <c r="KQL390" s="22"/>
      <c r="KQM390" s="22"/>
      <c r="KQN390" s="22"/>
      <c r="KQO390" s="22"/>
      <c r="KQP390" s="22"/>
      <c r="KQQ390" s="22"/>
      <c r="KQR390" s="22"/>
      <c r="KQS390" s="22"/>
      <c r="KQT390" s="22"/>
      <c r="KQU390" s="22"/>
      <c r="KQV390" s="22"/>
      <c r="KQW390" s="22"/>
      <c r="KQX390" s="22"/>
      <c r="KQY390" s="22"/>
      <c r="KQZ390" s="22"/>
      <c r="KRA390" s="22"/>
      <c r="KRB390" s="22"/>
      <c r="KRC390" s="22"/>
      <c r="KRD390" s="22"/>
      <c r="KRE390" s="22"/>
      <c r="KRF390" s="22"/>
      <c r="KRG390" s="22"/>
      <c r="KRH390" s="22"/>
      <c r="KRI390" s="22"/>
      <c r="KRJ390" s="22"/>
      <c r="KRK390" s="22"/>
      <c r="KRL390" s="22"/>
      <c r="KRM390" s="22"/>
      <c r="KRN390" s="22"/>
      <c r="KRO390" s="22"/>
      <c r="KRP390" s="22"/>
      <c r="KRQ390" s="22"/>
      <c r="KRR390" s="22"/>
      <c r="KRS390" s="22"/>
      <c r="KRT390" s="22"/>
      <c r="KRU390" s="22"/>
      <c r="KRV390" s="22"/>
      <c r="KRW390" s="22"/>
      <c r="KRX390" s="22"/>
      <c r="KRY390" s="22"/>
      <c r="KRZ390" s="22"/>
      <c r="KSA390" s="22"/>
      <c r="KSB390" s="22"/>
      <c r="KSC390" s="22"/>
      <c r="KSD390" s="22"/>
      <c r="KSE390" s="22"/>
      <c r="KSF390" s="22"/>
      <c r="KSG390" s="22"/>
      <c r="KSH390" s="22"/>
      <c r="KSI390" s="22"/>
      <c r="KSJ390" s="22"/>
      <c r="KSK390" s="22"/>
      <c r="KSL390" s="22"/>
      <c r="KSM390" s="22"/>
      <c r="KSN390" s="22"/>
      <c r="KSO390" s="22"/>
      <c r="KSP390" s="22"/>
      <c r="KSQ390" s="22"/>
      <c r="KSR390" s="22"/>
      <c r="KSS390" s="22"/>
      <c r="KST390" s="22"/>
      <c r="KSU390" s="22"/>
      <c r="KSV390" s="22"/>
      <c r="KSW390" s="22"/>
      <c r="KSX390" s="22"/>
      <c r="KSY390" s="22"/>
      <c r="KSZ390" s="22"/>
      <c r="KTA390" s="22"/>
      <c r="KTB390" s="22"/>
      <c r="KTC390" s="22"/>
      <c r="KTD390" s="22"/>
      <c r="KTE390" s="22"/>
      <c r="KTF390" s="22"/>
      <c r="KTG390" s="22"/>
      <c r="KTH390" s="22"/>
      <c r="KTI390" s="22"/>
      <c r="KTJ390" s="22"/>
      <c r="KTK390" s="22"/>
      <c r="KTL390" s="22"/>
      <c r="KTM390" s="22"/>
      <c r="KTN390" s="22"/>
      <c r="KTO390" s="22"/>
      <c r="KTP390" s="22"/>
      <c r="KTQ390" s="22"/>
      <c r="KTR390" s="22"/>
      <c r="KTS390" s="22"/>
      <c r="KTT390" s="22"/>
      <c r="KTU390" s="22"/>
      <c r="KTV390" s="22"/>
      <c r="KTW390" s="22"/>
      <c r="KTX390" s="22"/>
      <c r="KTY390" s="22"/>
      <c r="KTZ390" s="22"/>
      <c r="KUA390" s="22"/>
      <c r="KUB390" s="22"/>
      <c r="KUC390" s="22"/>
      <c r="KUD390" s="22"/>
      <c r="KUE390" s="22"/>
      <c r="KUF390" s="22"/>
      <c r="KUG390" s="22"/>
      <c r="KUH390" s="22"/>
      <c r="KUI390" s="22"/>
      <c r="KUJ390" s="22"/>
      <c r="KUK390" s="22"/>
      <c r="KUL390" s="22"/>
      <c r="KUM390" s="22"/>
      <c r="KUN390" s="22"/>
      <c r="KUO390" s="22"/>
      <c r="KUP390" s="22"/>
      <c r="KUQ390" s="22"/>
      <c r="KUR390" s="22"/>
      <c r="KUS390" s="22"/>
      <c r="KUT390" s="22"/>
      <c r="KUU390" s="22"/>
      <c r="KUV390" s="22"/>
      <c r="KUW390" s="22"/>
      <c r="KUX390" s="22"/>
      <c r="KUY390" s="22"/>
      <c r="KUZ390" s="22"/>
      <c r="KVA390" s="22"/>
      <c r="KVB390" s="22"/>
      <c r="KVC390" s="22"/>
      <c r="KVD390" s="22"/>
      <c r="KVE390" s="22"/>
      <c r="KVF390" s="22"/>
      <c r="KVG390" s="22"/>
      <c r="KVH390" s="22"/>
      <c r="KVI390" s="22"/>
      <c r="KVJ390" s="22"/>
      <c r="KVK390" s="22"/>
      <c r="KVL390" s="22"/>
      <c r="KVM390" s="22"/>
      <c r="KVN390" s="22"/>
      <c r="KVO390" s="22"/>
      <c r="KVP390" s="22"/>
      <c r="KVQ390" s="22"/>
      <c r="KVR390" s="22"/>
      <c r="KVS390" s="22"/>
      <c r="KVT390" s="22"/>
      <c r="KVU390" s="22"/>
      <c r="KVV390" s="22"/>
      <c r="KVW390" s="22"/>
      <c r="KVX390" s="22"/>
      <c r="KVY390" s="22"/>
      <c r="KVZ390" s="22"/>
      <c r="KWA390" s="22"/>
      <c r="KWB390" s="22"/>
      <c r="KWC390" s="22"/>
      <c r="KWD390" s="22"/>
      <c r="KWE390" s="22"/>
      <c r="KWF390" s="22"/>
      <c r="KWG390" s="22"/>
      <c r="KWH390" s="22"/>
      <c r="KWI390" s="22"/>
      <c r="KWJ390" s="22"/>
      <c r="KWK390" s="22"/>
      <c r="KWL390" s="22"/>
      <c r="KWM390" s="22"/>
      <c r="KWN390" s="22"/>
      <c r="KWO390" s="22"/>
      <c r="KWP390" s="22"/>
      <c r="KWQ390" s="22"/>
      <c r="KWR390" s="22"/>
      <c r="KWS390" s="22"/>
      <c r="KWT390" s="22"/>
      <c r="KWU390" s="22"/>
      <c r="KWV390" s="22"/>
      <c r="KWW390" s="22"/>
      <c r="KWX390" s="22"/>
      <c r="KWY390" s="22"/>
      <c r="KWZ390" s="22"/>
      <c r="KXA390" s="22"/>
      <c r="KXB390" s="22"/>
      <c r="KXC390" s="22"/>
      <c r="KXD390" s="22"/>
      <c r="KXE390" s="22"/>
      <c r="KXF390" s="22"/>
      <c r="KXG390" s="22"/>
      <c r="KXH390" s="22"/>
      <c r="KXI390" s="22"/>
      <c r="KXJ390" s="22"/>
      <c r="KXK390" s="22"/>
      <c r="KXL390" s="22"/>
      <c r="KXM390" s="22"/>
      <c r="KXN390" s="22"/>
      <c r="KXO390" s="22"/>
      <c r="KXP390" s="22"/>
      <c r="KXQ390" s="22"/>
      <c r="KXR390" s="22"/>
      <c r="KXS390" s="22"/>
      <c r="KXT390" s="22"/>
      <c r="KXU390" s="22"/>
      <c r="KXV390" s="22"/>
      <c r="KXW390" s="22"/>
      <c r="KXX390" s="22"/>
      <c r="KXY390" s="22"/>
      <c r="KXZ390" s="22"/>
      <c r="KYA390" s="22"/>
      <c r="KYB390" s="22"/>
      <c r="KYC390" s="22"/>
      <c r="KYD390" s="22"/>
      <c r="KYE390" s="22"/>
      <c r="KYF390" s="22"/>
      <c r="KYG390" s="22"/>
      <c r="KYH390" s="22"/>
      <c r="KYI390" s="22"/>
      <c r="KYJ390" s="22"/>
      <c r="KYK390" s="22"/>
      <c r="KYL390" s="22"/>
      <c r="KYM390" s="22"/>
      <c r="KYN390" s="22"/>
      <c r="KYO390" s="22"/>
      <c r="KYP390" s="22"/>
      <c r="KYQ390" s="22"/>
      <c r="KYR390" s="22"/>
      <c r="KYS390" s="22"/>
      <c r="KYT390" s="22"/>
      <c r="KYU390" s="22"/>
      <c r="KYV390" s="22"/>
      <c r="KYW390" s="22"/>
      <c r="KYX390" s="22"/>
      <c r="KYY390" s="22"/>
      <c r="KYZ390" s="22"/>
      <c r="KZA390" s="22"/>
      <c r="KZB390" s="22"/>
      <c r="KZC390" s="22"/>
      <c r="KZD390" s="22"/>
      <c r="KZE390" s="22"/>
      <c r="KZF390" s="22"/>
      <c r="KZG390" s="22"/>
      <c r="KZH390" s="22"/>
      <c r="KZI390" s="22"/>
      <c r="KZJ390" s="22"/>
      <c r="KZK390" s="22"/>
      <c r="KZL390" s="22"/>
      <c r="KZM390" s="22"/>
      <c r="KZN390" s="22"/>
      <c r="KZO390" s="22"/>
      <c r="KZP390" s="22"/>
      <c r="KZQ390" s="22"/>
      <c r="KZR390" s="22"/>
      <c r="KZS390" s="22"/>
      <c r="KZT390" s="22"/>
      <c r="KZU390" s="22"/>
      <c r="KZV390" s="22"/>
      <c r="KZW390" s="22"/>
      <c r="KZX390" s="22"/>
      <c r="KZY390" s="22"/>
      <c r="KZZ390" s="22"/>
      <c r="LAA390" s="22"/>
      <c r="LAB390" s="22"/>
      <c r="LAC390" s="22"/>
      <c r="LAD390" s="22"/>
      <c r="LAE390" s="22"/>
      <c r="LAF390" s="22"/>
      <c r="LAG390" s="22"/>
      <c r="LAH390" s="22"/>
      <c r="LAI390" s="22"/>
      <c r="LAJ390" s="22"/>
      <c r="LAK390" s="22"/>
      <c r="LAL390" s="22"/>
      <c r="LAM390" s="22"/>
      <c r="LAN390" s="22"/>
      <c r="LAO390" s="22"/>
      <c r="LAP390" s="22"/>
      <c r="LAQ390" s="22"/>
      <c r="LAR390" s="22"/>
      <c r="LAS390" s="22"/>
      <c r="LAT390" s="22"/>
      <c r="LAU390" s="22"/>
      <c r="LAV390" s="22"/>
      <c r="LAW390" s="22"/>
      <c r="LAX390" s="22"/>
      <c r="LAY390" s="22"/>
      <c r="LAZ390" s="22"/>
      <c r="LBA390" s="22"/>
      <c r="LBB390" s="22"/>
      <c r="LBC390" s="22"/>
      <c r="LBD390" s="22"/>
      <c r="LBE390" s="22"/>
      <c r="LBF390" s="22"/>
      <c r="LBG390" s="22"/>
      <c r="LBH390" s="22"/>
      <c r="LBI390" s="22"/>
      <c r="LBJ390" s="22"/>
      <c r="LBK390" s="22"/>
      <c r="LBL390" s="22"/>
      <c r="LBM390" s="22"/>
      <c r="LBN390" s="22"/>
      <c r="LBO390" s="22"/>
      <c r="LBP390" s="22"/>
      <c r="LBQ390" s="22"/>
      <c r="LBR390" s="22"/>
      <c r="LBS390" s="22"/>
      <c r="LBT390" s="22"/>
      <c r="LBU390" s="22"/>
      <c r="LBV390" s="22"/>
      <c r="LBW390" s="22"/>
      <c r="LBX390" s="22"/>
      <c r="LBY390" s="22"/>
      <c r="LBZ390" s="22"/>
      <c r="LCA390" s="22"/>
      <c r="LCB390" s="22"/>
      <c r="LCC390" s="22"/>
      <c r="LCD390" s="22"/>
      <c r="LCE390" s="22"/>
      <c r="LCF390" s="22"/>
      <c r="LCG390" s="22"/>
      <c r="LCH390" s="22"/>
      <c r="LCI390" s="22"/>
      <c r="LCJ390" s="22"/>
      <c r="LCK390" s="22"/>
      <c r="LCL390" s="22"/>
      <c r="LCM390" s="22"/>
      <c r="LCN390" s="22"/>
      <c r="LCO390" s="22"/>
      <c r="LCP390" s="22"/>
      <c r="LCQ390" s="22"/>
      <c r="LCR390" s="22"/>
      <c r="LCS390" s="22"/>
      <c r="LCT390" s="22"/>
      <c r="LCU390" s="22"/>
      <c r="LCV390" s="22"/>
      <c r="LCW390" s="22"/>
      <c r="LCX390" s="22"/>
      <c r="LCY390" s="22"/>
      <c r="LCZ390" s="22"/>
      <c r="LDA390" s="22"/>
      <c r="LDB390" s="22"/>
      <c r="LDC390" s="22"/>
      <c r="LDD390" s="22"/>
      <c r="LDE390" s="22"/>
      <c r="LDF390" s="22"/>
      <c r="LDG390" s="22"/>
      <c r="LDH390" s="22"/>
      <c r="LDI390" s="22"/>
      <c r="LDJ390" s="22"/>
      <c r="LDK390" s="22"/>
      <c r="LDL390" s="22"/>
      <c r="LDM390" s="22"/>
      <c r="LDN390" s="22"/>
      <c r="LDO390" s="22"/>
      <c r="LDP390" s="22"/>
      <c r="LDQ390" s="22"/>
      <c r="LDR390" s="22"/>
      <c r="LDS390" s="22"/>
      <c r="LDT390" s="22"/>
      <c r="LDU390" s="22"/>
      <c r="LDV390" s="22"/>
      <c r="LDW390" s="22"/>
      <c r="LDX390" s="22"/>
      <c r="LDY390" s="22"/>
      <c r="LDZ390" s="22"/>
      <c r="LEA390" s="22"/>
      <c r="LEB390" s="22"/>
      <c r="LEC390" s="22"/>
      <c r="LED390" s="22"/>
      <c r="LEE390" s="22"/>
      <c r="LEF390" s="22"/>
      <c r="LEG390" s="22"/>
      <c r="LEH390" s="22"/>
      <c r="LEI390" s="22"/>
      <c r="LEJ390" s="22"/>
      <c r="LEK390" s="22"/>
      <c r="LEL390" s="22"/>
      <c r="LEM390" s="22"/>
      <c r="LEN390" s="22"/>
      <c r="LEO390" s="22"/>
      <c r="LEP390" s="22"/>
      <c r="LEQ390" s="22"/>
      <c r="LER390" s="22"/>
      <c r="LES390" s="22"/>
      <c r="LET390" s="22"/>
      <c r="LEU390" s="22"/>
      <c r="LEV390" s="22"/>
      <c r="LEW390" s="22"/>
      <c r="LEX390" s="22"/>
      <c r="LEY390" s="22"/>
      <c r="LEZ390" s="22"/>
      <c r="LFA390" s="22"/>
      <c r="LFB390" s="22"/>
      <c r="LFC390" s="22"/>
      <c r="LFD390" s="22"/>
      <c r="LFE390" s="22"/>
      <c r="LFF390" s="22"/>
      <c r="LFG390" s="22"/>
      <c r="LFH390" s="22"/>
      <c r="LFI390" s="22"/>
      <c r="LFJ390" s="22"/>
      <c r="LFK390" s="22"/>
      <c r="LFL390" s="22"/>
      <c r="LFM390" s="22"/>
      <c r="LFN390" s="22"/>
      <c r="LFO390" s="22"/>
      <c r="LFP390" s="22"/>
      <c r="LFQ390" s="22"/>
      <c r="LFR390" s="22"/>
      <c r="LFS390" s="22"/>
      <c r="LFT390" s="22"/>
      <c r="LFU390" s="22"/>
      <c r="LFV390" s="22"/>
      <c r="LFW390" s="22"/>
      <c r="LFX390" s="22"/>
      <c r="LFY390" s="22"/>
      <c r="LFZ390" s="22"/>
      <c r="LGA390" s="22"/>
      <c r="LGB390" s="22"/>
      <c r="LGC390" s="22"/>
      <c r="LGD390" s="22"/>
      <c r="LGE390" s="22"/>
      <c r="LGF390" s="22"/>
      <c r="LGG390" s="22"/>
      <c r="LGH390" s="22"/>
      <c r="LGI390" s="22"/>
      <c r="LGJ390" s="22"/>
      <c r="LGK390" s="22"/>
      <c r="LGL390" s="22"/>
      <c r="LGM390" s="22"/>
      <c r="LGN390" s="22"/>
      <c r="LGO390" s="22"/>
      <c r="LGP390" s="22"/>
      <c r="LGQ390" s="22"/>
      <c r="LGR390" s="22"/>
      <c r="LGS390" s="22"/>
      <c r="LGT390" s="22"/>
      <c r="LGU390" s="22"/>
      <c r="LGV390" s="22"/>
      <c r="LGW390" s="22"/>
      <c r="LGX390" s="22"/>
      <c r="LGY390" s="22"/>
      <c r="LGZ390" s="22"/>
      <c r="LHA390" s="22"/>
      <c r="LHB390" s="22"/>
      <c r="LHC390" s="22"/>
      <c r="LHD390" s="22"/>
      <c r="LHE390" s="22"/>
      <c r="LHF390" s="22"/>
      <c r="LHG390" s="22"/>
      <c r="LHH390" s="22"/>
      <c r="LHI390" s="22"/>
      <c r="LHJ390" s="22"/>
      <c r="LHK390" s="22"/>
      <c r="LHL390" s="22"/>
      <c r="LHM390" s="22"/>
      <c r="LHN390" s="22"/>
      <c r="LHO390" s="22"/>
      <c r="LHP390" s="22"/>
      <c r="LHQ390" s="22"/>
      <c r="LHR390" s="22"/>
      <c r="LHS390" s="22"/>
      <c r="LHT390" s="22"/>
      <c r="LHU390" s="22"/>
      <c r="LHV390" s="22"/>
      <c r="LHW390" s="22"/>
      <c r="LHX390" s="22"/>
      <c r="LHY390" s="22"/>
      <c r="LHZ390" s="22"/>
      <c r="LIA390" s="22"/>
      <c r="LIB390" s="22"/>
      <c r="LIC390" s="22"/>
      <c r="LID390" s="22"/>
      <c r="LIE390" s="22"/>
      <c r="LIF390" s="22"/>
      <c r="LIG390" s="22"/>
      <c r="LIH390" s="22"/>
      <c r="LII390" s="22"/>
      <c r="LIJ390" s="22"/>
      <c r="LIK390" s="22"/>
      <c r="LIL390" s="22"/>
      <c r="LIM390" s="22"/>
      <c r="LIN390" s="22"/>
      <c r="LIO390" s="22"/>
      <c r="LIP390" s="22"/>
      <c r="LIQ390" s="22"/>
      <c r="LIR390" s="22"/>
      <c r="LIS390" s="22"/>
      <c r="LIT390" s="22"/>
      <c r="LIU390" s="22"/>
      <c r="LIV390" s="22"/>
      <c r="LIW390" s="22"/>
      <c r="LIX390" s="22"/>
      <c r="LIY390" s="22"/>
      <c r="LIZ390" s="22"/>
      <c r="LJA390" s="22"/>
      <c r="LJB390" s="22"/>
      <c r="LJC390" s="22"/>
      <c r="LJD390" s="22"/>
      <c r="LJE390" s="22"/>
      <c r="LJF390" s="22"/>
      <c r="LJG390" s="22"/>
      <c r="LJH390" s="22"/>
      <c r="LJI390" s="22"/>
      <c r="LJJ390" s="22"/>
      <c r="LJK390" s="22"/>
      <c r="LJL390" s="22"/>
      <c r="LJM390" s="22"/>
      <c r="LJN390" s="22"/>
      <c r="LJO390" s="22"/>
      <c r="LJP390" s="22"/>
      <c r="LJQ390" s="22"/>
      <c r="LJR390" s="22"/>
      <c r="LJS390" s="22"/>
      <c r="LJT390" s="22"/>
      <c r="LJU390" s="22"/>
      <c r="LJV390" s="22"/>
      <c r="LJW390" s="22"/>
      <c r="LJX390" s="22"/>
      <c r="LJY390" s="22"/>
      <c r="LJZ390" s="22"/>
      <c r="LKA390" s="22"/>
      <c r="LKB390" s="22"/>
      <c r="LKC390" s="22"/>
      <c r="LKD390" s="22"/>
      <c r="LKE390" s="22"/>
      <c r="LKF390" s="22"/>
      <c r="LKG390" s="22"/>
      <c r="LKH390" s="22"/>
      <c r="LKI390" s="22"/>
      <c r="LKJ390" s="22"/>
      <c r="LKK390" s="22"/>
      <c r="LKL390" s="22"/>
      <c r="LKM390" s="22"/>
      <c r="LKN390" s="22"/>
      <c r="LKO390" s="22"/>
      <c r="LKP390" s="22"/>
      <c r="LKQ390" s="22"/>
      <c r="LKR390" s="22"/>
      <c r="LKS390" s="22"/>
      <c r="LKT390" s="22"/>
      <c r="LKU390" s="22"/>
      <c r="LKV390" s="22"/>
      <c r="LKW390" s="22"/>
      <c r="LKX390" s="22"/>
      <c r="LKY390" s="22"/>
      <c r="LKZ390" s="22"/>
      <c r="LLA390" s="22"/>
      <c r="LLB390" s="22"/>
      <c r="LLC390" s="22"/>
      <c r="LLD390" s="22"/>
      <c r="LLE390" s="22"/>
      <c r="LLF390" s="22"/>
      <c r="LLG390" s="22"/>
      <c r="LLH390" s="22"/>
      <c r="LLI390" s="22"/>
      <c r="LLJ390" s="22"/>
      <c r="LLK390" s="22"/>
      <c r="LLL390" s="22"/>
      <c r="LLM390" s="22"/>
      <c r="LLN390" s="22"/>
      <c r="LLO390" s="22"/>
      <c r="LLP390" s="22"/>
      <c r="LLQ390" s="22"/>
      <c r="LLR390" s="22"/>
      <c r="LLS390" s="22"/>
      <c r="LLT390" s="22"/>
      <c r="LLU390" s="22"/>
      <c r="LLV390" s="22"/>
      <c r="LLW390" s="22"/>
      <c r="LLX390" s="22"/>
      <c r="LLY390" s="22"/>
      <c r="LLZ390" s="22"/>
      <c r="LMA390" s="22"/>
      <c r="LMB390" s="22"/>
      <c r="LMC390" s="22"/>
      <c r="LMD390" s="22"/>
      <c r="LME390" s="22"/>
      <c r="LMF390" s="22"/>
      <c r="LMG390" s="22"/>
      <c r="LMH390" s="22"/>
      <c r="LMI390" s="22"/>
      <c r="LMJ390" s="22"/>
      <c r="LMK390" s="22"/>
      <c r="LML390" s="22"/>
      <c r="LMM390" s="22"/>
      <c r="LMN390" s="22"/>
      <c r="LMO390" s="22"/>
      <c r="LMP390" s="22"/>
      <c r="LMQ390" s="22"/>
      <c r="LMR390" s="22"/>
      <c r="LMS390" s="22"/>
      <c r="LMT390" s="22"/>
      <c r="LMU390" s="22"/>
      <c r="LMV390" s="22"/>
      <c r="LMW390" s="22"/>
      <c r="LMX390" s="22"/>
      <c r="LMY390" s="22"/>
      <c r="LMZ390" s="22"/>
      <c r="LNA390" s="22"/>
      <c r="LNB390" s="22"/>
      <c r="LNC390" s="22"/>
      <c r="LND390" s="22"/>
      <c r="LNE390" s="22"/>
      <c r="LNF390" s="22"/>
      <c r="LNG390" s="22"/>
      <c r="LNH390" s="22"/>
      <c r="LNI390" s="22"/>
      <c r="LNJ390" s="22"/>
      <c r="LNK390" s="22"/>
      <c r="LNL390" s="22"/>
      <c r="LNM390" s="22"/>
      <c r="LNN390" s="22"/>
      <c r="LNO390" s="22"/>
      <c r="LNP390" s="22"/>
      <c r="LNQ390" s="22"/>
      <c r="LNR390" s="22"/>
      <c r="LNS390" s="22"/>
      <c r="LNT390" s="22"/>
      <c r="LNU390" s="22"/>
      <c r="LNV390" s="22"/>
      <c r="LNW390" s="22"/>
      <c r="LNX390" s="22"/>
      <c r="LNY390" s="22"/>
      <c r="LNZ390" s="22"/>
      <c r="LOA390" s="22"/>
      <c r="LOB390" s="22"/>
      <c r="LOC390" s="22"/>
      <c r="LOD390" s="22"/>
      <c r="LOE390" s="22"/>
      <c r="LOF390" s="22"/>
      <c r="LOG390" s="22"/>
      <c r="LOH390" s="22"/>
      <c r="LOI390" s="22"/>
      <c r="LOJ390" s="22"/>
      <c r="LOK390" s="22"/>
      <c r="LOL390" s="22"/>
      <c r="LOM390" s="22"/>
      <c r="LON390" s="22"/>
      <c r="LOO390" s="22"/>
      <c r="LOP390" s="22"/>
      <c r="LOQ390" s="22"/>
      <c r="LOR390" s="22"/>
      <c r="LOS390" s="22"/>
      <c r="LOT390" s="22"/>
      <c r="LOU390" s="22"/>
      <c r="LOV390" s="22"/>
      <c r="LOW390" s="22"/>
      <c r="LOX390" s="22"/>
      <c r="LOY390" s="22"/>
      <c r="LOZ390" s="22"/>
      <c r="LPA390" s="22"/>
      <c r="LPB390" s="22"/>
      <c r="LPC390" s="22"/>
      <c r="LPD390" s="22"/>
      <c r="LPE390" s="22"/>
      <c r="LPF390" s="22"/>
      <c r="LPG390" s="22"/>
      <c r="LPH390" s="22"/>
      <c r="LPI390" s="22"/>
      <c r="LPJ390" s="22"/>
      <c r="LPK390" s="22"/>
      <c r="LPL390" s="22"/>
      <c r="LPM390" s="22"/>
      <c r="LPN390" s="22"/>
      <c r="LPO390" s="22"/>
      <c r="LPP390" s="22"/>
      <c r="LPQ390" s="22"/>
      <c r="LPR390" s="22"/>
      <c r="LPS390" s="22"/>
      <c r="LPT390" s="22"/>
      <c r="LPU390" s="22"/>
      <c r="LPV390" s="22"/>
      <c r="LPW390" s="22"/>
      <c r="LPX390" s="22"/>
      <c r="LPY390" s="22"/>
      <c r="LPZ390" s="22"/>
      <c r="LQA390" s="22"/>
      <c r="LQB390" s="22"/>
      <c r="LQC390" s="22"/>
      <c r="LQD390" s="22"/>
      <c r="LQE390" s="22"/>
      <c r="LQF390" s="22"/>
      <c r="LQG390" s="22"/>
      <c r="LQH390" s="22"/>
      <c r="LQI390" s="22"/>
      <c r="LQJ390" s="22"/>
      <c r="LQK390" s="22"/>
      <c r="LQL390" s="22"/>
      <c r="LQM390" s="22"/>
      <c r="LQN390" s="22"/>
      <c r="LQO390" s="22"/>
      <c r="LQP390" s="22"/>
      <c r="LQQ390" s="22"/>
      <c r="LQR390" s="22"/>
      <c r="LQS390" s="22"/>
      <c r="LQT390" s="22"/>
      <c r="LQU390" s="22"/>
      <c r="LQV390" s="22"/>
      <c r="LQW390" s="22"/>
      <c r="LQX390" s="22"/>
      <c r="LQY390" s="22"/>
      <c r="LQZ390" s="22"/>
      <c r="LRA390" s="22"/>
      <c r="LRB390" s="22"/>
      <c r="LRC390" s="22"/>
      <c r="LRD390" s="22"/>
      <c r="LRE390" s="22"/>
      <c r="LRF390" s="22"/>
      <c r="LRG390" s="22"/>
      <c r="LRH390" s="22"/>
      <c r="LRI390" s="22"/>
      <c r="LRJ390" s="22"/>
      <c r="LRK390" s="22"/>
      <c r="LRL390" s="22"/>
      <c r="LRM390" s="22"/>
      <c r="LRN390" s="22"/>
      <c r="LRO390" s="22"/>
      <c r="LRP390" s="22"/>
      <c r="LRQ390" s="22"/>
      <c r="LRR390" s="22"/>
      <c r="LRS390" s="22"/>
      <c r="LRT390" s="22"/>
      <c r="LRU390" s="22"/>
      <c r="LRV390" s="22"/>
      <c r="LRW390" s="22"/>
      <c r="LRX390" s="22"/>
      <c r="LRY390" s="22"/>
      <c r="LRZ390" s="22"/>
      <c r="LSA390" s="22"/>
      <c r="LSB390" s="22"/>
      <c r="LSC390" s="22"/>
      <c r="LSD390" s="22"/>
      <c r="LSE390" s="22"/>
      <c r="LSF390" s="22"/>
      <c r="LSG390" s="22"/>
      <c r="LSH390" s="22"/>
      <c r="LSI390" s="22"/>
      <c r="LSJ390" s="22"/>
      <c r="LSK390" s="22"/>
      <c r="LSL390" s="22"/>
      <c r="LSM390" s="22"/>
      <c r="LSN390" s="22"/>
      <c r="LSO390" s="22"/>
      <c r="LSP390" s="22"/>
      <c r="LSQ390" s="22"/>
      <c r="LSR390" s="22"/>
      <c r="LSS390" s="22"/>
      <c r="LST390" s="22"/>
      <c r="LSU390" s="22"/>
      <c r="LSV390" s="22"/>
      <c r="LSW390" s="22"/>
      <c r="LSX390" s="22"/>
      <c r="LSY390" s="22"/>
      <c r="LSZ390" s="22"/>
      <c r="LTA390" s="22"/>
      <c r="LTB390" s="22"/>
      <c r="LTC390" s="22"/>
      <c r="LTD390" s="22"/>
      <c r="LTE390" s="22"/>
      <c r="LTF390" s="22"/>
      <c r="LTG390" s="22"/>
      <c r="LTH390" s="22"/>
      <c r="LTI390" s="22"/>
      <c r="LTJ390" s="22"/>
      <c r="LTK390" s="22"/>
      <c r="LTL390" s="22"/>
      <c r="LTM390" s="22"/>
      <c r="LTN390" s="22"/>
      <c r="LTO390" s="22"/>
      <c r="LTP390" s="22"/>
      <c r="LTQ390" s="22"/>
      <c r="LTR390" s="22"/>
      <c r="LTS390" s="22"/>
      <c r="LTT390" s="22"/>
      <c r="LTU390" s="22"/>
      <c r="LTV390" s="22"/>
      <c r="LTW390" s="22"/>
      <c r="LTX390" s="22"/>
      <c r="LTY390" s="22"/>
      <c r="LTZ390" s="22"/>
      <c r="LUA390" s="22"/>
      <c r="LUB390" s="22"/>
      <c r="LUC390" s="22"/>
      <c r="LUD390" s="22"/>
      <c r="LUE390" s="22"/>
      <c r="LUF390" s="22"/>
      <c r="LUG390" s="22"/>
      <c r="LUH390" s="22"/>
      <c r="LUI390" s="22"/>
      <c r="LUJ390" s="22"/>
      <c r="LUK390" s="22"/>
      <c r="LUL390" s="22"/>
      <c r="LUM390" s="22"/>
      <c r="LUN390" s="22"/>
      <c r="LUO390" s="22"/>
      <c r="LUP390" s="22"/>
      <c r="LUQ390" s="22"/>
      <c r="LUR390" s="22"/>
      <c r="LUS390" s="22"/>
      <c r="LUT390" s="22"/>
      <c r="LUU390" s="22"/>
      <c r="LUV390" s="22"/>
      <c r="LUW390" s="22"/>
      <c r="LUX390" s="22"/>
      <c r="LUY390" s="22"/>
      <c r="LUZ390" s="22"/>
      <c r="LVA390" s="22"/>
      <c r="LVB390" s="22"/>
      <c r="LVC390" s="22"/>
      <c r="LVD390" s="22"/>
      <c r="LVE390" s="22"/>
      <c r="LVF390" s="22"/>
      <c r="LVG390" s="22"/>
      <c r="LVH390" s="22"/>
      <c r="LVI390" s="22"/>
      <c r="LVJ390" s="22"/>
      <c r="LVK390" s="22"/>
      <c r="LVL390" s="22"/>
      <c r="LVM390" s="22"/>
      <c r="LVN390" s="22"/>
      <c r="LVO390" s="22"/>
      <c r="LVP390" s="22"/>
      <c r="LVQ390" s="22"/>
      <c r="LVR390" s="22"/>
      <c r="LVS390" s="22"/>
      <c r="LVT390" s="22"/>
      <c r="LVU390" s="22"/>
      <c r="LVV390" s="22"/>
      <c r="LVW390" s="22"/>
      <c r="LVX390" s="22"/>
      <c r="LVY390" s="22"/>
      <c r="LVZ390" s="22"/>
      <c r="LWA390" s="22"/>
      <c r="LWB390" s="22"/>
      <c r="LWC390" s="22"/>
      <c r="LWD390" s="22"/>
      <c r="LWE390" s="22"/>
      <c r="LWF390" s="22"/>
      <c r="LWG390" s="22"/>
      <c r="LWH390" s="22"/>
      <c r="LWI390" s="22"/>
      <c r="LWJ390" s="22"/>
      <c r="LWK390" s="22"/>
      <c r="LWL390" s="22"/>
      <c r="LWM390" s="22"/>
      <c r="LWN390" s="22"/>
      <c r="LWO390" s="22"/>
      <c r="LWP390" s="22"/>
      <c r="LWQ390" s="22"/>
      <c r="LWR390" s="22"/>
      <c r="LWS390" s="22"/>
      <c r="LWT390" s="22"/>
      <c r="LWU390" s="22"/>
      <c r="LWV390" s="22"/>
      <c r="LWW390" s="22"/>
      <c r="LWX390" s="22"/>
      <c r="LWY390" s="22"/>
      <c r="LWZ390" s="22"/>
      <c r="LXA390" s="22"/>
      <c r="LXB390" s="22"/>
      <c r="LXC390" s="22"/>
      <c r="LXD390" s="22"/>
      <c r="LXE390" s="22"/>
      <c r="LXF390" s="22"/>
      <c r="LXG390" s="22"/>
      <c r="LXH390" s="22"/>
      <c r="LXI390" s="22"/>
      <c r="LXJ390" s="22"/>
      <c r="LXK390" s="22"/>
      <c r="LXL390" s="22"/>
      <c r="LXM390" s="22"/>
      <c r="LXN390" s="22"/>
      <c r="LXO390" s="22"/>
      <c r="LXP390" s="22"/>
      <c r="LXQ390" s="22"/>
      <c r="LXR390" s="22"/>
      <c r="LXS390" s="22"/>
      <c r="LXT390" s="22"/>
      <c r="LXU390" s="22"/>
      <c r="LXV390" s="22"/>
      <c r="LXW390" s="22"/>
      <c r="LXX390" s="22"/>
      <c r="LXY390" s="22"/>
      <c r="LXZ390" s="22"/>
      <c r="LYA390" s="22"/>
      <c r="LYB390" s="22"/>
      <c r="LYC390" s="22"/>
      <c r="LYD390" s="22"/>
      <c r="LYE390" s="22"/>
      <c r="LYF390" s="22"/>
      <c r="LYG390" s="22"/>
      <c r="LYH390" s="22"/>
      <c r="LYI390" s="22"/>
      <c r="LYJ390" s="22"/>
      <c r="LYK390" s="22"/>
      <c r="LYL390" s="22"/>
      <c r="LYM390" s="22"/>
      <c r="LYN390" s="22"/>
      <c r="LYO390" s="22"/>
      <c r="LYP390" s="22"/>
      <c r="LYQ390" s="22"/>
      <c r="LYR390" s="22"/>
      <c r="LYS390" s="22"/>
      <c r="LYT390" s="22"/>
      <c r="LYU390" s="22"/>
      <c r="LYV390" s="22"/>
      <c r="LYW390" s="22"/>
      <c r="LYX390" s="22"/>
      <c r="LYY390" s="22"/>
      <c r="LYZ390" s="22"/>
      <c r="LZA390" s="22"/>
      <c r="LZB390" s="22"/>
      <c r="LZC390" s="22"/>
      <c r="LZD390" s="22"/>
      <c r="LZE390" s="22"/>
      <c r="LZF390" s="22"/>
      <c r="LZG390" s="22"/>
      <c r="LZH390" s="22"/>
      <c r="LZI390" s="22"/>
      <c r="LZJ390" s="22"/>
      <c r="LZK390" s="22"/>
      <c r="LZL390" s="22"/>
      <c r="LZM390" s="22"/>
      <c r="LZN390" s="22"/>
      <c r="LZO390" s="22"/>
      <c r="LZP390" s="22"/>
      <c r="LZQ390" s="22"/>
      <c r="LZR390" s="22"/>
      <c r="LZS390" s="22"/>
      <c r="LZT390" s="22"/>
      <c r="LZU390" s="22"/>
      <c r="LZV390" s="22"/>
      <c r="LZW390" s="22"/>
      <c r="LZX390" s="22"/>
      <c r="LZY390" s="22"/>
      <c r="LZZ390" s="22"/>
      <c r="MAA390" s="22"/>
      <c r="MAB390" s="22"/>
      <c r="MAC390" s="22"/>
      <c r="MAD390" s="22"/>
      <c r="MAE390" s="22"/>
      <c r="MAF390" s="22"/>
      <c r="MAG390" s="22"/>
      <c r="MAH390" s="22"/>
      <c r="MAI390" s="22"/>
      <c r="MAJ390" s="22"/>
      <c r="MAK390" s="22"/>
      <c r="MAL390" s="22"/>
      <c r="MAM390" s="22"/>
      <c r="MAN390" s="22"/>
      <c r="MAO390" s="22"/>
      <c r="MAP390" s="22"/>
      <c r="MAQ390" s="22"/>
      <c r="MAR390" s="22"/>
      <c r="MAS390" s="22"/>
      <c r="MAT390" s="22"/>
      <c r="MAU390" s="22"/>
      <c r="MAV390" s="22"/>
      <c r="MAW390" s="22"/>
      <c r="MAX390" s="22"/>
      <c r="MAY390" s="22"/>
      <c r="MAZ390" s="22"/>
      <c r="MBA390" s="22"/>
      <c r="MBB390" s="22"/>
      <c r="MBC390" s="22"/>
      <c r="MBD390" s="22"/>
      <c r="MBE390" s="22"/>
      <c r="MBF390" s="22"/>
      <c r="MBG390" s="22"/>
      <c r="MBH390" s="22"/>
      <c r="MBI390" s="22"/>
      <c r="MBJ390" s="22"/>
      <c r="MBK390" s="22"/>
      <c r="MBL390" s="22"/>
      <c r="MBM390" s="22"/>
      <c r="MBN390" s="22"/>
      <c r="MBO390" s="22"/>
      <c r="MBP390" s="22"/>
      <c r="MBQ390" s="22"/>
      <c r="MBR390" s="22"/>
      <c r="MBS390" s="22"/>
      <c r="MBT390" s="22"/>
      <c r="MBU390" s="22"/>
      <c r="MBV390" s="22"/>
      <c r="MBW390" s="22"/>
      <c r="MBX390" s="22"/>
      <c r="MBY390" s="22"/>
      <c r="MBZ390" s="22"/>
      <c r="MCA390" s="22"/>
      <c r="MCB390" s="22"/>
      <c r="MCC390" s="22"/>
      <c r="MCD390" s="22"/>
      <c r="MCE390" s="22"/>
      <c r="MCF390" s="22"/>
      <c r="MCG390" s="22"/>
      <c r="MCH390" s="22"/>
      <c r="MCI390" s="22"/>
      <c r="MCJ390" s="22"/>
      <c r="MCK390" s="22"/>
      <c r="MCL390" s="22"/>
      <c r="MCM390" s="22"/>
      <c r="MCN390" s="22"/>
      <c r="MCO390" s="22"/>
      <c r="MCP390" s="22"/>
      <c r="MCQ390" s="22"/>
      <c r="MCR390" s="22"/>
      <c r="MCS390" s="22"/>
      <c r="MCT390" s="22"/>
      <c r="MCU390" s="22"/>
      <c r="MCV390" s="22"/>
      <c r="MCW390" s="22"/>
      <c r="MCX390" s="22"/>
      <c r="MCY390" s="22"/>
      <c r="MCZ390" s="22"/>
      <c r="MDA390" s="22"/>
      <c r="MDB390" s="22"/>
      <c r="MDC390" s="22"/>
      <c r="MDD390" s="22"/>
      <c r="MDE390" s="22"/>
      <c r="MDF390" s="22"/>
      <c r="MDG390" s="22"/>
      <c r="MDH390" s="22"/>
      <c r="MDI390" s="22"/>
      <c r="MDJ390" s="22"/>
      <c r="MDK390" s="22"/>
      <c r="MDL390" s="22"/>
      <c r="MDM390" s="22"/>
      <c r="MDN390" s="22"/>
      <c r="MDO390" s="22"/>
      <c r="MDP390" s="22"/>
      <c r="MDQ390" s="22"/>
      <c r="MDR390" s="22"/>
      <c r="MDS390" s="22"/>
      <c r="MDT390" s="22"/>
      <c r="MDU390" s="22"/>
      <c r="MDV390" s="22"/>
      <c r="MDW390" s="22"/>
      <c r="MDX390" s="22"/>
      <c r="MDY390" s="22"/>
      <c r="MDZ390" s="22"/>
      <c r="MEA390" s="22"/>
      <c r="MEB390" s="22"/>
      <c r="MEC390" s="22"/>
      <c r="MED390" s="22"/>
      <c r="MEE390" s="22"/>
      <c r="MEF390" s="22"/>
      <c r="MEG390" s="22"/>
      <c r="MEH390" s="22"/>
      <c r="MEI390" s="22"/>
      <c r="MEJ390" s="22"/>
      <c r="MEK390" s="22"/>
      <c r="MEL390" s="22"/>
      <c r="MEM390" s="22"/>
      <c r="MEN390" s="22"/>
      <c r="MEO390" s="22"/>
      <c r="MEP390" s="22"/>
      <c r="MEQ390" s="22"/>
      <c r="MER390" s="22"/>
      <c r="MES390" s="22"/>
      <c r="MET390" s="22"/>
      <c r="MEU390" s="22"/>
      <c r="MEV390" s="22"/>
      <c r="MEW390" s="22"/>
      <c r="MEX390" s="22"/>
      <c r="MEY390" s="22"/>
      <c r="MEZ390" s="22"/>
      <c r="MFA390" s="22"/>
      <c r="MFB390" s="22"/>
      <c r="MFC390" s="22"/>
      <c r="MFD390" s="22"/>
      <c r="MFE390" s="22"/>
      <c r="MFF390" s="22"/>
      <c r="MFG390" s="22"/>
      <c r="MFH390" s="22"/>
      <c r="MFI390" s="22"/>
      <c r="MFJ390" s="22"/>
      <c r="MFK390" s="22"/>
      <c r="MFL390" s="22"/>
      <c r="MFM390" s="22"/>
      <c r="MFN390" s="22"/>
      <c r="MFO390" s="22"/>
      <c r="MFP390" s="22"/>
      <c r="MFQ390" s="22"/>
      <c r="MFR390" s="22"/>
      <c r="MFS390" s="22"/>
      <c r="MFT390" s="22"/>
      <c r="MFU390" s="22"/>
      <c r="MFV390" s="22"/>
      <c r="MFW390" s="22"/>
      <c r="MFX390" s="22"/>
      <c r="MFY390" s="22"/>
      <c r="MFZ390" s="22"/>
      <c r="MGA390" s="22"/>
      <c r="MGB390" s="22"/>
      <c r="MGC390" s="22"/>
      <c r="MGD390" s="22"/>
      <c r="MGE390" s="22"/>
      <c r="MGF390" s="22"/>
      <c r="MGG390" s="22"/>
      <c r="MGH390" s="22"/>
      <c r="MGI390" s="22"/>
      <c r="MGJ390" s="22"/>
      <c r="MGK390" s="22"/>
      <c r="MGL390" s="22"/>
      <c r="MGM390" s="22"/>
      <c r="MGN390" s="22"/>
      <c r="MGO390" s="22"/>
      <c r="MGP390" s="22"/>
      <c r="MGQ390" s="22"/>
      <c r="MGR390" s="22"/>
      <c r="MGS390" s="22"/>
      <c r="MGT390" s="22"/>
      <c r="MGU390" s="22"/>
      <c r="MGV390" s="22"/>
      <c r="MGW390" s="22"/>
      <c r="MGX390" s="22"/>
      <c r="MGY390" s="22"/>
      <c r="MGZ390" s="22"/>
      <c r="MHA390" s="22"/>
      <c r="MHB390" s="22"/>
      <c r="MHC390" s="22"/>
      <c r="MHD390" s="22"/>
      <c r="MHE390" s="22"/>
      <c r="MHF390" s="22"/>
      <c r="MHG390" s="22"/>
      <c r="MHH390" s="22"/>
      <c r="MHI390" s="22"/>
      <c r="MHJ390" s="22"/>
      <c r="MHK390" s="22"/>
      <c r="MHL390" s="22"/>
      <c r="MHM390" s="22"/>
      <c r="MHN390" s="22"/>
      <c r="MHO390" s="22"/>
      <c r="MHP390" s="22"/>
      <c r="MHQ390" s="22"/>
      <c r="MHR390" s="22"/>
      <c r="MHS390" s="22"/>
      <c r="MHT390" s="22"/>
      <c r="MHU390" s="22"/>
      <c r="MHV390" s="22"/>
      <c r="MHW390" s="22"/>
      <c r="MHX390" s="22"/>
      <c r="MHY390" s="22"/>
      <c r="MHZ390" s="22"/>
      <c r="MIA390" s="22"/>
      <c r="MIB390" s="22"/>
      <c r="MIC390" s="22"/>
      <c r="MID390" s="22"/>
      <c r="MIE390" s="22"/>
      <c r="MIF390" s="22"/>
      <c r="MIG390" s="22"/>
      <c r="MIH390" s="22"/>
      <c r="MII390" s="22"/>
      <c r="MIJ390" s="22"/>
      <c r="MIK390" s="22"/>
      <c r="MIL390" s="22"/>
      <c r="MIM390" s="22"/>
      <c r="MIN390" s="22"/>
      <c r="MIO390" s="22"/>
      <c r="MIP390" s="22"/>
      <c r="MIQ390" s="22"/>
      <c r="MIR390" s="22"/>
      <c r="MIS390" s="22"/>
      <c r="MIT390" s="22"/>
      <c r="MIU390" s="22"/>
      <c r="MIV390" s="22"/>
      <c r="MIW390" s="22"/>
      <c r="MIX390" s="22"/>
      <c r="MIY390" s="22"/>
      <c r="MIZ390" s="22"/>
      <c r="MJA390" s="22"/>
      <c r="MJB390" s="22"/>
      <c r="MJC390" s="22"/>
      <c r="MJD390" s="22"/>
      <c r="MJE390" s="22"/>
      <c r="MJF390" s="22"/>
      <c r="MJG390" s="22"/>
      <c r="MJH390" s="22"/>
      <c r="MJI390" s="22"/>
      <c r="MJJ390" s="22"/>
      <c r="MJK390" s="22"/>
      <c r="MJL390" s="22"/>
      <c r="MJM390" s="22"/>
      <c r="MJN390" s="22"/>
      <c r="MJO390" s="22"/>
      <c r="MJP390" s="22"/>
      <c r="MJQ390" s="22"/>
      <c r="MJR390" s="22"/>
      <c r="MJS390" s="22"/>
      <c r="MJT390" s="22"/>
      <c r="MJU390" s="22"/>
      <c r="MJV390" s="22"/>
      <c r="MJW390" s="22"/>
      <c r="MJX390" s="22"/>
      <c r="MJY390" s="22"/>
      <c r="MJZ390" s="22"/>
      <c r="MKA390" s="22"/>
      <c r="MKB390" s="22"/>
      <c r="MKC390" s="22"/>
      <c r="MKD390" s="22"/>
      <c r="MKE390" s="22"/>
      <c r="MKF390" s="22"/>
      <c r="MKG390" s="22"/>
      <c r="MKH390" s="22"/>
      <c r="MKI390" s="22"/>
      <c r="MKJ390" s="22"/>
      <c r="MKK390" s="22"/>
      <c r="MKL390" s="22"/>
      <c r="MKM390" s="22"/>
      <c r="MKN390" s="22"/>
      <c r="MKO390" s="22"/>
      <c r="MKP390" s="22"/>
      <c r="MKQ390" s="22"/>
      <c r="MKR390" s="22"/>
      <c r="MKS390" s="22"/>
      <c r="MKT390" s="22"/>
      <c r="MKU390" s="22"/>
      <c r="MKV390" s="22"/>
      <c r="MKW390" s="22"/>
      <c r="MKX390" s="22"/>
      <c r="MKY390" s="22"/>
      <c r="MKZ390" s="22"/>
      <c r="MLA390" s="22"/>
      <c r="MLB390" s="22"/>
      <c r="MLC390" s="22"/>
      <c r="MLD390" s="22"/>
      <c r="MLE390" s="22"/>
      <c r="MLF390" s="22"/>
      <c r="MLG390" s="22"/>
      <c r="MLH390" s="22"/>
      <c r="MLI390" s="22"/>
      <c r="MLJ390" s="22"/>
      <c r="MLK390" s="22"/>
      <c r="MLL390" s="22"/>
      <c r="MLM390" s="22"/>
      <c r="MLN390" s="22"/>
      <c r="MLO390" s="22"/>
      <c r="MLP390" s="22"/>
      <c r="MLQ390" s="22"/>
      <c r="MLR390" s="22"/>
      <c r="MLS390" s="22"/>
      <c r="MLT390" s="22"/>
      <c r="MLU390" s="22"/>
      <c r="MLV390" s="22"/>
      <c r="MLW390" s="22"/>
      <c r="MLX390" s="22"/>
      <c r="MLY390" s="22"/>
      <c r="MLZ390" s="22"/>
      <c r="MMA390" s="22"/>
      <c r="MMB390" s="22"/>
      <c r="MMC390" s="22"/>
      <c r="MMD390" s="22"/>
      <c r="MME390" s="22"/>
      <c r="MMF390" s="22"/>
      <c r="MMG390" s="22"/>
      <c r="MMH390" s="22"/>
      <c r="MMI390" s="22"/>
      <c r="MMJ390" s="22"/>
      <c r="MMK390" s="22"/>
      <c r="MML390" s="22"/>
      <c r="MMM390" s="22"/>
      <c r="MMN390" s="22"/>
      <c r="MMO390" s="22"/>
      <c r="MMP390" s="22"/>
      <c r="MMQ390" s="22"/>
      <c r="MMR390" s="22"/>
      <c r="MMS390" s="22"/>
      <c r="MMT390" s="22"/>
      <c r="MMU390" s="22"/>
      <c r="MMV390" s="22"/>
      <c r="MMW390" s="22"/>
      <c r="MMX390" s="22"/>
      <c r="MMY390" s="22"/>
      <c r="MMZ390" s="22"/>
      <c r="MNA390" s="22"/>
      <c r="MNB390" s="22"/>
      <c r="MNC390" s="22"/>
      <c r="MND390" s="22"/>
      <c r="MNE390" s="22"/>
      <c r="MNF390" s="22"/>
      <c r="MNG390" s="22"/>
      <c r="MNH390" s="22"/>
      <c r="MNI390" s="22"/>
      <c r="MNJ390" s="22"/>
      <c r="MNK390" s="22"/>
      <c r="MNL390" s="22"/>
      <c r="MNM390" s="22"/>
      <c r="MNN390" s="22"/>
      <c r="MNO390" s="22"/>
      <c r="MNP390" s="22"/>
      <c r="MNQ390" s="22"/>
      <c r="MNR390" s="22"/>
      <c r="MNS390" s="22"/>
      <c r="MNT390" s="22"/>
      <c r="MNU390" s="22"/>
      <c r="MNV390" s="22"/>
      <c r="MNW390" s="22"/>
      <c r="MNX390" s="22"/>
      <c r="MNY390" s="22"/>
      <c r="MNZ390" s="22"/>
      <c r="MOA390" s="22"/>
      <c r="MOB390" s="22"/>
      <c r="MOC390" s="22"/>
      <c r="MOD390" s="22"/>
      <c r="MOE390" s="22"/>
      <c r="MOF390" s="22"/>
      <c r="MOG390" s="22"/>
      <c r="MOH390" s="22"/>
      <c r="MOI390" s="22"/>
      <c r="MOJ390" s="22"/>
      <c r="MOK390" s="22"/>
      <c r="MOL390" s="22"/>
      <c r="MOM390" s="22"/>
      <c r="MON390" s="22"/>
      <c r="MOO390" s="22"/>
      <c r="MOP390" s="22"/>
      <c r="MOQ390" s="22"/>
      <c r="MOR390" s="22"/>
      <c r="MOS390" s="22"/>
      <c r="MOT390" s="22"/>
      <c r="MOU390" s="22"/>
      <c r="MOV390" s="22"/>
      <c r="MOW390" s="22"/>
      <c r="MOX390" s="22"/>
      <c r="MOY390" s="22"/>
      <c r="MOZ390" s="22"/>
      <c r="MPA390" s="22"/>
      <c r="MPB390" s="22"/>
      <c r="MPC390" s="22"/>
      <c r="MPD390" s="22"/>
      <c r="MPE390" s="22"/>
      <c r="MPF390" s="22"/>
      <c r="MPG390" s="22"/>
      <c r="MPH390" s="22"/>
      <c r="MPI390" s="22"/>
      <c r="MPJ390" s="22"/>
      <c r="MPK390" s="22"/>
      <c r="MPL390" s="22"/>
      <c r="MPM390" s="22"/>
      <c r="MPN390" s="22"/>
      <c r="MPO390" s="22"/>
      <c r="MPP390" s="22"/>
      <c r="MPQ390" s="22"/>
      <c r="MPR390" s="22"/>
      <c r="MPS390" s="22"/>
      <c r="MPT390" s="22"/>
      <c r="MPU390" s="22"/>
      <c r="MPV390" s="22"/>
      <c r="MPW390" s="22"/>
      <c r="MPX390" s="22"/>
      <c r="MPY390" s="22"/>
      <c r="MPZ390" s="22"/>
      <c r="MQA390" s="22"/>
      <c r="MQB390" s="22"/>
      <c r="MQC390" s="22"/>
      <c r="MQD390" s="22"/>
      <c r="MQE390" s="22"/>
      <c r="MQF390" s="22"/>
      <c r="MQG390" s="22"/>
      <c r="MQH390" s="22"/>
      <c r="MQI390" s="22"/>
      <c r="MQJ390" s="22"/>
      <c r="MQK390" s="22"/>
      <c r="MQL390" s="22"/>
      <c r="MQM390" s="22"/>
      <c r="MQN390" s="22"/>
      <c r="MQO390" s="22"/>
      <c r="MQP390" s="22"/>
      <c r="MQQ390" s="22"/>
      <c r="MQR390" s="22"/>
      <c r="MQS390" s="22"/>
      <c r="MQT390" s="22"/>
      <c r="MQU390" s="22"/>
      <c r="MQV390" s="22"/>
      <c r="MQW390" s="22"/>
      <c r="MQX390" s="22"/>
      <c r="MQY390" s="22"/>
      <c r="MQZ390" s="22"/>
      <c r="MRA390" s="22"/>
      <c r="MRB390" s="22"/>
      <c r="MRC390" s="22"/>
      <c r="MRD390" s="22"/>
      <c r="MRE390" s="22"/>
      <c r="MRF390" s="22"/>
      <c r="MRG390" s="22"/>
      <c r="MRH390" s="22"/>
      <c r="MRI390" s="22"/>
      <c r="MRJ390" s="22"/>
      <c r="MRK390" s="22"/>
      <c r="MRL390" s="22"/>
      <c r="MRM390" s="22"/>
      <c r="MRN390" s="22"/>
      <c r="MRO390" s="22"/>
      <c r="MRP390" s="22"/>
      <c r="MRQ390" s="22"/>
      <c r="MRR390" s="22"/>
      <c r="MRS390" s="22"/>
      <c r="MRT390" s="22"/>
      <c r="MRU390" s="22"/>
      <c r="MRV390" s="22"/>
      <c r="MRW390" s="22"/>
      <c r="MRX390" s="22"/>
      <c r="MRY390" s="22"/>
      <c r="MRZ390" s="22"/>
      <c r="MSA390" s="22"/>
      <c r="MSB390" s="22"/>
      <c r="MSC390" s="22"/>
      <c r="MSD390" s="22"/>
      <c r="MSE390" s="22"/>
      <c r="MSF390" s="22"/>
      <c r="MSG390" s="22"/>
      <c r="MSH390" s="22"/>
      <c r="MSI390" s="22"/>
      <c r="MSJ390" s="22"/>
      <c r="MSK390" s="22"/>
      <c r="MSL390" s="22"/>
      <c r="MSM390" s="22"/>
      <c r="MSN390" s="22"/>
      <c r="MSO390" s="22"/>
      <c r="MSP390" s="22"/>
      <c r="MSQ390" s="22"/>
      <c r="MSR390" s="22"/>
      <c r="MSS390" s="22"/>
      <c r="MST390" s="22"/>
      <c r="MSU390" s="22"/>
      <c r="MSV390" s="22"/>
      <c r="MSW390" s="22"/>
      <c r="MSX390" s="22"/>
      <c r="MSY390" s="22"/>
      <c r="MSZ390" s="22"/>
      <c r="MTA390" s="22"/>
      <c r="MTB390" s="22"/>
      <c r="MTC390" s="22"/>
      <c r="MTD390" s="22"/>
      <c r="MTE390" s="22"/>
      <c r="MTF390" s="22"/>
      <c r="MTG390" s="22"/>
      <c r="MTH390" s="22"/>
      <c r="MTI390" s="22"/>
      <c r="MTJ390" s="22"/>
      <c r="MTK390" s="22"/>
      <c r="MTL390" s="22"/>
      <c r="MTM390" s="22"/>
      <c r="MTN390" s="22"/>
      <c r="MTO390" s="22"/>
      <c r="MTP390" s="22"/>
      <c r="MTQ390" s="22"/>
      <c r="MTR390" s="22"/>
      <c r="MTS390" s="22"/>
      <c r="MTT390" s="22"/>
      <c r="MTU390" s="22"/>
      <c r="MTV390" s="22"/>
      <c r="MTW390" s="22"/>
      <c r="MTX390" s="22"/>
      <c r="MTY390" s="22"/>
      <c r="MTZ390" s="22"/>
      <c r="MUA390" s="22"/>
      <c r="MUB390" s="22"/>
      <c r="MUC390" s="22"/>
      <c r="MUD390" s="22"/>
      <c r="MUE390" s="22"/>
      <c r="MUF390" s="22"/>
      <c r="MUG390" s="22"/>
      <c r="MUH390" s="22"/>
      <c r="MUI390" s="22"/>
      <c r="MUJ390" s="22"/>
      <c r="MUK390" s="22"/>
      <c r="MUL390" s="22"/>
      <c r="MUM390" s="22"/>
      <c r="MUN390" s="22"/>
      <c r="MUO390" s="22"/>
      <c r="MUP390" s="22"/>
      <c r="MUQ390" s="22"/>
      <c r="MUR390" s="22"/>
      <c r="MUS390" s="22"/>
      <c r="MUT390" s="22"/>
      <c r="MUU390" s="22"/>
      <c r="MUV390" s="22"/>
      <c r="MUW390" s="22"/>
      <c r="MUX390" s="22"/>
      <c r="MUY390" s="22"/>
      <c r="MUZ390" s="22"/>
      <c r="MVA390" s="22"/>
      <c r="MVB390" s="22"/>
      <c r="MVC390" s="22"/>
      <c r="MVD390" s="22"/>
      <c r="MVE390" s="22"/>
      <c r="MVF390" s="22"/>
      <c r="MVG390" s="22"/>
      <c r="MVH390" s="22"/>
      <c r="MVI390" s="22"/>
      <c r="MVJ390" s="22"/>
      <c r="MVK390" s="22"/>
      <c r="MVL390" s="22"/>
      <c r="MVM390" s="22"/>
      <c r="MVN390" s="22"/>
      <c r="MVO390" s="22"/>
      <c r="MVP390" s="22"/>
      <c r="MVQ390" s="22"/>
      <c r="MVR390" s="22"/>
      <c r="MVS390" s="22"/>
      <c r="MVT390" s="22"/>
      <c r="MVU390" s="22"/>
      <c r="MVV390" s="22"/>
      <c r="MVW390" s="22"/>
      <c r="MVX390" s="22"/>
      <c r="MVY390" s="22"/>
      <c r="MVZ390" s="22"/>
      <c r="MWA390" s="22"/>
      <c r="MWB390" s="22"/>
      <c r="MWC390" s="22"/>
      <c r="MWD390" s="22"/>
      <c r="MWE390" s="22"/>
      <c r="MWF390" s="22"/>
      <c r="MWG390" s="22"/>
      <c r="MWH390" s="22"/>
      <c r="MWI390" s="22"/>
      <c r="MWJ390" s="22"/>
      <c r="MWK390" s="22"/>
      <c r="MWL390" s="22"/>
      <c r="MWM390" s="22"/>
      <c r="MWN390" s="22"/>
      <c r="MWO390" s="22"/>
      <c r="MWP390" s="22"/>
      <c r="MWQ390" s="22"/>
      <c r="MWR390" s="22"/>
      <c r="MWS390" s="22"/>
      <c r="MWT390" s="22"/>
      <c r="MWU390" s="22"/>
      <c r="MWV390" s="22"/>
      <c r="MWW390" s="22"/>
      <c r="MWX390" s="22"/>
      <c r="MWY390" s="22"/>
      <c r="MWZ390" s="22"/>
      <c r="MXA390" s="22"/>
      <c r="MXB390" s="22"/>
      <c r="MXC390" s="22"/>
      <c r="MXD390" s="22"/>
      <c r="MXE390" s="22"/>
      <c r="MXF390" s="22"/>
      <c r="MXG390" s="22"/>
      <c r="MXH390" s="22"/>
      <c r="MXI390" s="22"/>
      <c r="MXJ390" s="22"/>
      <c r="MXK390" s="22"/>
      <c r="MXL390" s="22"/>
      <c r="MXM390" s="22"/>
      <c r="MXN390" s="22"/>
      <c r="MXO390" s="22"/>
      <c r="MXP390" s="22"/>
      <c r="MXQ390" s="22"/>
      <c r="MXR390" s="22"/>
      <c r="MXS390" s="22"/>
      <c r="MXT390" s="22"/>
      <c r="MXU390" s="22"/>
      <c r="MXV390" s="22"/>
      <c r="MXW390" s="22"/>
      <c r="MXX390" s="22"/>
      <c r="MXY390" s="22"/>
      <c r="MXZ390" s="22"/>
      <c r="MYA390" s="22"/>
      <c r="MYB390" s="22"/>
      <c r="MYC390" s="22"/>
      <c r="MYD390" s="22"/>
      <c r="MYE390" s="22"/>
      <c r="MYF390" s="22"/>
      <c r="MYG390" s="22"/>
      <c r="MYH390" s="22"/>
      <c r="MYI390" s="22"/>
      <c r="MYJ390" s="22"/>
      <c r="MYK390" s="22"/>
      <c r="MYL390" s="22"/>
      <c r="MYM390" s="22"/>
      <c r="MYN390" s="22"/>
      <c r="MYO390" s="22"/>
      <c r="MYP390" s="22"/>
      <c r="MYQ390" s="22"/>
      <c r="MYR390" s="22"/>
      <c r="MYS390" s="22"/>
      <c r="MYT390" s="22"/>
      <c r="MYU390" s="22"/>
      <c r="MYV390" s="22"/>
      <c r="MYW390" s="22"/>
      <c r="MYX390" s="22"/>
      <c r="MYY390" s="22"/>
      <c r="MYZ390" s="22"/>
      <c r="MZA390" s="22"/>
      <c r="MZB390" s="22"/>
      <c r="MZC390" s="22"/>
      <c r="MZD390" s="22"/>
      <c r="MZE390" s="22"/>
      <c r="MZF390" s="22"/>
      <c r="MZG390" s="22"/>
      <c r="MZH390" s="22"/>
      <c r="MZI390" s="22"/>
      <c r="MZJ390" s="22"/>
      <c r="MZK390" s="22"/>
      <c r="MZL390" s="22"/>
      <c r="MZM390" s="22"/>
      <c r="MZN390" s="22"/>
      <c r="MZO390" s="22"/>
      <c r="MZP390" s="22"/>
      <c r="MZQ390" s="22"/>
      <c r="MZR390" s="22"/>
      <c r="MZS390" s="22"/>
      <c r="MZT390" s="22"/>
      <c r="MZU390" s="22"/>
      <c r="MZV390" s="22"/>
      <c r="MZW390" s="22"/>
      <c r="MZX390" s="22"/>
      <c r="MZY390" s="22"/>
      <c r="MZZ390" s="22"/>
      <c r="NAA390" s="22"/>
      <c r="NAB390" s="22"/>
      <c r="NAC390" s="22"/>
      <c r="NAD390" s="22"/>
      <c r="NAE390" s="22"/>
      <c r="NAF390" s="22"/>
      <c r="NAG390" s="22"/>
      <c r="NAH390" s="22"/>
      <c r="NAI390" s="22"/>
      <c r="NAJ390" s="22"/>
      <c r="NAK390" s="22"/>
      <c r="NAL390" s="22"/>
      <c r="NAM390" s="22"/>
      <c r="NAN390" s="22"/>
      <c r="NAO390" s="22"/>
      <c r="NAP390" s="22"/>
      <c r="NAQ390" s="22"/>
      <c r="NAR390" s="22"/>
      <c r="NAS390" s="22"/>
      <c r="NAT390" s="22"/>
      <c r="NAU390" s="22"/>
      <c r="NAV390" s="22"/>
      <c r="NAW390" s="22"/>
      <c r="NAX390" s="22"/>
      <c r="NAY390" s="22"/>
      <c r="NAZ390" s="22"/>
      <c r="NBA390" s="22"/>
      <c r="NBB390" s="22"/>
      <c r="NBC390" s="22"/>
      <c r="NBD390" s="22"/>
      <c r="NBE390" s="22"/>
      <c r="NBF390" s="22"/>
      <c r="NBG390" s="22"/>
      <c r="NBH390" s="22"/>
      <c r="NBI390" s="22"/>
      <c r="NBJ390" s="22"/>
      <c r="NBK390" s="22"/>
      <c r="NBL390" s="22"/>
      <c r="NBM390" s="22"/>
      <c r="NBN390" s="22"/>
      <c r="NBO390" s="22"/>
      <c r="NBP390" s="22"/>
      <c r="NBQ390" s="22"/>
      <c r="NBR390" s="22"/>
      <c r="NBS390" s="22"/>
      <c r="NBT390" s="22"/>
      <c r="NBU390" s="22"/>
      <c r="NBV390" s="22"/>
      <c r="NBW390" s="22"/>
      <c r="NBX390" s="22"/>
      <c r="NBY390" s="22"/>
      <c r="NBZ390" s="22"/>
      <c r="NCA390" s="22"/>
      <c r="NCB390" s="22"/>
      <c r="NCC390" s="22"/>
      <c r="NCD390" s="22"/>
      <c r="NCE390" s="22"/>
      <c r="NCF390" s="22"/>
      <c r="NCG390" s="22"/>
      <c r="NCH390" s="22"/>
      <c r="NCI390" s="22"/>
      <c r="NCJ390" s="22"/>
      <c r="NCK390" s="22"/>
      <c r="NCL390" s="22"/>
      <c r="NCM390" s="22"/>
      <c r="NCN390" s="22"/>
      <c r="NCO390" s="22"/>
      <c r="NCP390" s="22"/>
      <c r="NCQ390" s="22"/>
      <c r="NCR390" s="22"/>
      <c r="NCS390" s="22"/>
      <c r="NCT390" s="22"/>
      <c r="NCU390" s="22"/>
      <c r="NCV390" s="22"/>
      <c r="NCW390" s="22"/>
      <c r="NCX390" s="22"/>
      <c r="NCY390" s="22"/>
      <c r="NCZ390" s="22"/>
      <c r="NDA390" s="22"/>
      <c r="NDB390" s="22"/>
      <c r="NDC390" s="22"/>
      <c r="NDD390" s="22"/>
      <c r="NDE390" s="22"/>
      <c r="NDF390" s="22"/>
      <c r="NDG390" s="22"/>
      <c r="NDH390" s="22"/>
      <c r="NDI390" s="22"/>
      <c r="NDJ390" s="22"/>
      <c r="NDK390" s="22"/>
      <c r="NDL390" s="22"/>
      <c r="NDM390" s="22"/>
      <c r="NDN390" s="22"/>
      <c r="NDO390" s="22"/>
      <c r="NDP390" s="22"/>
      <c r="NDQ390" s="22"/>
      <c r="NDR390" s="22"/>
      <c r="NDS390" s="22"/>
      <c r="NDT390" s="22"/>
      <c r="NDU390" s="22"/>
      <c r="NDV390" s="22"/>
      <c r="NDW390" s="22"/>
      <c r="NDX390" s="22"/>
      <c r="NDY390" s="22"/>
      <c r="NDZ390" s="22"/>
      <c r="NEA390" s="22"/>
      <c r="NEB390" s="22"/>
      <c r="NEC390" s="22"/>
      <c r="NED390" s="22"/>
      <c r="NEE390" s="22"/>
      <c r="NEF390" s="22"/>
      <c r="NEG390" s="22"/>
      <c r="NEH390" s="22"/>
      <c r="NEI390" s="22"/>
      <c r="NEJ390" s="22"/>
      <c r="NEK390" s="22"/>
      <c r="NEL390" s="22"/>
      <c r="NEM390" s="22"/>
      <c r="NEN390" s="22"/>
      <c r="NEO390" s="22"/>
      <c r="NEP390" s="22"/>
      <c r="NEQ390" s="22"/>
      <c r="NER390" s="22"/>
      <c r="NES390" s="22"/>
      <c r="NET390" s="22"/>
      <c r="NEU390" s="22"/>
      <c r="NEV390" s="22"/>
      <c r="NEW390" s="22"/>
      <c r="NEX390" s="22"/>
      <c r="NEY390" s="22"/>
      <c r="NEZ390" s="22"/>
      <c r="NFA390" s="22"/>
      <c r="NFB390" s="22"/>
      <c r="NFC390" s="22"/>
      <c r="NFD390" s="22"/>
      <c r="NFE390" s="22"/>
      <c r="NFF390" s="22"/>
      <c r="NFG390" s="22"/>
      <c r="NFH390" s="22"/>
      <c r="NFI390" s="22"/>
      <c r="NFJ390" s="22"/>
      <c r="NFK390" s="22"/>
      <c r="NFL390" s="22"/>
      <c r="NFM390" s="22"/>
      <c r="NFN390" s="22"/>
      <c r="NFO390" s="22"/>
      <c r="NFP390" s="22"/>
      <c r="NFQ390" s="22"/>
      <c r="NFR390" s="22"/>
      <c r="NFS390" s="22"/>
      <c r="NFT390" s="22"/>
      <c r="NFU390" s="22"/>
      <c r="NFV390" s="22"/>
      <c r="NFW390" s="22"/>
      <c r="NFX390" s="22"/>
      <c r="NFY390" s="22"/>
      <c r="NFZ390" s="22"/>
      <c r="NGA390" s="22"/>
      <c r="NGB390" s="22"/>
      <c r="NGC390" s="22"/>
      <c r="NGD390" s="22"/>
      <c r="NGE390" s="22"/>
      <c r="NGF390" s="22"/>
      <c r="NGG390" s="22"/>
      <c r="NGH390" s="22"/>
      <c r="NGI390" s="22"/>
      <c r="NGJ390" s="22"/>
      <c r="NGK390" s="22"/>
      <c r="NGL390" s="22"/>
      <c r="NGM390" s="22"/>
      <c r="NGN390" s="22"/>
      <c r="NGO390" s="22"/>
      <c r="NGP390" s="22"/>
      <c r="NGQ390" s="22"/>
      <c r="NGR390" s="22"/>
      <c r="NGS390" s="22"/>
      <c r="NGT390" s="22"/>
      <c r="NGU390" s="22"/>
      <c r="NGV390" s="22"/>
      <c r="NGW390" s="22"/>
      <c r="NGX390" s="22"/>
      <c r="NGY390" s="22"/>
      <c r="NGZ390" s="22"/>
      <c r="NHA390" s="22"/>
      <c r="NHB390" s="22"/>
      <c r="NHC390" s="22"/>
      <c r="NHD390" s="22"/>
      <c r="NHE390" s="22"/>
      <c r="NHF390" s="22"/>
      <c r="NHG390" s="22"/>
      <c r="NHH390" s="22"/>
      <c r="NHI390" s="22"/>
      <c r="NHJ390" s="22"/>
      <c r="NHK390" s="22"/>
      <c r="NHL390" s="22"/>
      <c r="NHM390" s="22"/>
      <c r="NHN390" s="22"/>
      <c r="NHO390" s="22"/>
      <c r="NHP390" s="22"/>
      <c r="NHQ390" s="22"/>
      <c r="NHR390" s="22"/>
      <c r="NHS390" s="22"/>
      <c r="NHT390" s="22"/>
      <c r="NHU390" s="22"/>
      <c r="NHV390" s="22"/>
      <c r="NHW390" s="22"/>
      <c r="NHX390" s="22"/>
      <c r="NHY390" s="22"/>
      <c r="NHZ390" s="22"/>
      <c r="NIA390" s="22"/>
      <c r="NIB390" s="22"/>
      <c r="NIC390" s="22"/>
      <c r="NID390" s="22"/>
      <c r="NIE390" s="22"/>
      <c r="NIF390" s="22"/>
      <c r="NIG390" s="22"/>
      <c r="NIH390" s="22"/>
      <c r="NII390" s="22"/>
      <c r="NIJ390" s="22"/>
      <c r="NIK390" s="22"/>
      <c r="NIL390" s="22"/>
      <c r="NIM390" s="22"/>
      <c r="NIN390" s="22"/>
      <c r="NIO390" s="22"/>
      <c r="NIP390" s="22"/>
      <c r="NIQ390" s="22"/>
      <c r="NIR390" s="22"/>
      <c r="NIS390" s="22"/>
      <c r="NIT390" s="22"/>
      <c r="NIU390" s="22"/>
      <c r="NIV390" s="22"/>
      <c r="NIW390" s="22"/>
      <c r="NIX390" s="22"/>
      <c r="NIY390" s="22"/>
      <c r="NIZ390" s="22"/>
      <c r="NJA390" s="22"/>
      <c r="NJB390" s="22"/>
      <c r="NJC390" s="22"/>
      <c r="NJD390" s="22"/>
      <c r="NJE390" s="22"/>
      <c r="NJF390" s="22"/>
      <c r="NJG390" s="22"/>
      <c r="NJH390" s="22"/>
      <c r="NJI390" s="22"/>
      <c r="NJJ390" s="22"/>
      <c r="NJK390" s="22"/>
      <c r="NJL390" s="22"/>
      <c r="NJM390" s="22"/>
      <c r="NJN390" s="22"/>
      <c r="NJO390" s="22"/>
      <c r="NJP390" s="22"/>
      <c r="NJQ390" s="22"/>
      <c r="NJR390" s="22"/>
      <c r="NJS390" s="22"/>
      <c r="NJT390" s="22"/>
      <c r="NJU390" s="22"/>
      <c r="NJV390" s="22"/>
      <c r="NJW390" s="22"/>
      <c r="NJX390" s="22"/>
      <c r="NJY390" s="22"/>
      <c r="NJZ390" s="22"/>
      <c r="NKA390" s="22"/>
      <c r="NKB390" s="22"/>
      <c r="NKC390" s="22"/>
      <c r="NKD390" s="22"/>
      <c r="NKE390" s="22"/>
      <c r="NKF390" s="22"/>
      <c r="NKG390" s="22"/>
      <c r="NKH390" s="22"/>
      <c r="NKI390" s="22"/>
      <c r="NKJ390" s="22"/>
      <c r="NKK390" s="22"/>
      <c r="NKL390" s="22"/>
      <c r="NKM390" s="22"/>
      <c r="NKN390" s="22"/>
      <c r="NKO390" s="22"/>
      <c r="NKP390" s="22"/>
      <c r="NKQ390" s="22"/>
      <c r="NKR390" s="22"/>
      <c r="NKS390" s="22"/>
      <c r="NKT390" s="22"/>
      <c r="NKU390" s="22"/>
      <c r="NKV390" s="22"/>
      <c r="NKW390" s="22"/>
      <c r="NKX390" s="22"/>
      <c r="NKY390" s="22"/>
      <c r="NKZ390" s="22"/>
      <c r="NLA390" s="22"/>
      <c r="NLB390" s="22"/>
      <c r="NLC390" s="22"/>
      <c r="NLD390" s="22"/>
      <c r="NLE390" s="22"/>
      <c r="NLF390" s="22"/>
      <c r="NLG390" s="22"/>
      <c r="NLH390" s="22"/>
      <c r="NLI390" s="22"/>
      <c r="NLJ390" s="22"/>
      <c r="NLK390" s="22"/>
      <c r="NLL390" s="22"/>
      <c r="NLM390" s="22"/>
      <c r="NLN390" s="22"/>
      <c r="NLO390" s="22"/>
      <c r="NLP390" s="22"/>
      <c r="NLQ390" s="22"/>
      <c r="NLR390" s="22"/>
      <c r="NLS390" s="22"/>
      <c r="NLT390" s="22"/>
      <c r="NLU390" s="22"/>
      <c r="NLV390" s="22"/>
      <c r="NLW390" s="22"/>
      <c r="NLX390" s="22"/>
      <c r="NLY390" s="22"/>
      <c r="NLZ390" s="22"/>
      <c r="NMA390" s="22"/>
      <c r="NMB390" s="22"/>
      <c r="NMC390" s="22"/>
      <c r="NMD390" s="22"/>
      <c r="NME390" s="22"/>
      <c r="NMF390" s="22"/>
      <c r="NMG390" s="22"/>
      <c r="NMH390" s="22"/>
      <c r="NMI390" s="22"/>
      <c r="NMJ390" s="22"/>
      <c r="NMK390" s="22"/>
      <c r="NML390" s="22"/>
      <c r="NMM390" s="22"/>
      <c r="NMN390" s="22"/>
      <c r="NMO390" s="22"/>
      <c r="NMP390" s="22"/>
      <c r="NMQ390" s="22"/>
      <c r="NMR390" s="22"/>
      <c r="NMS390" s="22"/>
      <c r="NMT390" s="22"/>
      <c r="NMU390" s="22"/>
      <c r="NMV390" s="22"/>
      <c r="NMW390" s="22"/>
      <c r="NMX390" s="22"/>
      <c r="NMY390" s="22"/>
      <c r="NMZ390" s="22"/>
      <c r="NNA390" s="22"/>
      <c r="NNB390" s="22"/>
      <c r="NNC390" s="22"/>
      <c r="NND390" s="22"/>
      <c r="NNE390" s="22"/>
      <c r="NNF390" s="22"/>
      <c r="NNG390" s="22"/>
      <c r="NNH390" s="22"/>
      <c r="NNI390" s="22"/>
      <c r="NNJ390" s="22"/>
      <c r="NNK390" s="22"/>
      <c r="NNL390" s="22"/>
      <c r="NNM390" s="22"/>
      <c r="NNN390" s="22"/>
      <c r="NNO390" s="22"/>
      <c r="NNP390" s="22"/>
      <c r="NNQ390" s="22"/>
      <c r="NNR390" s="22"/>
      <c r="NNS390" s="22"/>
      <c r="NNT390" s="22"/>
      <c r="NNU390" s="22"/>
      <c r="NNV390" s="22"/>
      <c r="NNW390" s="22"/>
      <c r="NNX390" s="22"/>
      <c r="NNY390" s="22"/>
      <c r="NNZ390" s="22"/>
      <c r="NOA390" s="22"/>
      <c r="NOB390" s="22"/>
      <c r="NOC390" s="22"/>
      <c r="NOD390" s="22"/>
      <c r="NOE390" s="22"/>
      <c r="NOF390" s="22"/>
      <c r="NOG390" s="22"/>
      <c r="NOH390" s="22"/>
      <c r="NOI390" s="22"/>
      <c r="NOJ390" s="22"/>
      <c r="NOK390" s="22"/>
      <c r="NOL390" s="22"/>
      <c r="NOM390" s="22"/>
      <c r="NON390" s="22"/>
      <c r="NOO390" s="22"/>
      <c r="NOP390" s="22"/>
      <c r="NOQ390" s="22"/>
      <c r="NOR390" s="22"/>
      <c r="NOS390" s="22"/>
      <c r="NOT390" s="22"/>
      <c r="NOU390" s="22"/>
      <c r="NOV390" s="22"/>
      <c r="NOW390" s="22"/>
      <c r="NOX390" s="22"/>
      <c r="NOY390" s="22"/>
      <c r="NOZ390" s="22"/>
      <c r="NPA390" s="22"/>
      <c r="NPB390" s="22"/>
      <c r="NPC390" s="22"/>
      <c r="NPD390" s="22"/>
      <c r="NPE390" s="22"/>
      <c r="NPF390" s="22"/>
      <c r="NPG390" s="22"/>
      <c r="NPH390" s="22"/>
      <c r="NPI390" s="22"/>
      <c r="NPJ390" s="22"/>
      <c r="NPK390" s="22"/>
      <c r="NPL390" s="22"/>
      <c r="NPM390" s="22"/>
      <c r="NPN390" s="22"/>
      <c r="NPO390" s="22"/>
      <c r="NPP390" s="22"/>
      <c r="NPQ390" s="22"/>
      <c r="NPR390" s="22"/>
      <c r="NPS390" s="22"/>
      <c r="NPT390" s="22"/>
      <c r="NPU390" s="22"/>
      <c r="NPV390" s="22"/>
      <c r="NPW390" s="22"/>
      <c r="NPX390" s="22"/>
      <c r="NPY390" s="22"/>
      <c r="NPZ390" s="22"/>
      <c r="NQA390" s="22"/>
      <c r="NQB390" s="22"/>
      <c r="NQC390" s="22"/>
      <c r="NQD390" s="22"/>
      <c r="NQE390" s="22"/>
      <c r="NQF390" s="22"/>
      <c r="NQG390" s="22"/>
      <c r="NQH390" s="22"/>
      <c r="NQI390" s="22"/>
      <c r="NQJ390" s="22"/>
      <c r="NQK390" s="22"/>
      <c r="NQL390" s="22"/>
      <c r="NQM390" s="22"/>
      <c r="NQN390" s="22"/>
      <c r="NQO390" s="22"/>
      <c r="NQP390" s="22"/>
      <c r="NQQ390" s="22"/>
      <c r="NQR390" s="22"/>
      <c r="NQS390" s="22"/>
      <c r="NQT390" s="22"/>
      <c r="NQU390" s="22"/>
      <c r="NQV390" s="22"/>
      <c r="NQW390" s="22"/>
      <c r="NQX390" s="22"/>
      <c r="NQY390" s="22"/>
      <c r="NQZ390" s="22"/>
      <c r="NRA390" s="22"/>
      <c r="NRB390" s="22"/>
      <c r="NRC390" s="22"/>
      <c r="NRD390" s="22"/>
      <c r="NRE390" s="22"/>
      <c r="NRF390" s="22"/>
      <c r="NRG390" s="22"/>
      <c r="NRH390" s="22"/>
      <c r="NRI390" s="22"/>
      <c r="NRJ390" s="22"/>
      <c r="NRK390" s="22"/>
      <c r="NRL390" s="22"/>
      <c r="NRM390" s="22"/>
      <c r="NRN390" s="22"/>
      <c r="NRO390" s="22"/>
      <c r="NRP390" s="22"/>
      <c r="NRQ390" s="22"/>
      <c r="NRR390" s="22"/>
      <c r="NRS390" s="22"/>
      <c r="NRT390" s="22"/>
      <c r="NRU390" s="22"/>
      <c r="NRV390" s="22"/>
      <c r="NRW390" s="22"/>
      <c r="NRX390" s="22"/>
      <c r="NRY390" s="22"/>
      <c r="NRZ390" s="22"/>
      <c r="NSA390" s="22"/>
      <c r="NSB390" s="22"/>
      <c r="NSC390" s="22"/>
      <c r="NSD390" s="22"/>
      <c r="NSE390" s="22"/>
      <c r="NSF390" s="22"/>
      <c r="NSG390" s="22"/>
      <c r="NSH390" s="22"/>
      <c r="NSI390" s="22"/>
      <c r="NSJ390" s="22"/>
      <c r="NSK390" s="22"/>
      <c r="NSL390" s="22"/>
      <c r="NSM390" s="22"/>
      <c r="NSN390" s="22"/>
      <c r="NSO390" s="22"/>
      <c r="NSP390" s="22"/>
      <c r="NSQ390" s="22"/>
      <c r="NSR390" s="22"/>
      <c r="NSS390" s="22"/>
      <c r="NST390" s="22"/>
      <c r="NSU390" s="22"/>
      <c r="NSV390" s="22"/>
      <c r="NSW390" s="22"/>
      <c r="NSX390" s="22"/>
      <c r="NSY390" s="22"/>
      <c r="NSZ390" s="22"/>
      <c r="NTA390" s="22"/>
      <c r="NTB390" s="22"/>
      <c r="NTC390" s="22"/>
      <c r="NTD390" s="22"/>
      <c r="NTE390" s="22"/>
      <c r="NTF390" s="22"/>
      <c r="NTG390" s="22"/>
      <c r="NTH390" s="22"/>
      <c r="NTI390" s="22"/>
      <c r="NTJ390" s="22"/>
      <c r="NTK390" s="22"/>
      <c r="NTL390" s="22"/>
      <c r="NTM390" s="22"/>
      <c r="NTN390" s="22"/>
      <c r="NTO390" s="22"/>
      <c r="NTP390" s="22"/>
      <c r="NTQ390" s="22"/>
      <c r="NTR390" s="22"/>
      <c r="NTS390" s="22"/>
      <c r="NTT390" s="22"/>
      <c r="NTU390" s="22"/>
      <c r="NTV390" s="22"/>
      <c r="NTW390" s="22"/>
      <c r="NTX390" s="22"/>
      <c r="NTY390" s="22"/>
      <c r="NTZ390" s="22"/>
      <c r="NUA390" s="22"/>
      <c r="NUB390" s="22"/>
      <c r="NUC390" s="22"/>
      <c r="NUD390" s="22"/>
      <c r="NUE390" s="22"/>
      <c r="NUF390" s="22"/>
      <c r="NUG390" s="22"/>
      <c r="NUH390" s="22"/>
      <c r="NUI390" s="22"/>
      <c r="NUJ390" s="22"/>
      <c r="NUK390" s="22"/>
      <c r="NUL390" s="22"/>
      <c r="NUM390" s="22"/>
      <c r="NUN390" s="22"/>
      <c r="NUO390" s="22"/>
      <c r="NUP390" s="22"/>
      <c r="NUQ390" s="22"/>
      <c r="NUR390" s="22"/>
      <c r="NUS390" s="22"/>
      <c r="NUT390" s="22"/>
      <c r="NUU390" s="22"/>
      <c r="NUV390" s="22"/>
      <c r="NUW390" s="22"/>
      <c r="NUX390" s="22"/>
      <c r="NUY390" s="22"/>
      <c r="NUZ390" s="22"/>
      <c r="NVA390" s="22"/>
      <c r="NVB390" s="22"/>
      <c r="NVC390" s="22"/>
      <c r="NVD390" s="22"/>
      <c r="NVE390" s="22"/>
      <c r="NVF390" s="22"/>
      <c r="NVG390" s="22"/>
      <c r="NVH390" s="22"/>
      <c r="NVI390" s="22"/>
      <c r="NVJ390" s="22"/>
      <c r="NVK390" s="22"/>
      <c r="NVL390" s="22"/>
      <c r="NVM390" s="22"/>
      <c r="NVN390" s="22"/>
      <c r="NVO390" s="22"/>
      <c r="NVP390" s="22"/>
      <c r="NVQ390" s="22"/>
      <c r="NVR390" s="22"/>
      <c r="NVS390" s="22"/>
      <c r="NVT390" s="22"/>
      <c r="NVU390" s="22"/>
      <c r="NVV390" s="22"/>
      <c r="NVW390" s="22"/>
      <c r="NVX390" s="22"/>
      <c r="NVY390" s="22"/>
      <c r="NVZ390" s="22"/>
      <c r="NWA390" s="22"/>
      <c r="NWB390" s="22"/>
      <c r="NWC390" s="22"/>
      <c r="NWD390" s="22"/>
      <c r="NWE390" s="22"/>
      <c r="NWF390" s="22"/>
      <c r="NWG390" s="22"/>
      <c r="NWH390" s="22"/>
      <c r="NWI390" s="22"/>
      <c r="NWJ390" s="22"/>
      <c r="NWK390" s="22"/>
      <c r="NWL390" s="22"/>
      <c r="NWM390" s="22"/>
      <c r="NWN390" s="22"/>
      <c r="NWO390" s="22"/>
      <c r="NWP390" s="22"/>
      <c r="NWQ390" s="22"/>
      <c r="NWR390" s="22"/>
      <c r="NWS390" s="22"/>
      <c r="NWT390" s="22"/>
      <c r="NWU390" s="22"/>
      <c r="NWV390" s="22"/>
      <c r="NWW390" s="22"/>
      <c r="NWX390" s="22"/>
      <c r="NWY390" s="22"/>
      <c r="NWZ390" s="22"/>
      <c r="NXA390" s="22"/>
      <c r="NXB390" s="22"/>
      <c r="NXC390" s="22"/>
      <c r="NXD390" s="22"/>
      <c r="NXE390" s="22"/>
      <c r="NXF390" s="22"/>
      <c r="NXG390" s="22"/>
      <c r="NXH390" s="22"/>
      <c r="NXI390" s="22"/>
      <c r="NXJ390" s="22"/>
      <c r="NXK390" s="22"/>
      <c r="NXL390" s="22"/>
      <c r="NXM390" s="22"/>
      <c r="NXN390" s="22"/>
      <c r="NXO390" s="22"/>
      <c r="NXP390" s="22"/>
      <c r="NXQ390" s="22"/>
      <c r="NXR390" s="22"/>
      <c r="NXS390" s="22"/>
      <c r="NXT390" s="22"/>
      <c r="NXU390" s="22"/>
      <c r="NXV390" s="22"/>
      <c r="NXW390" s="22"/>
      <c r="NXX390" s="22"/>
      <c r="NXY390" s="22"/>
      <c r="NXZ390" s="22"/>
      <c r="NYA390" s="22"/>
      <c r="NYB390" s="22"/>
      <c r="NYC390" s="22"/>
      <c r="NYD390" s="22"/>
      <c r="NYE390" s="22"/>
      <c r="NYF390" s="22"/>
      <c r="NYG390" s="22"/>
      <c r="NYH390" s="22"/>
      <c r="NYI390" s="22"/>
      <c r="NYJ390" s="22"/>
      <c r="NYK390" s="22"/>
      <c r="NYL390" s="22"/>
      <c r="NYM390" s="22"/>
      <c r="NYN390" s="22"/>
      <c r="NYO390" s="22"/>
      <c r="NYP390" s="22"/>
      <c r="NYQ390" s="22"/>
      <c r="NYR390" s="22"/>
      <c r="NYS390" s="22"/>
      <c r="NYT390" s="22"/>
      <c r="NYU390" s="22"/>
      <c r="NYV390" s="22"/>
      <c r="NYW390" s="22"/>
      <c r="NYX390" s="22"/>
      <c r="NYY390" s="22"/>
      <c r="NYZ390" s="22"/>
      <c r="NZA390" s="22"/>
      <c r="NZB390" s="22"/>
      <c r="NZC390" s="22"/>
      <c r="NZD390" s="22"/>
      <c r="NZE390" s="22"/>
      <c r="NZF390" s="22"/>
      <c r="NZG390" s="22"/>
      <c r="NZH390" s="22"/>
      <c r="NZI390" s="22"/>
      <c r="NZJ390" s="22"/>
      <c r="NZK390" s="22"/>
      <c r="NZL390" s="22"/>
      <c r="NZM390" s="22"/>
      <c r="NZN390" s="22"/>
      <c r="NZO390" s="22"/>
      <c r="NZP390" s="22"/>
      <c r="NZQ390" s="22"/>
      <c r="NZR390" s="22"/>
      <c r="NZS390" s="22"/>
      <c r="NZT390" s="22"/>
      <c r="NZU390" s="22"/>
      <c r="NZV390" s="22"/>
      <c r="NZW390" s="22"/>
      <c r="NZX390" s="22"/>
      <c r="NZY390" s="22"/>
      <c r="NZZ390" s="22"/>
      <c r="OAA390" s="22"/>
      <c r="OAB390" s="22"/>
      <c r="OAC390" s="22"/>
      <c r="OAD390" s="22"/>
      <c r="OAE390" s="22"/>
      <c r="OAF390" s="22"/>
      <c r="OAG390" s="22"/>
      <c r="OAH390" s="22"/>
      <c r="OAI390" s="22"/>
      <c r="OAJ390" s="22"/>
      <c r="OAK390" s="22"/>
      <c r="OAL390" s="22"/>
      <c r="OAM390" s="22"/>
      <c r="OAN390" s="22"/>
      <c r="OAO390" s="22"/>
      <c r="OAP390" s="22"/>
      <c r="OAQ390" s="22"/>
      <c r="OAR390" s="22"/>
      <c r="OAS390" s="22"/>
      <c r="OAT390" s="22"/>
      <c r="OAU390" s="22"/>
      <c r="OAV390" s="22"/>
      <c r="OAW390" s="22"/>
      <c r="OAX390" s="22"/>
      <c r="OAY390" s="22"/>
      <c r="OAZ390" s="22"/>
      <c r="OBA390" s="22"/>
      <c r="OBB390" s="22"/>
      <c r="OBC390" s="22"/>
      <c r="OBD390" s="22"/>
      <c r="OBE390" s="22"/>
      <c r="OBF390" s="22"/>
      <c r="OBG390" s="22"/>
      <c r="OBH390" s="22"/>
      <c r="OBI390" s="22"/>
      <c r="OBJ390" s="22"/>
      <c r="OBK390" s="22"/>
      <c r="OBL390" s="22"/>
      <c r="OBM390" s="22"/>
      <c r="OBN390" s="22"/>
      <c r="OBO390" s="22"/>
      <c r="OBP390" s="22"/>
      <c r="OBQ390" s="22"/>
      <c r="OBR390" s="22"/>
      <c r="OBS390" s="22"/>
      <c r="OBT390" s="22"/>
      <c r="OBU390" s="22"/>
      <c r="OBV390" s="22"/>
      <c r="OBW390" s="22"/>
      <c r="OBX390" s="22"/>
      <c r="OBY390" s="22"/>
      <c r="OBZ390" s="22"/>
      <c r="OCA390" s="22"/>
      <c r="OCB390" s="22"/>
      <c r="OCC390" s="22"/>
      <c r="OCD390" s="22"/>
      <c r="OCE390" s="22"/>
      <c r="OCF390" s="22"/>
      <c r="OCG390" s="22"/>
      <c r="OCH390" s="22"/>
      <c r="OCI390" s="22"/>
      <c r="OCJ390" s="22"/>
      <c r="OCK390" s="22"/>
      <c r="OCL390" s="22"/>
      <c r="OCM390" s="22"/>
      <c r="OCN390" s="22"/>
      <c r="OCO390" s="22"/>
      <c r="OCP390" s="22"/>
      <c r="OCQ390" s="22"/>
      <c r="OCR390" s="22"/>
      <c r="OCS390" s="22"/>
      <c r="OCT390" s="22"/>
      <c r="OCU390" s="22"/>
      <c r="OCV390" s="22"/>
      <c r="OCW390" s="22"/>
      <c r="OCX390" s="22"/>
      <c r="OCY390" s="22"/>
      <c r="OCZ390" s="22"/>
      <c r="ODA390" s="22"/>
      <c r="ODB390" s="22"/>
      <c r="ODC390" s="22"/>
      <c r="ODD390" s="22"/>
      <c r="ODE390" s="22"/>
      <c r="ODF390" s="22"/>
      <c r="ODG390" s="22"/>
      <c r="ODH390" s="22"/>
      <c r="ODI390" s="22"/>
      <c r="ODJ390" s="22"/>
      <c r="ODK390" s="22"/>
      <c r="ODL390" s="22"/>
      <c r="ODM390" s="22"/>
      <c r="ODN390" s="22"/>
      <c r="ODO390" s="22"/>
      <c r="ODP390" s="22"/>
      <c r="ODQ390" s="22"/>
      <c r="ODR390" s="22"/>
      <c r="ODS390" s="22"/>
      <c r="ODT390" s="22"/>
      <c r="ODU390" s="22"/>
      <c r="ODV390" s="22"/>
      <c r="ODW390" s="22"/>
      <c r="ODX390" s="22"/>
      <c r="ODY390" s="22"/>
      <c r="ODZ390" s="22"/>
      <c r="OEA390" s="22"/>
      <c r="OEB390" s="22"/>
      <c r="OEC390" s="22"/>
      <c r="OED390" s="22"/>
      <c r="OEE390" s="22"/>
      <c r="OEF390" s="22"/>
      <c r="OEG390" s="22"/>
      <c r="OEH390" s="22"/>
      <c r="OEI390" s="22"/>
      <c r="OEJ390" s="22"/>
      <c r="OEK390" s="22"/>
      <c r="OEL390" s="22"/>
      <c r="OEM390" s="22"/>
      <c r="OEN390" s="22"/>
      <c r="OEO390" s="22"/>
      <c r="OEP390" s="22"/>
      <c r="OEQ390" s="22"/>
      <c r="OER390" s="22"/>
      <c r="OES390" s="22"/>
      <c r="OET390" s="22"/>
      <c r="OEU390" s="22"/>
      <c r="OEV390" s="22"/>
      <c r="OEW390" s="22"/>
      <c r="OEX390" s="22"/>
      <c r="OEY390" s="22"/>
      <c r="OEZ390" s="22"/>
      <c r="OFA390" s="22"/>
      <c r="OFB390" s="22"/>
      <c r="OFC390" s="22"/>
      <c r="OFD390" s="22"/>
      <c r="OFE390" s="22"/>
      <c r="OFF390" s="22"/>
      <c r="OFG390" s="22"/>
      <c r="OFH390" s="22"/>
      <c r="OFI390" s="22"/>
      <c r="OFJ390" s="22"/>
      <c r="OFK390" s="22"/>
      <c r="OFL390" s="22"/>
      <c r="OFM390" s="22"/>
      <c r="OFN390" s="22"/>
      <c r="OFO390" s="22"/>
      <c r="OFP390" s="22"/>
      <c r="OFQ390" s="22"/>
      <c r="OFR390" s="22"/>
      <c r="OFS390" s="22"/>
      <c r="OFT390" s="22"/>
      <c r="OFU390" s="22"/>
      <c r="OFV390" s="22"/>
      <c r="OFW390" s="22"/>
      <c r="OFX390" s="22"/>
      <c r="OFY390" s="22"/>
      <c r="OFZ390" s="22"/>
      <c r="OGA390" s="22"/>
      <c r="OGB390" s="22"/>
      <c r="OGC390" s="22"/>
      <c r="OGD390" s="22"/>
      <c r="OGE390" s="22"/>
      <c r="OGF390" s="22"/>
      <c r="OGG390" s="22"/>
      <c r="OGH390" s="22"/>
      <c r="OGI390" s="22"/>
      <c r="OGJ390" s="22"/>
      <c r="OGK390" s="22"/>
      <c r="OGL390" s="22"/>
      <c r="OGM390" s="22"/>
      <c r="OGN390" s="22"/>
      <c r="OGO390" s="22"/>
      <c r="OGP390" s="22"/>
      <c r="OGQ390" s="22"/>
      <c r="OGR390" s="22"/>
      <c r="OGS390" s="22"/>
      <c r="OGT390" s="22"/>
      <c r="OGU390" s="22"/>
      <c r="OGV390" s="22"/>
      <c r="OGW390" s="22"/>
      <c r="OGX390" s="22"/>
      <c r="OGY390" s="22"/>
      <c r="OGZ390" s="22"/>
      <c r="OHA390" s="22"/>
      <c r="OHB390" s="22"/>
      <c r="OHC390" s="22"/>
      <c r="OHD390" s="22"/>
      <c r="OHE390" s="22"/>
      <c r="OHF390" s="22"/>
      <c r="OHG390" s="22"/>
      <c r="OHH390" s="22"/>
      <c r="OHI390" s="22"/>
      <c r="OHJ390" s="22"/>
      <c r="OHK390" s="22"/>
      <c r="OHL390" s="22"/>
      <c r="OHM390" s="22"/>
      <c r="OHN390" s="22"/>
      <c r="OHO390" s="22"/>
      <c r="OHP390" s="22"/>
      <c r="OHQ390" s="22"/>
      <c r="OHR390" s="22"/>
      <c r="OHS390" s="22"/>
      <c r="OHT390" s="22"/>
      <c r="OHU390" s="22"/>
      <c r="OHV390" s="22"/>
      <c r="OHW390" s="22"/>
      <c r="OHX390" s="22"/>
      <c r="OHY390" s="22"/>
      <c r="OHZ390" s="22"/>
      <c r="OIA390" s="22"/>
      <c r="OIB390" s="22"/>
      <c r="OIC390" s="22"/>
      <c r="OID390" s="22"/>
      <c r="OIE390" s="22"/>
      <c r="OIF390" s="22"/>
      <c r="OIG390" s="22"/>
      <c r="OIH390" s="22"/>
      <c r="OII390" s="22"/>
      <c r="OIJ390" s="22"/>
      <c r="OIK390" s="22"/>
      <c r="OIL390" s="22"/>
      <c r="OIM390" s="22"/>
      <c r="OIN390" s="22"/>
      <c r="OIO390" s="22"/>
      <c r="OIP390" s="22"/>
      <c r="OIQ390" s="22"/>
      <c r="OIR390" s="22"/>
      <c r="OIS390" s="22"/>
      <c r="OIT390" s="22"/>
      <c r="OIU390" s="22"/>
      <c r="OIV390" s="22"/>
      <c r="OIW390" s="22"/>
      <c r="OIX390" s="22"/>
      <c r="OIY390" s="22"/>
      <c r="OIZ390" s="22"/>
      <c r="OJA390" s="22"/>
      <c r="OJB390" s="22"/>
      <c r="OJC390" s="22"/>
      <c r="OJD390" s="22"/>
      <c r="OJE390" s="22"/>
      <c r="OJF390" s="22"/>
      <c r="OJG390" s="22"/>
      <c r="OJH390" s="22"/>
      <c r="OJI390" s="22"/>
      <c r="OJJ390" s="22"/>
      <c r="OJK390" s="22"/>
      <c r="OJL390" s="22"/>
      <c r="OJM390" s="22"/>
      <c r="OJN390" s="22"/>
      <c r="OJO390" s="22"/>
      <c r="OJP390" s="22"/>
      <c r="OJQ390" s="22"/>
      <c r="OJR390" s="22"/>
      <c r="OJS390" s="22"/>
      <c r="OJT390" s="22"/>
      <c r="OJU390" s="22"/>
      <c r="OJV390" s="22"/>
      <c r="OJW390" s="22"/>
      <c r="OJX390" s="22"/>
      <c r="OJY390" s="22"/>
      <c r="OJZ390" s="22"/>
      <c r="OKA390" s="22"/>
      <c r="OKB390" s="22"/>
      <c r="OKC390" s="22"/>
      <c r="OKD390" s="22"/>
      <c r="OKE390" s="22"/>
      <c r="OKF390" s="22"/>
      <c r="OKG390" s="22"/>
      <c r="OKH390" s="22"/>
      <c r="OKI390" s="22"/>
      <c r="OKJ390" s="22"/>
      <c r="OKK390" s="22"/>
      <c r="OKL390" s="22"/>
      <c r="OKM390" s="22"/>
      <c r="OKN390" s="22"/>
      <c r="OKO390" s="22"/>
      <c r="OKP390" s="22"/>
      <c r="OKQ390" s="22"/>
      <c r="OKR390" s="22"/>
      <c r="OKS390" s="22"/>
      <c r="OKT390" s="22"/>
      <c r="OKU390" s="22"/>
      <c r="OKV390" s="22"/>
      <c r="OKW390" s="22"/>
      <c r="OKX390" s="22"/>
      <c r="OKY390" s="22"/>
      <c r="OKZ390" s="22"/>
      <c r="OLA390" s="22"/>
      <c r="OLB390" s="22"/>
      <c r="OLC390" s="22"/>
      <c r="OLD390" s="22"/>
      <c r="OLE390" s="22"/>
      <c r="OLF390" s="22"/>
      <c r="OLG390" s="22"/>
      <c r="OLH390" s="22"/>
      <c r="OLI390" s="22"/>
      <c r="OLJ390" s="22"/>
      <c r="OLK390" s="22"/>
      <c r="OLL390" s="22"/>
      <c r="OLM390" s="22"/>
      <c r="OLN390" s="22"/>
      <c r="OLO390" s="22"/>
      <c r="OLP390" s="22"/>
      <c r="OLQ390" s="22"/>
      <c r="OLR390" s="22"/>
      <c r="OLS390" s="22"/>
      <c r="OLT390" s="22"/>
      <c r="OLU390" s="22"/>
      <c r="OLV390" s="22"/>
      <c r="OLW390" s="22"/>
      <c r="OLX390" s="22"/>
      <c r="OLY390" s="22"/>
      <c r="OLZ390" s="22"/>
      <c r="OMA390" s="22"/>
      <c r="OMB390" s="22"/>
      <c r="OMC390" s="22"/>
      <c r="OMD390" s="22"/>
      <c r="OME390" s="22"/>
      <c r="OMF390" s="22"/>
      <c r="OMG390" s="22"/>
      <c r="OMH390" s="22"/>
      <c r="OMI390" s="22"/>
      <c r="OMJ390" s="22"/>
      <c r="OMK390" s="22"/>
      <c r="OML390" s="22"/>
      <c r="OMM390" s="22"/>
      <c r="OMN390" s="22"/>
      <c r="OMO390" s="22"/>
      <c r="OMP390" s="22"/>
      <c r="OMQ390" s="22"/>
      <c r="OMR390" s="22"/>
      <c r="OMS390" s="22"/>
      <c r="OMT390" s="22"/>
      <c r="OMU390" s="22"/>
      <c r="OMV390" s="22"/>
      <c r="OMW390" s="22"/>
      <c r="OMX390" s="22"/>
      <c r="OMY390" s="22"/>
      <c r="OMZ390" s="22"/>
      <c r="ONA390" s="22"/>
      <c r="ONB390" s="22"/>
      <c r="ONC390" s="22"/>
      <c r="OND390" s="22"/>
      <c r="ONE390" s="22"/>
      <c r="ONF390" s="22"/>
      <c r="ONG390" s="22"/>
      <c r="ONH390" s="22"/>
      <c r="ONI390" s="22"/>
      <c r="ONJ390" s="22"/>
      <c r="ONK390" s="22"/>
      <c r="ONL390" s="22"/>
      <c r="ONM390" s="22"/>
      <c r="ONN390" s="22"/>
      <c r="ONO390" s="22"/>
      <c r="ONP390" s="22"/>
      <c r="ONQ390" s="22"/>
      <c r="ONR390" s="22"/>
      <c r="ONS390" s="22"/>
      <c r="ONT390" s="22"/>
      <c r="ONU390" s="22"/>
      <c r="ONV390" s="22"/>
      <c r="ONW390" s="22"/>
      <c r="ONX390" s="22"/>
      <c r="ONY390" s="22"/>
      <c r="ONZ390" s="22"/>
      <c r="OOA390" s="22"/>
      <c r="OOB390" s="22"/>
      <c r="OOC390" s="22"/>
      <c r="OOD390" s="22"/>
      <c r="OOE390" s="22"/>
      <c r="OOF390" s="22"/>
      <c r="OOG390" s="22"/>
      <c r="OOH390" s="22"/>
      <c r="OOI390" s="22"/>
      <c r="OOJ390" s="22"/>
      <c r="OOK390" s="22"/>
      <c r="OOL390" s="22"/>
      <c r="OOM390" s="22"/>
      <c r="OON390" s="22"/>
      <c r="OOO390" s="22"/>
      <c r="OOP390" s="22"/>
      <c r="OOQ390" s="22"/>
      <c r="OOR390" s="22"/>
      <c r="OOS390" s="22"/>
      <c r="OOT390" s="22"/>
      <c r="OOU390" s="22"/>
      <c r="OOV390" s="22"/>
      <c r="OOW390" s="22"/>
      <c r="OOX390" s="22"/>
      <c r="OOY390" s="22"/>
      <c r="OOZ390" s="22"/>
      <c r="OPA390" s="22"/>
      <c r="OPB390" s="22"/>
      <c r="OPC390" s="22"/>
      <c r="OPD390" s="22"/>
      <c r="OPE390" s="22"/>
      <c r="OPF390" s="22"/>
      <c r="OPG390" s="22"/>
      <c r="OPH390" s="22"/>
      <c r="OPI390" s="22"/>
      <c r="OPJ390" s="22"/>
      <c r="OPK390" s="22"/>
      <c r="OPL390" s="22"/>
      <c r="OPM390" s="22"/>
      <c r="OPN390" s="22"/>
      <c r="OPO390" s="22"/>
      <c r="OPP390" s="22"/>
      <c r="OPQ390" s="22"/>
      <c r="OPR390" s="22"/>
      <c r="OPS390" s="22"/>
      <c r="OPT390" s="22"/>
      <c r="OPU390" s="22"/>
      <c r="OPV390" s="22"/>
      <c r="OPW390" s="22"/>
      <c r="OPX390" s="22"/>
      <c r="OPY390" s="22"/>
      <c r="OPZ390" s="22"/>
      <c r="OQA390" s="22"/>
      <c r="OQB390" s="22"/>
      <c r="OQC390" s="22"/>
      <c r="OQD390" s="22"/>
      <c r="OQE390" s="22"/>
      <c r="OQF390" s="22"/>
      <c r="OQG390" s="22"/>
      <c r="OQH390" s="22"/>
      <c r="OQI390" s="22"/>
      <c r="OQJ390" s="22"/>
      <c r="OQK390" s="22"/>
      <c r="OQL390" s="22"/>
      <c r="OQM390" s="22"/>
      <c r="OQN390" s="22"/>
      <c r="OQO390" s="22"/>
      <c r="OQP390" s="22"/>
      <c r="OQQ390" s="22"/>
      <c r="OQR390" s="22"/>
      <c r="OQS390" s="22"/>
      <c r="OQT390" s="22"/>
      <c r="OQU390" s="22"/>
      <c r="OQV390" s="22"/>
      <c r="OQW390" s="22"/>
      <c r="OQX390" s="22"/>
      <c r="OQY390" s="22"/>
      <c r="OQZ390" s="22"/>
      <c r="ORA390" s="22"/>
      <c r="ORB390" s="22"/>
      <c r="ORC390" s="22"/>
      <c r="ORD390" s="22"/>
      <c r="ORE390" s="22"/>
      <c r="ORF390" s="22"/>
      <c r="ORG390" s="22"/>
      <c r="ORH390" s="22"/>
      <c r="ORI390" s="22"/>
      <c r="ORJ390" s="22"/>
      <c r="ORK390" s="22"/>
      <c r="ORL390" s="22"/>
      <c r="ORM390" s="22"/>
      <c r="ORN390" s="22"/>
      <c r="ORO390" s="22"/>
      <c r="ORP390" s="22"/>
      <c r="ORQ390" s="22"/>
      <c r="ORR390" s="22"/>
      <c r="ORS390" s="22"/>
      <c r="ORT390" s="22"/>
      <c r="ORU390" s="22"/>
      <c r="ORV390" s="22"/>
      <c r="ORW390" s="22"/>
      <c r="ORX390" s="22"/>
      <c r="ORY390" s="22"/>
      <c r="ORZ390" s="22"/>
      <c r="OSA390" s="22"/>
      <c r="OSB390" s="22"/>
      <c r="OSC390" s="22"/>
      <c r="OSD390" s="22"/>
      <c r="OSE390" s="22"/>
      <c r="OSF390" s="22"/>
      <c r="OSG390" s="22"/>
      <c r="OSH390" s="22"/>
      <c r="OSI390" s="22"/>
      <c r="OSJ390" s="22"/>
      <c r="OSK390" s="22"/>
      <c r="OSL390" s="22"/>
      <c r="OSM390" s="22"/>
      <c r="OSN390" s="22"/>
      <c r="OSO390" s="22"/>
      <c r="OSP390" s="22"/>
      <c r="OSQ390" s="22"/>
      <c r="OSR390" s="22"/>
      <c r="OSS390" s="22"/>
      <c r="OST390" s="22"/>
      <c r="OSU390" s="22"/>
      <c r="OSV390" s="22"/>
      <c r="OSW390" s="22"/>
      <c r="OSX390" s="22"/>
      <c r="OSY390" s="22"/>
      <c r="OSZ390" s="22"/>
      <c r="OTA390" s="22"/>
      <c r="OTB390" s="22"/>
      <c r="OTC390" s="22"/>
      <c r="OTD390" s="22"/>
      <c r="OTE390" s="22"/>
      <c r="OTF390" s="22"/>
      <c r="OTG390" s="22"/>
      <c r="OTH390" s="22"/>
      <c r="OTI390" s="22"/>
      <c r="OTJ390" s="22"/>
      <c r="OTK390" s="22"/>
      <c r="OTL390" s="22"/>
      <c r="OTM390" s="22"/>
      <c r="OTN390" s="22"/>
      <c r="OTO390" s="22"/>
      <c r="OTP390" s="22"/>
      <c r="OTQ390" s="22"/>
      <c r="OTR390" s="22"/>
      <c r="OTS390" s="22"/>
      <c r="OTT390" s="22"/>
      <c r="OTU390" s="22"/>
      <c r="OTV390" s="22"/>
      <c r="OTW390" s="22"/>
      <c r="OTX390" s="22"/>
      <c r="OTY390" s="22"/>
      <c r="OTZ390" s="22"/>
      <c r="OUA390" s="22"/>
      <c r="OUB390" s="22"/>
      <c r="OUC390" s="22"/>
      <c r="OUD390" s="22"/>
      <c r="OUE390" s="22"/>
      <c r="OUF390" s="22"/>
      <c r="OUG390" s="22"/>
      <c r="OUH390" s="22"/>
      <c r="OUI390" s="22"/>
      <c r="OUJ390" s="22"/>
      <c r="OUK390" s="22"/>
      <c r="OUL390" s="22"/>
      <c r="OUM390" s="22"/>
      <c r="OUN390" s="22"/>
      <c r="OUO390" s="22"/>
      <c r="OUP390" s="22"/>
      <c r="OUQ390" s="22"/>
      <c r="OUR390" s="22"/>
      <c r="OUS390" s="22"/>
      <c r="OUT390" s="22"/>
      <c r="OUU390" s="22"/>
      <c r="OUV390" s="22"/>
      <c r="OUW390" s="22"/>
      <c r="OUX390" s="22"/>
      <c r="OUY390" s="22"/>
      <c r="OUZ390" s="22"/>
      <c r="OVA390" s="22"/>
      <c r="OVB390" s="22"/>
      <c r="OVC390" s="22"/>
      <c r="OVD390" s="22"/>
      <c r="OVE390" s="22"/>
      <c r="OVF390" s="22"/>
      <c r="OVG390" s="22"/>
      <c r="OVH390" s="22"/>
      <c r="OVI390" s="22"/>
      <c r="OVJ390" s="22"/>
      <c r="OVK390" s="22"/>
      <c r="OVL390" s="22"/>
      <c r="OVM390" s="22"/>
      <c r="OVN390" s="22"/>
      <c r="OVO390" s="22"/>
      <c r="OVP390" s="22"/>
      <c r="OVQ390" s="22"/>
      <c r="OVR390" s="22"/>
      <c r="OVS390" s="22"/>
      <c r="OVT390" s="22"/>
      <c r="OVU390" s="22"/>
      <c r="OVV390" s="22"/>
      <c r="OVW390" s="22"/>
      <c r="OVX390" s="22"/>
      <c r="OVY390" s="22"/>
      <c r="OVZ390" s="22"/>
      <c r="OWA390" s="22"/>
      <c r="OWB390" s="22"/>
      <c r="OWC390" s="22"/>
      <c r="OWD390" s="22"/>
      <c r="OWE390" s="22"/>
      <c r="OWF390" s="22"/>
      <c r="OWG390" s="22"/>
      <c r="OWH390" s="22"/>
      <c r="OWI390" s="22"/>
      <c r="OWJ390" s="22"/>
      <c r="OWK390" s="22"/>
      <c r="OWL390" s="22"/>
      <c r="OWM390" s="22"/>
      <c r="OWN390" s="22"/>
      <c r="OWO390" s="22"/>
      <c r="OWP390" s="22"/>
      <c r="OWQ390" s="22"/>
      <c r="OWR390" s="22"/>
      <c r="OWS390" s="22"/>
      <c r="OWT390" s="22"/>
      <c r="OWU390" s="22"/>
      <c r="OWV390" s="22"/>
      <c r="OWW390" s="22"/>
      <c r="OWX390" s="22"/>
      <c r="OWY390" s="22"/>
      <c r="OWZ390" s="22"/>
      <c r="OXA390" s="22"/>
      <c r="OXB390" s="22"/>
      <c r="OXC390" s="22"/>
      <c r="OXD390" s="22"/>
      <c r="OXE390" s="22"/>
      <c r="OXF390" s="22"/>
      <c r="OXG390" s="22"/>
      <c r="OXH390" s="22"/>
      <c r="OXI390" s="22"/>
      <c r="OXJ390" s="22"/>
      <c r="OXK390" s="22"/>
      <c r="OXL390" s="22"/>
      <c r="OXM390" s="22"/>
      <c r="OXN390" s="22"/>
      <c r="OXO390" s="22"/>
      <c r="OXP390" s="22"/>
      <c r="OXQ390" s="22"/>
      <c r="OXR390" s="22"/>
      <c r="OXS390" s="22"/>
      <c r="OXT390" s="22"/>
      <c r="OXU390" s="22"/>
      <c r="OXV390" s="22"/>
      <c r="OXW390" s="22"/>
      <c r="OXX390" s="22"/>
      <c r="OXY390" s="22"/>
      <c r="OXZ390" s="22"/>
      <c r="OYA390" s="22"/>
      <c r="OYB390" s="22"/>
      <c r="OYC390" s="22"/>
      <c r="OYD390" s="22"/>
      <c r="OYE390" s="22"/>
      <c r="OYF390" s="22"/>
      <c r="OYG390" s="22"/>
      <c r="OYH390" s="22"/>
      <c r="OYI390" s="22"/>
      <c r="OYJ390" s="22"/>
      <c r="OYK390" s="22"/>
      <c r="OYL390" s="22"/>
      <c r="OYM390" s="22"/>
      <c r="OYN390" s="22"/>
      <c r="OYO390" s="22"/>
      <c r="OYP390" s="22"/>
      <c r="OYQ390" s="22"/>
      <c r="OYR390" s="22"/>
      <c r="OYS390" s="22"/>
      <c r="OYT390" s="22"/>
      <c r="OYU390" s="22"/>
      <c r="OYV390" s="22"/>
      <c r="OYW390" s="22"/>
      <c r="OYX390" s="22"/>
      <c r="OYY390" s="22"/>
      <c r="OYZ390" s="22"/>
      <c r="OZA390" s="22"/>
      <c r="OZB390" s="22"/>
      <c r="OZC390" s="22"/>
      <c r="OZD390" s="22"/>
      <c r="OZE390" s="22"/>
      <c r="OZF390" s="22"/>
      <c r="OZG390" s="22"/>
      <c r="OZH390" s="22"/>
      <c r="OZI390" s="22"/>
      <c r="OZJ390" s="22"/>
      <c r="OZK390" s="22"/>
      <c r="OZL390" s="22"/>
      <c r="OZM390" s="22"/>
      <c r="OZN390" s="22"/>
      <c r="OZO390" s="22"/>
      <c r="OZP390" s="22"/>
      <c r="OZQ390" s="22"/>
      <c r="OZR390" s="22"/>
      <c r="OZS390" s="22"/>
      <c r="OZT390" s="22"/>
      <c r="OZU390" s="22"/>
      <c r="OZV390" s="22"/>
      <c r="OZW390" s="22"/>
      <c r="OZX390" s="22"/>
      <c r="OZY390" s="22"/>
      <c r="OZZ390" s="22"/>
      <c r="PAA390" s="22"/>
      <c r="PAB390" s="22"/>
      <c r="PAC390" s="22"/>
      <c r="PAD390" s="22"/>
      <c r="PAE390" s="22"/>
      <c r="PAF390" s="22"/>
      <c r="PAG390" s="22"/>
      <c r="PAH390" s="22"/>
      <c r="PAI390" s="22"/>
      <c r="PAJ390" s="22"/>
      <c r="PAK390" s="22"/>
      <c r="PAL390" s="22"/>
      <c r="PAM390" s="22"/>
      <c r="PAN390" s="22"/>
      <c r="PAO390" s="22"/>
      <c r="PAP390" s="22"/>
      <c r="PAQ390" s="22"/>
      <c r="PAR390" s="22"/>
      <c r="PAS390" s="22"/>
      <c r="PAT390" s="22"/>
      <c r="PAU390" s="22"/>
      <c r="PAV390" s="22"/>
      <c r="PAW390" s="22"/>
      <c r="PAX390" s="22"/>
      <c r="PAY390" s="22"/>
      <c r="PAZ390" s="22"/>
      <c r="PBA390" s="22"/>
      <c r="PBB390" s="22"/>
      <c r="PBC390" s="22"/>
      <c r="PBD390" s="22"/>
      <c r="PBE390" s="22"/>
      <c r="PBF390" s="22"/>
      <c r="PBG390" s="22"/>
      <c r="PBH390" s="22"/>
      <c r="PBI390" s="22"/>
      <c r="PBJ390" s="22"/>
      <c r="PBK390" s="22"/>
      <c r="PBL390" s="22"/>
      <c r="PBM390" s="22"/>
      <c r="PBN390" s="22"/>
      <c r="PBO390" s="22"/>
      <c r="PBP390" s="22"/>
      <c r="PBQ390" s="22"/>
      <c r="PBR390" s="22"/>
      <c r="PBS390" s="22"/>
      <c r="PBT390" s="22"/>
      <c r="PBU390" s="22"/>
      <c r="PBV390" s="22"/>
      <c r="PBW390" s="22"/>
      <c r="PBX390" s="22"/>
      <c r="PBY390" s="22"/>
      <c r="PBZ390" s="22"/>
      <c r="PCA390" s="22"/>
      <c r="PCB390" s="22"/>
      <c r="PCC390" s="22"/>
      <c r="PCD390" s="22"/>
      <c r="PCE390" s="22"/>
      <c r="PCF390" s="22"/>
      <c r="PCG390" s="22"/>
      <c r="PCH390" s="22"/>
      <c r="PCI390" s="22"/>
      <c r="PCJ390" s="22"/>
      <c r="PCK390" s="22"/>
      <c r="PCL390" s="22"/>
      <c r="PCM390" s="22"/>
      <c r="PCN390" s="22"/>
      <c r="PCO390" s="22"/>
      <c r="PCP390" s="22"/>
      <c r="PCQ390" s="22"/>
      <c r="PCR390" s="22"/>
      <c r="PCS390" s="22"/>
      <c r="PCT390" s="22"/>
      <c r="PCU390" s="22"/>
      <c r="PCV390" s="22"/>
      <c r="PCW390" s="22"/>
      <c r="PCX390" s="22"/>
      <c r="PCY390" s="22"/>
      <c r="PCZ390" s="22"/>
      <c r="PDA390" s="22"/>
      <c r="PDB390" s="22"/>
      <c r="PDC390" s="22"/>
      <c r="PDD390" s="22"/>
      <c r="PDE390" s="22"/>
      <c r="PDF390" s="22"/>
      <c r="PDG390" s="22"/>
      <c r="PDH390" s="22"/>
      <c r="PDI390" s="22"/>
      <c r="PDJ390" s="22"/>
      <c r="PDK390" s="22"/>
      <c r="PDL390" s="22"/>
      <c r="PDM390" s="22"/>
      <c r="PDN390" s="22"/>
      <c r="PDO390" s="22"/>
      <c r="PDP390" s="22"/>
      <c r="PDQ390" s="22"/>
      <c r="PDR390" s="22"/>
      <c r="PDS390" s="22"/>
      <c r="PDT390" s="22"/>
      <c r="PDU390" s="22"/>
      <c r="PDV390" s="22"/>
      <c r="PDW390" s="22"/>
      <c r="PDX390" s="22"/>
      <c r="PDY390" s="22"/>
      <c r="PDZ390" s="22"/>
      <c r="PEA390" s="22"/>
      <c r="PEB390" s="22"/>
      <c r="PEC390" s="22"/>
      <c r="PED390" s="22"/>
      <c r="PEE390" s="22"/>
      <c r="PEF390" s="22"/>
      <c r="PEG390" s="22"/>
      <c r="PEH390" s="22"/>
      <c r="PEI390" s="22"/>
      <c r="PEJ390" s="22"/>
      <c r="PEK390" s="22"/>
      <c r="PEL390" s="22"/>
      <c r="PEM390" s="22"/>
      <c r="PEN390" s="22"/>
      <c r="PEO390" s="22"/>
      <c r="PEP390" s="22"/>
      <c r="PEQ390" s="22"/>
      <c r="PER390" s="22"/>
      <c r="PES390" s="22"/>
      <c r="PET390" s="22"/>
      <c r="PEU390" s="22"/>
      <c r="PEV390" s="22"/>
      <c r="PEW390" s="22"/>
      <c r="PEX390" s="22"/>
      <c r="PEY390" s="22"/>
      <c r="PEZ390" s="22"/>
      <c r="PFA390" s="22"/>
      <c r="PFB390" s="22"/>
      <c r="PFC390" s="22"/>
      <c r="PFD390" s="22"/>
      <c r="PFE390" s="22"/>
      <c r="PFF390" s="22"/>
      <c r="PFG390" s="22"/>
      <c r="PFH390" s="22"/>
      <c r="PFI390" s="22"/>
      <c r="PFJ390" s="22"/>
      <c r="PFK390" s="22"/>
      <c r="PFL390" s="22"/>
      <c r="PFM390" s="22"/>
      <c r="PFN390" s="22"/>
      <c r="PFO390" s="22"/>
      <c r="PFP390" s="22"/>
      <c r="PFQ390" s="22"/>
      <c r="PFR390" s="22"/>
      <c r="PFS390" s="22"/>
      <c r="PFT390" s="22"/>
      <c r="PFU390" s="22"/>
      <c r="PFV390" s="22"/>
      <c r="PFW390" s="22"/>
      <c r="PFX390" s="22"/>
      <c r="PFY390" s="22"/>
      <c r="PFZ390" s="22"/>
      <c r="PGA390" s="22"/>
      <c r="PGB390" s="22"/>
      <c r="PGC390" s="22"/>
      <c r="PGD390" s="22"/>
      <c r="PGE390" s="22"/>
      <c r="PGF390" s="22"/>
      <c r="PGG390" s="22"/>
      <c r="PGH390" s="22"/>
      <c r="PGI390" s="22"/>
      <c r="PGJ390" s="22"/>
      <c r="PGK390" s="22"/>
      <c r="PGL390" s="22"/>
      <c r="PGM390" s="22"/>
      <c r="PGN390" s="22"/>
      <c r="PGO390" s="22"/>
      <c r="PGP390" s="22"/>
      <c r="PGQ390" s="22"/>
      <c r="PGR390" s="22"/>
      <c r="PGS390" s="22"/>
      <c r="PGT390" s="22"/>
      <c r="PGU390" s="22"/>
      <c r="PGV390" s="22"/>
      <c r="PGW390" s="22"/>
      <c r="PGX390" s="22"/>
      <c r="PGY390" s="22"/>
      <c r="PGZ390" s="22"/>
      <c r="PHA390" s="22"/>
      <c r="PHB390" s="22"/>
      <c r="PHC390" s="22"/>
      <c r="PHD390" s="22"/>
      <c r="PHE390" s="22"/>
      <c r="PHF390" s="22"/>
      <c r="PHG390" s="22"/>
      <c r="PHH390" s="22"/>
      <c r="PHI390" s="22"/>
      <c r="PHJ390" s="22"/>
      <c r="PHK390" s="22"/>
      <c r="PHL390" s="22"/>
      <c r="PHM390" s="22"/>
      <c r="PHN390" s="22"/>
      <c r="PHO390" s="22"/>
      <c r="PHP390" s="22"/>
      <c r="PHQ390" s="22"/>
      <c r="PHR390" s="22"/>
      <c r="PHS390" s="22"/>
      <c r="PHT390" s="22"/>
      <c r="PHU390" s="22"/>
      <c r="PHV390" s="22"/>
      <c r="PHW390" s="22"/>
      <c r="PHX390" s="22"/>
      <c r="PHY390" s="22"/>
      <c r="PHZ390" s="22"/>
      <c r="PIA390" s="22"/>
      <c r="PIB390" s="22"/>
      <c r="PIC390" s="22"/>
      <c r="PID390" s="22"/>
      <c r="PIE390" s="22"/>
      <c r="PIF390" s="22"/>
      <c r="PIG390" s="22"/>
      <c r="PIH390" s="22"/>
      <c r="PII390" s="22"/>
      <c r="PIJ390" s="22"/>
      <c r="PIK390" s="22"/>
      <c r="PIL390" s="22"/>
      <c r="PIM390" s="22"/>
      <c r="PIN390" s="22"/>
      <c r="PIO390" s="22"/>
      <c r="PIP390" s="22"/>
      <c r="PIQ390" s="22"/>
      <c r="PIR390" s="22"/>
      <c r="PIS390" s="22"/>
      <c r="PIT390" s="22"/>
      <c r="PIU390" s="22"/>
      <c r="PIV390" s="22"/>
      <c r="PIW390" s="22"/>
      <c r="PIX390" s="22"/>
      <c r="PIY390" s="22"/>
      <c r="PIZ390" s="22"/>
      <c r="PJA390" s="22"/>
      <c r="PJB390" s="22"/>
      <c r="PJC390" s="22"/>
      <c r="PJD390" s="22"/>
      <c r="PJE390" s="22"/>
      <c r="PJF390" s="22"/>
      <c r="PJG390" s="22"/>
      <c r="PJH390" s="22"/>
      <c r="PJI390" s="22"/>
      <c r="PJJ390" s="22"/>
      <c r="PJK390" s="22"/>
      <c r="PJL390" s="22"/>
      <c r="PJM390" s="22"/>
      <c r="PJN390" s="22"/>
      <c r="PJO390" s="22"/>
      <c r="PJP390" s="22"/>
      <c r="PJQ390" s="22"/>
      <c r="PJR390" s="22"/>
      <c r="PJS390" s="22"/>
      <c r="PJT390" s="22"/>
      <c r="PJU390" s="22"/>
      <c r="PJV390" s="22"/>
      <c r="PJW390" s="22"/>
      <c r="PJX390" s="22"/>
      <c r="PJY390" s="22"/>
      <c r="PJZ390" s="22"/>
      <c r="PKA390" s="22"/>
      <c r="PKB390" s="22"/>
      <c r="PKC390" s="22"/>
      <c r="PKD390" s="22"/>
      <c r="PKE390" s="22"/>
      <c r="PKF390" s="22"/>
      <c r="PKG390" s="22"/>
      <c r="PKH390" s="22"/>
      <c r="PKI390" s="22"/>
      <c r="PKJ390" s="22"/>
      <c r="PKK390" s="22"/>
      <c r="PKL390" s="22"/>
      <c r="PKM390" s="22"/>
      <c r="PKN390" s="22"/>
      <c r="PKO390" s="22"/>
      <c r="PKP390" s="22"/>
      <c r="PKQ390" s="22"/>
      <c r="PKR390" s="22"/>
      <c r="PKS390" s="22"/>
      <c r="PKT390" s="22"/>
      <c r="PKU390" s="22"/>
      <c r="PKV390" s="22"/>
      <c r="PKW390" s="22"/>
      <c r="PKX390" s="22"/>
      <c r="PKY390" s="22"/>
      <c r="PKZ390" s="22"/>
      <c r="PLA390" s="22"/>
      <c r="PLB390" s="22"/>
      <c r="PLC390" s="22"/>
      <c r="PLD390" s="22"/>
      <c r="PLE390" s="22"/>
      <c r="PLF390" s="22"/>
      <c r="PLG390" s="22"/>
      <c r="PLH390" s="22"/>
      <c r="PLI390" s="22"/>
      <c r="PLJ390" s="22"/>
      <c r="PLK390" s="22"/>
      <c r="PLL390" s="22"/>
      <c r="PLM390" s="22"/>
      <c r="PLN390" s="22"/>
      <c r="PLO390" s="22"/>
      <c r="PLP390" s="22"/>
      <c r="PLQ390" s="22"/>
      <c r="PLR390" s="22"/>
      <c r="PLS390" s="22"/>
      <c r="PLT390" s="22"/>
      <c r="PLU390" s="22"/>
      <c r="PLV390" s="22"/>
      <c r="PLW390" s="22"/>
      <c r="PLX390" s="22"/>
      <c r="PLY390" s="22"/>
      <c r="PLZ390" s="22"/>
      <c r="PMA390" s="22"/>
      <c r="PMB390" s="22"/>
      <c r="PMC390" s="22"/>
      <c r="PMD390" s="22"/>
      <c r="PME390" s="22"/>
      <c r="PMF390" s="22"/>
      <c r="PMG390" s="22"/>
      <c r="PMH390" s="22"/>
      <c r="PMI390" s="22"/>
      <c r="PMJ390" s="22"/>
      <c r="PMK390" s="22"/>
      <c r="PML390" s="22"/>
      <c r="PMM390" s="22"/>
      <c r="PMN390" s="22"/>
      <c r="PMO390" s="22"/>
      <c r="PMP390" s="22"/>
      <c r="PMQ390" s="22"/>
      <c r="PMR390" s="22"/>
      <c r="PMS390" s="22"/>
      <c r="PMT390" s="22"/>
      <c r="PMU390" s="22"/>
      <c r="PMV390" s="22"/>
      <c r="PMW390" s="22"/>
      <c r="PMX390" s="22"/>
      <c r="PMY390" s="22"/>
      <c r="PMZ390" s="22"/>
      <c r="PNA390" s="22"/>
      <c r="PNB390" s="22"/>
      <c r="PNC390" s="22"/>
      <c r="PND390" s="22"/>
      <c r="PNE390" s="22"/>
      <c r="PNF390" s="22"/>
      <c r="PNG390" s="22"/>
      <c r="PNH390" s="22"/>
      <c r="PNI390" s="22"/>
      <c r="PNJ390" s="22"/>
      <c r="PNK390" s="22"/>
      <c r="PNL390" s="22"/>
      <c r="PNM390" s="22"/>
      <c r="PNN390" s="22"/>
      <c r="PNO390" s="22"/>
      <c r="PNP390" s="22"/>
      <c r="PNQ390" s="22"/>
      <c r="PNR390" s="22"/>
      <c r="PNS390" s="22"/>
      <c r="PNT390" s="22"/>
      <c r="PNU390" s="22"/>
      <c r="PNV390" s="22"/>
      <c r="PNW390" s="22"/>
      <c r="PNX390" s="22"/>
      <c r="PNY390" s="22"/>
      <c r="PNZ390" s="22"/>
      <c r="POA390" s="22"/>
      <c r="POB390" s="22"/>
      <c r="POC390" s="22"/>
      <c r="POD390" s="22"/>
      <c r="POE390" s="22"/>
      <c r="POF390" s="22"/>
      <c r="POG390" s="22"/>
      <c r="POH390" s="22"/>
      <c r="POI390" s="22"/>
      <c r="POJ390" s="22"/>
      <c r="POK390" s="22"/>
      <c r="POL390" s="22"/>
      <c r="POM390" s="22"/>
      <c r="PON390" s="22"/>
      <c r="POO390" s="22"/>
      <c r="POP390" s="22"/>
      <c r="POQ390" s="22"/>
      <c r="POR390" s="22"/>
      <c r="POS390" s="22"/>
      <c r="POT390" s="22"/>
      <c r="POU390" s="22"/>
      <c r="POV390" s="22"/>
      <c r="POW390" s="22"/>
      <c r="POX390" s="22"/>
      <c r="POY390" s="22"/>
      <c r="POZ390" s="22"/>
      <c r="PPA390" s="22"/>
      <c r="PPB390" s="22"/>
      <c r="PPC390" s="22"/>
      <c r="PPD390" s="22"/>
      <c r="PPE390" s="22"/>
      <c r="PPF390" s="22"/>
      <c r="PPG390" s="22"/>
      <c r="PPH390" s="22"/>
      <c r="PPI390" s="22"/>
      <c r="PPJ390" s="22"/>
      <c r="PPK390" s="22"/>
      <c r="PPL390" s="22"/>
      <c r="PPM390" s="22"/>
      <c r="PPN390" s="22"/>
      <c r="PPO390" s="22"/>
      <c r="PPP390" s="22"/>
      <c r="PPQ390" s="22"/>
      <c r="PPR390" s="22"/>
      <c r="PPS390" s="22"/>
      <c r="PPT390" s="22"/>
      <c r="PPU390" s="22"/>
      <c r="PPV390" s="22"/>
      <c r="PPW390" s="22"/>
      <c r="PPX390" s="22"/>
      <c r="PPY390" s="22"/>
      <c r="PPZ390" s="22"/>
      <c r="PQA390" s="22"/>
      <c r="PQB390" s="22"/>
      <c r="PQC390" s="22"/>
      <c r="PQD390" s="22"/>
      <c r="PQE390" s="22"/>
      <c r="PQF390" s="22"/>
      <c r="PQG390" s="22"/>
      <c r="PQH390" s="22"/>
      <c r="PQI390" s="22"/>
      <c r="PQJ390" s="22"/>
      <c r="PQK390" s="22"/>
      <c r="PQL390" s="22"/>
      <c r="PQM390" s="22"/>
      <c r="PQN390" s="22"/>
      <c r="PQO390" s="22"/>
      <c r="PQP390" s="22"/>
      <c r="PQQ390" s="22"/>
      <c r="PQR390" s="22"/>
      <c r="PQS390" s="22"/>
      <c r="PQT390" s="22"/>
      <c r="PQU390" s="22"/>
      <c r="PQV390" s="22"/>
      <c r="PQW390" s="22"/>
      <c r="PQX390" s="22"/>
      <c r="PQY390" s="22"/>
      <c r="PQZ390" s="22"/>
      <c r="PRA390" s="22"/>
      <c r="PRB390" s="22"/>
      <c r="PRC390" s="22"/>
      <c r="PRD390" s="22"/>
      <c r="PRE390" s="22"/>
      <c r="PRF390" s="22"/>
      <c r="PRG390" s="22"/>
      <c r="PRH390" s="22"/>
      <c r="PRI390" s="22"/>
      <c r="PRJ390" s="22"/>
      <c r="PRK390" s="22"/>
      <c r="PRL390" s="22"/>
      <c r="PRM390" s="22"/>
      <c r="PRN390" s="22"/>
      <c r="PRO390" s="22"/>
      <c r="PRP390" s="22"/>
      <c r="PRQ390" s="22"/>
      <c r="PRR390" s="22"/>
      <c r="PRS390" s="22"/>
      <c r="PRT390" s="22"/>
      <c r="PRU390" s="22"/>
      <c r="PRV390" s="22"/>
      <c r="PRW390" s="22"/>
      <c r="PRX390" s="22"/>
      <c r="PRY390" s="22"/>
      <c r="PRZ390" s="22"/>
      <c r="PSA390" s="22"/>
      <c r="PSB390" s="22"/>
      <c r="PSC390" s="22"/>
      <c r="PSD390" s="22"/>
      <c r="PSE390" s="22"/>
      <c r="PSF390" s="22"/>
      <c r="PSG390" s="22"/>
      <c r="PSH390" s="22"/>
      <c r="PSI390" s="22"/>
      <c r="PSJ390" s="22"/>
      <c r="PSK390" s="22"/>
      <c r="PSL390" s="22"/>
      <c r="PSM390" s="22"/>
      <c r="PSN390" s="22"/>
      <c r="PSO390" s="22"/>
      <c r="PSP390" s="22"/>
      <c r="PSQ390" s="22"/>
      <c r="PSR390" s="22"/>
      <c r="PSS390" s="22"/>
      <c r="PST390" s="22"/>
      <c r="PSU390" s="22"/>
      <c r="PSV390" s="22"/>
      <c r="PSW390" s="22"/>
      <c r="PSX390" s="22"/>
      <c r="PSY390" s="22"/>
      <c r="PSZ390" s="22"/>
      <c r="PTA390" s="22"/>
      <c r="PTB390" s="22"/>
      <c r="PTC390" s="22"/>
      <c r="PTD390" s="22"/>
      <c r="PTE390" s="22"/>
      <c r="PTF390" s="22"/>
      <c r="PTG390" s="22"/>
      <c r="PTH390" s="22"/>
      <c r="PTI390" s="22"/>
      <c r="PTJ390" s="22"/>
      <c r="PTK390" s="22"/>
      <c r="PTL390" s="22"/>
      <c r="PTM390" s="22"/>
      <c r="PTN390" s="22"/>
      <c r="PTO390" s="22"/>
      <c r="PTP390" s="22"/>
      <c r="PTQ390" s="22"/>
      <c r="PTR390" s="22"/>
      <c r="PTS390" s="22"/>
      <c r="PTT390" s="22"/>
      <c r="PTU390" s="22"/>
      <c r="PTV390" s="22"/>
      <c r="PTW390" s="22"/>
      <c r="PTX390" s="22"/>
      <c r="PTY390" s="22"/>
      <c r="PTZ390" s="22"/>
      <c r="PUA390" s="22"/>
      <c r="PUB390" s="22"/>
      <c r="PUC390" s="22"/>
      <c r="PUD390" s="22"/>
      <c r="PUE390" s="22"/>
      <c r="PUF390" s="22"/>
      <c r="PUG390" s="22"/>
      <c r="PUH390" s="22"/>
      <c r="PUI390" s="22"/>
      <c r="PUJ390" s="22"/>
      <c r="PUK390" s="22"/>
      <c r="PUL390" s="22"/>
      <c r="PUM390" s="22"/>
      <c r="PUN390" s="22"/>
      <c r="PUO390" s="22"/>
      <c r="PUP390" s="22"/>
      <c r="PUQ390" s="22"/>
      <c r="PUR390" s="22"/>
      <c r="PUS390" s="22"/>
      <c r="PUT390" s="22"/>
      <c r="PUU390" s="22"/>
      <c r="PUV390" s="22"/>
      <c r="PUW390" s="22"/>
      <c r="PUX390" s="22"/>
      <c r="PUY390" s="22"/>
      <c r="PUZ390" s="22"/>
      <c r="PVA390" s="22"/>
      <c r="PVB390" s="22"/>
      <c r="PVC390" s="22"/>
      <c r="PVD390" s="22"/>
      <c r="PVE390" s="22"/>
      <c r="PVF390" s="22"/>
      <c r="PVG390" s="22"/>
      <c r="PVH390" s="22"/>
      <c r="PVI390" s="22"/>
      <c r="PVJ390" s="22"/>
      <c r="PVK390" s="22"/>
      <c r="PVL390" s="22"/>
      <c r="PVM390" s="22"/>
      <c r="PVN390" s="22"/>
      <c r="PVO390" s="22"/>
      <c r="PVP390" s="22"/>
      <c r="PVQ390" s="22"/>
      <c r="PVR390" s="22"/>
      <c r="PVS390" s="22"/>
      <c r="PVT390" s="22"/>
      <c r="PVU390" s="22"/>
      <c r="PVV390" s="22"/>
      <c r="PVW390" s="22"/>
      <c r="PVX390" s="22"/>
      <c r="PVY390" s="22"/>
      <c r="PVZ390" s="22"/>
      <c r="PWA390" s="22"/>
      <c r="PWB390" s="22"/>
      <c r="PWC390" s="22"/>
      <c r="PWD390" s="22"/>
      <c r="PWE390" s="22"/>
      <c r="PWF390" s="22"/>
      <c r="PWG390" s="22"/>
      <c r="PWH390" s="22"/>
      <c r="PWI390" s="22"/>
      <c r="PWJ390" s="22"/>
      <c r="PWK390" s="22"/>
      <c r="PWL390" s="22"/>
      <c r="PWM390" s="22"/>
      <c r="PWN390" s="22"/>
      <c r="PWO390" s="22"/>
      <c r="PWP390" s="22"/>
      <c r="PWQ390" s="22"/>
      <c r="PWR390" s="22"/>
      <c r="PWS390" s="22"/>
      <c r="PWT390" s="22"/>
      <c r="PWU390" s="22"/>
      <c r="PWV390" s="22"/>
      <c r="PWW390" s="22"/>
      <c r="PWX390" s="22"/>
      <c r="PWY390" s="22"/>
      <c r="PWZ390" s="22"/>
      <c r="PXA390" s="22"/>
      <c r="PXB390" s="22"/>
      <c r="PXC390" s="22"/>
      <c r="PXD390" s="22"/>
      <c r="PXE390" s="22"/>
      <c r="PXF390" s="22"/>
      <c r="PXG390" s="22"/>
      <c r="PXH390" s="22"/>
      <c r="PXI390" s="22"/>
      <c r="PXJ390" s="22"/>
      <c r="PXK390" s="22"/>
      <c r="PXL390" s="22"/>
      <c r="PXM390" s="22"/>
      <c r="PXN390" s="22"/>
      <c r="PXO390" s="22"/>
      <c r="PXP390" s="22"/>
      <c r="PXQ390" s="22"/>
      <c r="PXR390" s="22"/>
      <c r="PXS390" s="22"/>
      <c r="PXT390" s="22"/>
      <c r="PXU390" s="22"/>
      <c r="PXV390" s="22"/>
      <c r="PXW390" s="22"/>
      <c r="PXX390" s="22"/>
      <c r="PXY390" s="22"/>
      <c r="PXZ390" s="22"/>
      <c r="PYA390" s="22"/>
      <c r="PYB390" s="22"/>
      <c r="PYC390" s="22"/>
      <c r="PYD390" s="22"/>
      <c r="PYE390" s="22"/>
      <c r="PYF390" s="22"/>
      <c r="PYG390" s="22"/>
      <c r="PYH390" s="22"/>
      <c r="PYI390" s="22"/>
      <c r="PYJ390" s="22"/>
      <c r="PYK390" s="22"/>
      <c r="PYL390" s="22"/>
      <c r="PYM390" s="22"/>
      <c r="PYN390" s="22"/>
      <c r="PYO390" s="22"/>
      <c r="PYP390" s="22"/>
      <c r="PYQ390" s="22"/>
      <c r="PYR390" s="22"/>
      <c r="PYS390" s="22"/>
      <c r="PYT390" s="22"/>
      <c r="PYU390" s="22"/>
      <c r="PYV390" s="22"/>
      <c r="PYW390" s="22"/>
      <c r="PYX390" s="22"/>
      <c r="PYY390" s="22"/>
      <c r="PYZ390" s="22"/>
      <c r="PZA390" s="22"/>
      <c r="PZB390" s="22"/>
      <c r="PZC390" s="22"/>
      <c r="PZD390" s="22"/>
      <c r="PZE390" s="22"/>
      <c r="PZF390" s="22"/>
      <c r="PZG390" s="22"/>
      <c r="PZH390" s="22"/>
      <c r="PZI390" s="22"/>
      <c r="PZJ390" s="22"/>
      <c r="PZK390" s="22"/>
      <c r="PZL390" s="22"/>
      <c r="PZM390" s="22"/>
      <c r="PZN390" s="22"/>
      <c r="PZO390" s="22"/>
      <c r="PZP390" s="22"/>
      <c r="PZQ390" s="22"/>
      <c r="PZR390" s="22"/>
      <c r="PZS390" s="22"/>
      <c r="PZT390" s="22"/>
      <c r="PZU390" s="22"/>
      <c r="PZV390" s="22"/>
      <c r="PZW390" s="22"/>
      <c r="PZX390" s="22"/>
      <c r="PZY390" s="22"/>
      <c r="PZZ390" s="22"/>
      <c r="QAA390" s="22"/>
      <c r="QAB390" s="22"/>
      <c r="QAC390" s="22"/>
      <c r="QAD390" s="22"/>
      <c r="QAE390" s="22"/>
      <c r="QAF390" s="22"/>
      <c r="QAG390" s="22"/>
      <c r="QAH390" s="22"/>
      <c r="QAI390" s="22"/>
      <c r="QAJ390" s="22"/>
      <c r="QAK390" s="22"/>
      <c r="QAL390" s="22"/>
      <c r="QAM390" s="22"/>
      <c r="QAN390" s="22"/>
      <c r="QAO390" s="22"/>
      <c r="QAP390" s="22"/>
      <c r="QAQ390" s="22"/>
      <c r="QAR390" s="22"/>
      <c r="QAS390" s="22"/>
      <c r="QAT390" s="22"/>
      <c r="QAU390" s="22"/>
      <c r="QAV390" s="22"/>
      <c r="QAW390" s="22"/>
      <c r="QAX390" s="22"/>
      <c r="QAY390" s="22"/>
      <c r="QAZ390" s="22"/>
      <c r="QBA390" s="22"/>
      <c r="QBB390" s="22"/>
      <c r="QBC390" s="22"/>
      <c r="QBD390" s="22"/>
      <c r="QBE390" s="22"/>
      <c r="QBF390" s="22"/>
      <c r="QBG390" s="22"/>
      <c r="QBH390" s="22"/>
      <c r="QBI390" s="22"/>
      <c r="QBJ390" s="22"/>
      <c r="QBK390" s="22"/>
      <c r="QBL390" s="22"/>
      <c r="QBM390" s="22"/>
      <c r="QBN390" s="22"/>
      <c r="QBO390" s="22"/>
      <c r="QBP390" s="22"/>
      <c r="QBQ390" s="22"/>
      <c r="QBR390" s="22"/>
      <c r="QBS390" s="22"/>
      <c r="QBT390" s="22"/>
      <c r="QBU390" s="22"/>
      <c r="QBV390" s="22"/>
      <c r="QBW390" s="22"/>
      <c r="QBX390" s="22"/>
      <c r="QBY390" s="22"/>
      <c r="QBZ390" s="22"/>
      <c r="QCA390" s="22"/>
      <c r="QCB390" s="22"/>
      <c r="QCC390" s="22"/>
      <c r="QCD390" s="22"/>
      <c r="QCE390" s="22"/>
      <c r="QCF390" s="22"/>
      <c r="QCG390" s="22"/>
      <c r="QCH390" s="22"/>
      <c r="QCI390" s="22"/>
      <c r="QCJ390" s="22"/>
      <c r="QCK390" s="22"/>
      <c r="QCL390" s="22"/>
      <c r="QCM390" s="22"/>
      <c r="QCN390" s="22"/>
      <c r="QCO390" s="22"/>
      <c r="QCP390" s="22"/>
      <c r="QCQ390" s="22"/>
      <c r="QCR390" s="22"/>
      <c r="QCS390" s="22"/>
      <c r="QCT390" s="22"/>
      <c r="QCU390" s="22"/>
      <c r="QCV390" s="22"/>
      <c r="QCW390" s="22"/>
      <c r="QCX390" s="22"/>
      <c r="QCY390" s="22"/>
      <c r="QCZ390" s="22"/>
      <c r="QDA390" s="22"/>
      <c r="QDB390" s="22"/>
      <c r="QDC390" s="22"/>
      <c r="QDD390" s="22"/>
      <c r="QDE390" s="22"/>
      <c r="QDF390" s="22"/>
      <c r="QDG390" s="22"/>
      <c r="QDH390" s="22"/>
      <c r="QDI390" s="22"/>
      <c r="QDJ390" s="22"/>
      <c r="QDK390" s="22"/>
      <c r="QDL390" s="22"/>
      <c r="QDM390" s="22"/>
      <c r="QDN390" s="22"/>
      <c r="QDO390" s="22"/>
      <c r="QDP390" s="22"/>
      <c r="QDQ390" s="22"/>
      <c r="QDR390" s="22"/>
      <c r="QDS390" s="22"/>
      <c r="QDT390" s="22"/>
      <c r="QDU390" s="22"/>
      <c r="QDV390" s="22"/>
      <c r="QDW390" s="22"/>
      <c r="QDX390" s="22"/>
      <c r="QDY390" s="22"/>
      <c r="QDZ390" s="22"/>
      <c r="QEA390" s="22"/>
      <c r="QEB390" s="22"/>
      <c r="QEC390" s="22"/>
      <c r="QED390" s="22"/>
      <c r="QEE390" s="22"/>
      <c r="QEF390" s="22"/>
      <c r="QEG390" s="22"/>
      <c r="QEH390" s="22"/>
      <c r="QEI390" s="22"/>
      <c r="QEJ390" s="22"/>
      <c r="QEK390" s="22"/>
      <c r="QEL390" s="22"/>
      <c r="QEM390" s="22"/>
      <c r="QEN390" s="22"/>
      <c r="QEO390" s="22"/>
      <c r="QEP390" s="22"/>
      <c r="QEQ390" s="22"/>
      <c r="QER390" s="22"/>
      <c r="QES390" s="22"/>
      <c r="QET390" s="22"/>
      <c r="QEU390" s="22"/>
      <c r="QEV390" s="22"/>
      <c r="QEW390" s="22"/>
      <c r="QEX390" s="22"/>
      <c r="QEY390" s="22"/>
      <c r="QEZ390" s="22"/>
      <c r="QFA390" s="22"/>
      <c r="QFB390" s="22"/>
      <c r="QFC390" s="22"/>
      <c r="QFD390" s="22"/>
      <c r="QFE390" s="22"/>
      <c r="QFF390" s="22"/>
      <c r="QFG390" s="22"/>
      <c r="QFH390" s="22"/>
      <c r="QFI390" s="22"/>
      <c r="QFJ390" s="22"/>
      <c r="QFK390" s="22"/>
      <c r="QFL390" s="22"/>
      <c r="QFM390" s="22"/>
      <c r="QFN390" s="22"/>
      <c r="QFO390" s="22"/>
      <c r="QFP390" s="22"/>
      <c r="QFQ390" s="22"/>
      <c r="QFR390" s="22"/>
      <c r="QFS390" s="22"/>
      <c r="QFT390" s="22"/>
      <c r="QFU390" s="22"/>
      <c r="QFV390" s="22"/>
      <c r="QFW390" s="22"/>
      <c r="QFX390" s="22"/>
      <c r="QFY390" s="22"/>
      <c r="QFZ390" s="22"/>
      <c r="QGA390" s="22"/>
      <c r="QGB390" s="22"/>
      <c r="QGC390" s="22"/>
      <c r="QGD390" s="22"/>
      <c r="QGE390" s="22"/>
      <c r="QGF390" s="22"/>
      <c r="QGG390" s="22"/>
      <c r="QGH390" s="22"/>
      <c r="QGI390" s="22"/>
      <c r="QGJ390" s="22"/>
      <c r="QGK390" s="22"/>
      <c r="QGL390" s="22"/>
      <c r="QGM390" s="22"/>
      <c r="QGN390" s="22"/>
      <c r="QGO390" s="22"/>
      <c r="QGP390" s="22"/>
      <c r="QGQ390" s="22"/>
      <c r="QGR390" s="22"/>
      <c r="QGS390" s="22"/>
      <c r="QGT390" s="22"/>
      <c r="QGU390" s="22"/>
      <c r="QGV390" s="22"/>
      <c r="QGW390" s="22"/>
      <c r="QGX390" s="22"/>
      <c r="QGY390" s="22"/>
      <c r="QGZ390" s="22"/>
      <c r="QHA390" s="22"/>
      <c r="QHB390" s="22"/>
      <c r="QHC390" s="22"/>
      <c r="QHD390" s="22"/>
      <c r="QHE390" s="22"/>
      <c r="QHF390" s="22"/>
      <c r="QHG390" s="22"/>
      <c r="QHH390" s="22"/>
      <c r="QHI390" s="22"/>
      <c r="QHJ390" s="22"/>
      <c r="QHK390" s="22"/>
      <c r="QHL390" s="22"/>
      <c r="QHM390" s="22"/>
      <c r="QHN390" s="22"/>
      <c r="QHO390" s="22"/>
      <c r="QHP390" s="22"/>
      <c r="QHQ390" s="22"/>
      <c r="QHR390" s="22"/>
      <c r="QHS390" s="22"/>
      <c r="QHT390" s="22"/>
      <c r="QHU390" s="22"/>
      <c r="QHV390" s="22"/>
      <c r="QHW390" s="22"/>
      <c r="QHX390" s="22"/>
      <c r="QHY390" s="22"/>
      <c r="QHZ390" s="22"/>
      <c r="QIA390" s="22"/>
      <c r="QIB390" s="22"/>
      <c r="QIC390" s="22"/>
      <c r="QID390" s="22"/>
      <c r="QIE390" s="22"/>
      <c r="QIF390" s="22"/>
      <c r="QIG390" s="22"/>
      <c r="QIH390" s="22"/>
      <c r="QII390" s="22"/>
      <c r="QIJ390" s="22"/>
      <c r="QIK390" s="22"/>
      <c r="QIL390" s="22"/>
      <c r="QIM390" s="22"/>
      <c r="QIN390" s="22"/>
      <c r="QIO390" s="22"/>
      <c r="QIP390" s="22"/>
      <c r="QIQ390" s="22"/>
      <c r="QIR390" s="22"/>
      <c r="QIS390" s="22"/>
      <c r="QIT390" s="22"/>
      <c r="QIU390" s="22"/>
      <c r="QIV390" s="22"/>
      <c r="QIW390" s="22"/>
      <c r="QIX390" s="22"/>
      <c r="QIY390" s="22"/>
      <c r="QIZ390" s="22"/>
      <c r="QJA390" s="22"/>
      <c r="QJB390" s="22"/>
      <c r="QJC390" s="22"/>
      <c r="QJD390" s="22"/>
      <c r="QJE390" s="22"/>
      <c r="QJF390" s="22"/>
      <c r="QJG390" s="22"/>
      <c r="QJH390" s="22"/>
      <c r="QJI390" s="22"/>
      <c r="QJJ390" s="22"/>
      <c r="QJK390" s="22"/>
      <c r="QJL390" s="22"/>
      <c r="QJM390" s="22"/>
      <c r="QJN390" s="22"/>
      <c r="QJO390" s="22"/>
      <c r="QJP390" s="22"/>
      <c r="QJQ390" s="22"/>
      <c r="QJR390" s="22"/>
      <c r="QJS390" s="22"/>
      <c r="QJT390" s="22"/>
      <c r="QJU390" s="22"/>
      <c r="QJV390" s="22"/>
      <c r="QJW390" s="22"/>
      <c r="QJX390" s="22"/>
      <c r="QJY390" s="22"/>
      <c r="QJZ390" s="22"/>
      <c r="QKA390" s="22"/>
      <c r="QKB390" s="22"/>
      <c r="QKC390" s="22"/>
      <c r="QKD390" s="22"/>
      <c r="QKE390" s="22"/>
      <c r="QKF390" s="22"/>
      <c r="QKG390" s="22"/>
      <c r="QKH390" s="22"/>
      <c r="QKI390" s="22"/>
      <c r="QKJ390" s="22"/>
      <c r="QKK390" s="22"/>
      <c r="QKL390" s="22"/>
      <c r="QKM390" s="22"/>
      <c r="QKN390" s="22"/>
      <c r="QKO390" s="22"/>
      <c r="QKP390" s="22"/>
      <c r="QKQ390" s="22"/>
      <c r="QKR390" s="22"/>
      <c r="QKS390" s="22"/>
      <c r="QKT390" s="22"/>
      <c r="QKU390" s="22"/>
      <c r="QKV390" s="22"/>
      <c r="QKW390" s="22"/>
      <c r="QKX390" s="22"/>
      <c r="QKY390" s="22"/>
      <c r="QKZ390" s="22"/>
      <c r="QLA390" s="22"/>
      <c r="QLB390" s="22"/>
      <c r="QLC390" s="22"/>
      <c r="QLD390" s="22"/>
      <c r="QLE390" s="22"/>
      <c r="QLF390" s="22"/>
      <c r="QLG390" s="22"/>
      <c r="QLH390" s="22"/>
      <c r="QLI390" s="22"/>
      <c r="QLJ390" s="22"/>
      <c r="QLK390" s="22"/>
      <c r="QLL390" s="22"/>
      <c r="QLM390" s="22"/>
      <c r="QLN390" s="22"/>
      <c r="QLO390" s="22"/>
      <c r="QLP390" s="22"/>
      <c r="QLQ390" s="22"/>
      <c r="QLR390" s="22"/>
      <c r="QLS390" s="22"/>
      <c r="QLT390" s="22"/>
      <c r="QLU390" s="22"/>
      <c r="QLV390" s="22"/>
      <c r="QLW390" s="22"/>
      <c r="QLX390" s="22"/>
      <c r="QLY390" s="22"/>
      <c r="QLZ390" s="22"/>
      <c r="QMA390" s="22"/>
      <c r="QMB390" s="22"/>
      <c r="QMC390" s="22"/>
      <c r="QMD390" s="22"/>
      <c r="QME390" s="22"/>
      <c r="QMF390" s="22"/>
      <c r="QMG390" s="22"/>
      <c r="QMH390" s="22"/>
      <c r="QMI390" s="22"/>
      <c r="QMJ390" s="22"/>
      <c r="QMK390" s="22"/>
      <c r="QML390" s="22"/>
      <c r="QMM390" s="22"/>
      <c r="QMN390" s="22"/>
      <c r="QMO390" s="22"/>
      <c r="QMP390" s="22"/>
      <c r="QMQ390" s="22"/>
      <c r="QMR390" s="22"/>
      <c r="QMS390" s="22"/>
      <c r="QMT390" s="22"/>
      <c r="QMU390" s="22"/>
      <c r="QMV390" s="22"/>
      <c r="QMW390" s="22"/>
      <c r="QMX390" s="22"/>
      <c r="QMY390" s="22"/>
      <c r="QMZ390" s="22"/>
      <c r="QNA390" s="22"/>
      <c r="QNB390" s="22"/>
      <c r="QNC390" s="22"/>
      <c r="QND390" s="22"/>
      <c r="QNE390" s="22"/>
      <c r="QNF390" s="22"/>
      <c r="QNG390" s="22"/>
      <c r="QNH390" s="22"/>
      <c r="QNI390" s="22"/>
      <c r="QNJ390" s="22"/>
      <c r="QNK390" s="22"/>
      <c r="QNL390" s="22"/>
      <c r="QNM390" s="22"/>
      <c r="QNN390" s="22"/>
      <c r="QNO390" s="22"/>
      <c r="QNP390" s="22"/>
      <c r="QNQ390" s="22"/>
      <c r="QNR390" s="22"/>
      <c r="QNS390" s="22"/>
      <c r="QNT390" s="22"/>
      <c r="QNU390" s="22"/>
      <c r="QNV390" s="22"/>
      <c r="QNW390" s="22"/>
      <c r="QNX390" s="22"/>
      <c r="QNY390" s="22"/>
      <c r="QNZ390" s="22"/>
      <c r="QOA390" s="22"/>
      <c r="QOB390" s="22"/>
      <c r="QOC390" s="22"/>
      <c r="QOD390" s="22"/>
      <c r="QOE390" s="22"/>
      <c r="QOF390" s="22"/>
      <c r="QOG390" s="22"/>
      <c r="QOH390" s="22"/>
      <c r="QOI390" s="22"/>
      <c r="QOJ390" s="22"/>
      <c r="QOK390" s="22"/>
      <c r="QOL390" s="22"/>
      <c r="QOM390" s="22"/>
      <c r="QON390" s="22"/>
      <c r="QOO390" s="22"/>
      <c r="QOP390" s="22"/>
      <c r="QOQ390" s="22"/>
      <c r="QOR390" s="22"/>
      <c r="QOS390" s="22"/>
      <c r="QOT390" s="22"/>
      <c r="QOU390" s="22"/>
      <c r="QOV390" s="22"/>
      <c r="QOW390" s="22"/>
      <c r="QOX390" s="22"/>
      <c r="QOY390" s="22"/>
      <c r="QOZ390" s="22"/>
      <c r="QPA390" s="22"/>
      <c r="QPB390" s="22"/>
      <c r="QPC390" s="22"/>
      <c r="QPD390" s="22"/>
      <c r="QPE390" s="22"/>
      <c r="QPF390" s="22"/>
      <c r="QPG390" s="22"/>
      <c r="QPH390" s="22"/>
      <c r="QPI390" s="22"/>
      <c r="QPJ390" s="22"/>
      <c r="QPK390" s="22"/>
      <c r="QPL390" s="22"/>
      <c r="QPM390" s="22"/>
      <c r="QPN390" s="22"/>
      <c r="QPO390" s="22"/>
      <c r="QPP390" s="22"/>
      <c r="QPQ390" s="22"/>
      <c r="QPR390" s="22"/>
      <c r="QPS390" s="22"/>
      <c r="QPT390" s="22"/>
      <c r="QPU390" s="22"/>
      <c r="QPV390" s="22"/>
      <c r="QPW390" s="22"/>
      <c r="QPX390" s="22"/>
      <c r="QPY390" s="22"/>
      <c r="QPZ390" s="22"/>
      <c r="QQA390" s="22"/>
      <c r="QQB390" s="22"/>
      <c r="QQC390" s="22"/>
      <c r="QQD390" s="22"/>
      <c r="QQE390" s="22"/>
      <c r="QQF390" s="22"/>
      <c r="QQG390" s="22"/>
      <c r="QQH390" s="22"/>
      <c r="QQI390" s="22"/>
      <c r="QQJ390" s="22"/>
      <c r="QQK390" s="22"/>
      <c r="QQL390" s="22"/>
      <c r="QQM390" s="22"/>
      <c r="QQN390" s="22"/>
      <c r="QQO390" s="22"/>
      <c r="QQP390" s="22"/>
      <c r="QQQ390" s="22"/>
      <c r="QQR390" s="22"/>
      <c r="QQS390" s="22"/>
      <c r="QQT390" s="22"/>
      <c r="QQU390" s="22"/>
      <c r="QQV390" s="22"/>
      <c r="QQW390" s="22"/>
      <c r="QQX390" s="22"/>
      <c r="QQY390" s="22"/>
      <c r="QQZ390" s="22"/>
      <c r="QRA390" s="22"/>
      <c r="QRB390" s="22"/>
      <c r="QRC390" s="22"/>
      <c r="QRD390" s="22"/>
      <c r="QRE390" s="22"/>
      <c r="QRF390" s="22"/>
      <c r="QRG390" s="22"/>
      <c r="QRH390" s="22"/>
      <c r="QRI390" s="22"/>
      <c r="QRJ390" s="22"/>
      <c r="QRK390" s="22"/>
      <c r="QRL390" s="22"/>
      <c r="QRM390" s="22"/>
      <c r="QRN390" s="22"/>
      <c r="QRO390" s="22"/>
      <c r="QRP390" s="22"/>
      <c r="QRQ390" s="22"/>
      <c r="QRR390" s="22"/>
      <c r="QRS390" s="22"/>
      <c r="QRT390" s="22"/>
      <c r="QRU390" s="22"/>
      <c r="QRV390" s="22"/>
      <c r="QRW390" s="22"/>
      <c r="QRX390" s="22"/>
      <c r="QRY390" s="22"/>
      <c r="QRZ390" s="22"/>
      <c r="QSA390" s="22"/>
      <c r="QSB390" s="22"/>
      <c r="QSC390" s="22"/>
      <c r="QSD390" s="22"/>
      <c r="QSE390" s="22"/>
      <c r="QSF390" s="22"/>
      <c r="QSG390" s="22"/>
      <c r="QSH390" s="22"/>
      <c r="QSI390" s="22"/>
      <c r="QSJ390" s="22"/>
      <c r="QSK390" s="22"/>
      <c r="QSL390" s="22"/>
      <c r="QSM390" s="22"/>
      <c r="QSN390" s="22"/>
      <c r="QSO390" s="22"/>
      <c r="QSP390" s="22"/>
      <c r="QSQ390" s="22"/>
      <c r="QSR390" s="22"/>
      <c r="QSS390" s="22"/>
      <c r="QST390" s="22"/>
      <c r="QSU390" s="22"/>
      <c r="QSV390" s="22"/>
      <c r="QSW390" s="22"/>
      <c r="QSX390" s="22"/>
      <c r="QSY390" s="22"/>
      <c r="QSZ390" s="22"/>
      <c r="QTA390" s="22"/>
      <c r="QTB390" s="22"/>
      <c r="QTC390" s="22"/>
      <c r="QTD390" s="22"/>
      <c r="QTE390" s="22"/>
      <c r="QTF390" s="22"/>
      <c r="QTG390" s="22"/>
      <c r="QTH390" s="22"/>
      <c r="QTI390" s="22"/>
      <c r="QTJ390" s="22"/>
      <c r="QTK390" s="22"/>
      <c r="QTL390" s="22"/>
      <c r="QTM390" s="22"/>
      <c r="QTN390" s="22"/>
      <c r="QTO390" s="22"/>
      <c r="QTP390" s="22"/>
      <c r="QTQ390" s="22"/>
      <c r="QTR390" s="22"/>
      <c r="QTS390" s="22"/>
      <c r="QTT390" s="22"/>
      <c r="QTU390" s="22"/>
      <c r="QTV390" s="22"/>
      <c r="QTW390" s="22"/>
      <c r="QTX390" s="22"/>
      <c r="QTY390" s="22"/>
      <c r="QTZ390" s="22"/>
      <c r="QUA390" s="22"/>
      <c r="QUB390" s="22"/>
      <c r="QUC390" s="22"/>
      <c r="QUD390" s="22"/>
      <c r="QUE390" s="22"/>
      <c r="QUF390" s="22"/>
      <c r="QUG390" s="22"/>
      <c r="QUH390" s="22"/>
      <c r="QUI390" s="22"/>
      <c r="QUJ390" s="22"/>
      <c r="QUK390" s="22"/>
      <c r="QUL390" s="22"/>
      <c r="QUM390" s="22"/>
      <c r="QUN390" s="22"/>
      <c r="QUO390" s="22"/>
      <c r="QUP390" s="22"/>
      <c r="QUQ390" s="22"/>
      <c r="QUR390" s="22"/>
      <c r="QUS390" s="22"/>
      <c r="QUT390" s="22"/>
      <c r="QUU390" s="22"/>
      <c r="QUV390" s="22"/>
      <c r="QUW390" s="22"/>
      <c r="QUX390" s="22"/>
      <c r="QUY390" s="22"/>
      <c r="QUZ390" s="22"/>
      <c r="QVA390" s="22"/>
      <c r="QVB390" s="22"/>
      <c r="QVC390" s="22"/>
      <c r="QVD390" s="22"/>
      <c r="QVE390" s="22"/>
      <c r="QVF390" s="22"/>
      <c r="QVG390" s="22"/>
      <c r="QVH390" s="22"/>
      <c r="QVI390" s="22"/>
      <c r="QVJ390" s="22"/>
      <c r="QVK390" s="22"/>
      <c r="QVL390" s="22"/>
      <c r="QVM390" s="22"/>
      <c r="QVN390" s="22"/>
      <c r="QVO390" s="22"/>
      <c r="QVP390" s="22"/>
      <c r="QVQ390" s="22"/>
      <c r="QVR390" s="22"/>
      <c r="QVS390" s="22"/>
      <c r="QVT390" s="22"/>
      <c r="QVU390" s="22"/>
      <c r="QVV390" s="22"/>
      <c r="QVW390" s="22"/>
      <c r="QVX390" s="22"/>
      <c r="QVY390" s="22"/>
      <c r="QVZ390" s="22"/>
      <c r="QWA390" s="22"/>
      <c r="QWB390" s="22"/>
      <c r="QWC390" s="22"/>
      <c r="QWD390" s="22"/>
      <c r="QWE390" s="22"/>
      <c r="QWF390" s="22"/>
      <c r="QWG390" s="22"/>
      <c r="QWH390" s="22"/>
      <c r="QWI390" s="22"/>
      <c r="QWJ390" s="22"/>
      <c r="QWK390" s="22"/>
      <c r="QWL390" s="22"/>
      <c r="QWM390" s="22"/>
      <c r="QWN390" s="22"/>
      <c r="QWO390" s="22"/>
      <c r="QWP390" s="22"/>
      <c r="QWQ390" s="22"/>
      <c r="QWR390" s="22"/>
      <c r="QWS390" s="22"/>
      <c r="QWT390" s="22"/>
      <c r="QWU390" s="22"/>
      <c r="QWV390" s="22"/>
      <c r="QWW390" s="22"/>
      <c r="QWX390" s="22"/>
      <c r="QWY390" s="22"/>
      <c r="QWZ390" s="22"/>
      <c r="QXA390" s="22"/>
      <c r="QXB390" s="22"/>
      <c r="QXC390" s="22"/>
      <c r="QXD390" s="22"/>
      <c r="QXE390" s="22"/>
      <c r="QXF390" s="22"/>
      <c r="QXG390" s="22"/>
      <c r="QXH390" s="22"/>
      <c r="QXI390" s="22"/>
      <c r="QXJ390" s="22"/>
      <c r="QXK390" s="22"/>
      <c r="QXL390" s="22"/>
      <c r="QXM390" s="22"/>
      <c r="QXN390" s="22"/>
      <c r="QXO390" s="22"/>
      <c r="QXP390" s="22"/>
      <c r="QXQ390" s="22"/>
      <c r="QXR390" s="22"/>
      <c r="QXS390" s="22"/>
      <c r="QXT390" s="22"/>
      <c r="QXU390" s="22"/>
      <c r="QXV390" s="22"/>
      <c r="QXW390" s="22"/>
      <c r="QXX390" s="22"/>
      <c r="QXY390" s="22"/>
      <c r="QXZ390" s="22"/>
      <c r="QYA390" s="22"/>
      <c r="QYB390" s="22"/>
      <c r="QYC390" s="22"/>
      <c r="QYD390" s="22"/>
      <c r="QYE390" s="22"/>
      <c r="QYF390" s="22"/>
      <c r="QYG390" s="22"/>
      <c r="QYH390" s="22"/>
      <c r="QYI390" s="22"/>
      <c r="QYJ390" s="22"/>
      <c r="QYK390" s="22"/>
      <c r="QYL390" s="22"/>
      <c r="QYM390" s="22"/>
      <c r="QYN390" s="22"/>
      <c r="QYO390" s="22"/>
      <c r="QYP390" s="22"/>
      <c r="QYQ390" s="22"/>
      <c r="QYR390" s="22"/>
      <c r="QYS390" s="22"/>
      <c r="QYT390" s="22"/>
      <c r="QYU390" s="22"/>
      <c r="QYV390" s="22"/>
      <c r="QYW390" s="22"/>
      <c r="QYX390" s="22"/>
      <c r="QYY390" s="22"/>
      <c r="QYZ390" s="22"/>
      <c r="QZA390" s="22"/>
      <c r="QZB390" s="22"/>
      <c r="QZC390" s="22"/>
      <c r="QZD390" s="22"/>
      <c r="QZE390" s="22"/>
      <c r="QZF390" s="22"/>
      <c r="QZG390" s="22"/>
      <c r="QZH390" s="22"/>
      <c r="QZI390" s="22"/>
      <c r="QZJ390" s="22"/>
      <c r="QZK390" s="22"/>
      <c r="QZL390" s="22"/>
      <c r="QZM390" s="22"/>
      <c r="QZN390" s="22"/>
      <c r="QZO390" s="22"/>
      <c r="QZP390" s="22"/>
      <c r="QZQ390" s="22"/>
      <c r="QZR390" s="22"/>
      <c r="QZS390" s="22"/>
      <c r="QZT390" s="22"/>
      <c r="QZU390" s="22"/>
      <c r="QZV390" s="22"/>
      <c r="QZW390" s="22"/>
      <c r="QZX390" s="22"/>
      <c r="QZY390" s="22"/>
      <c r="QZZ390" s="22"/>
      <c r="RAA390" s="22"/>
      <c r="RAB390" s="22"/>
      <c r="RAC390" s="22"/>
      <c r="RAD390" s="22"/>
      <c r="RAE390" s="22"/>
      <c r="RAF390" s="22"/>
      <c r="RAG390" s="22"/>
      <c r="RAH390" s="22"/>
      <c r="RAI390" s="22"/>
      <c r="RAJ390" s="22"/>
      <c r="RAK390" s="22"/>
      <c r="RAL390" s="22"/>
      <c r="RAM390" s="22"/>
      <c r="RAN390" s="22"/>
      <c r="RAO390" s="22"/>
      <c r="RAP390" s="22"/>
      <c r="RAQ390" s="22"/>
      <c r="RAR390" s="22"/>
      <c r="RAS390" s="22"/>
      <c r="RAT390" s="22"/>
      <c r="RAU390" s="22"/>
      <c r="RAV390" s="22"/>
      <c r="RAW390" s="22"/>
      <c r="RAX390" s="22"/>
      <c r="RAY390" s="22"/>
      <c r="RAZ390" s="22"/>
      <c r="RBA390" s="22"/>
      <c r="RBB390" s="22"/>
      <c r="RBC390" s="22"/>
      <c r="RBD390" s="22"/>
      <c r="RBE390" s="22"/>
      <c r="RBF390" s="22"/>
      <c r="RBG390" s="22"/>
      <c r="RBH390" s="22"/>
      <c r="RBI390" s="22"/>
      <c r="RBJ390" s="22"/>
      <c r="RBK390" s="22"/>
      <c r="RBL390" s="22"/>
      <c r="RBM390" s="22"/>
      <c r="RBN390" s="22"/>
      <c r="RBO390" s="22"/>
      <c r="RBP390" s="22"/>
      <c r="RBQ390" s="22"/>
      <c r="RBR390" s="22"/>
      <c r="RBS390" s="22"/>
      <c r="RBT390" s="22"/>
      <c r="RBU390" s="22"/>
      <c r="RBV390" s="22"/>
      <c r="RBW390" s="22"/>
      <c r="RBX390" s="22"/>
      <c r="RBY390" s="22"/>
      <c r="RBZ390" s="22"/>
      <c r="RCA390" s="22"/>
      <c r="RCB390" s="22"/>
      <c r="RCC390" s="22"/>
      <c r="RCD390" s="22"/>
      <c r="RCE390" s="22"/>
      <c r="RCF390" s="22"/>
      <c r="RCG390" s="22"/>
      <c r="RCH390" s="22"/>
      <c r="RCI390" s="22"/>
      <c r="RCJ390" s="22"/>
      <c r="RCK390" s="22"/>
      <c r="RCL390" s="22"/>
      <c r="RCM390" s="22"/>
      <c r="RCN390" s="22"/>
      <c r="RCO390" s="22"/>
      <c r="RCP390" s="22"/>
      <c r="RCQ390" s="22"/>
      <c r="RCR390" s="22"/>
      <c r="RCS390" s="22"/>
      <c r="RCT390" s="22"/>
      <c r="RCU390" s="22"/>
      <c r="RCV390" s="22"/>
      <c r="RCW390" s="22"/>
      <c r="RCX390" s="22"/>
      <c r="RCY390" s="22"/>
      <c r="RCZ390" s="22"/>
      <c r="RDA390" s="22"/>
      <c r="RDB390" s="22"/>
      <c r="RDC390" s="22"/>
      <c r="RDD390" s="22"/>
      <c r="RDE390" s="22"/>
      <c r="RDF390" s="22"/>
      <c r="RDG390" s="22"/>
      <c r="RDH390" s="22"/>
      <c r="RDI390" s="22"/>
      <c r="RDJ390" s="22"/>
      <c r="RDK390" s="22"/>
      <c r="RDL390" s="22"/>
      <c r="RDM390" s="22"/>
      <c r="RDN390" s="22"/>
      <c r="RDO390" s="22"/>
      <c r="RDP390" s="22"/>
      <c r="RDQ390" s="22"/>
      <c r="RDR390" s="22"/>
      <c r="RDS390" s="22"/>
      <c r="RDT390" s="22"/>
      <c r="RDU390" s="22"/>
      <c r="RDV390" s="22"/>
      <c r="RDW390" s="22"/>
      <c r="RDX390" s="22"/>
      <c r="RDY390" s="22"/>
      <c r="RDZ390" s="22"/>
      <c r="REA390" s="22"/>
      <c r="REB390" s="22"/>
      <c r="REC390" s="22"/>
      <c r="RED390" s="22"/>
      <c r="REE390" s="22"/>
      <c r="REF390" s="22"/>
      <c r="REG390" s="22"/>
      <c r="REH390" s="22"/>
      <c r="REI390" s="22"/>
      <c r="REJ390" s="22"/>
      <c r="REK390" s="22"/>
      <c r="REL390" s="22"/>
      <c r="REM390" s="22"/>
      <c r="REN390" s="22"/>
      <c r="REO390" s="22"/>
      <c r="REP390" s="22"/>
      <c r="REQ390" s="22"/>
      <c r="RER390" s="22"/>
      <c r="RES390" s="22"/>
      <c r="RET390" s="22"/>
      <c r="REU390" s="22"/>
      <c r="REV390" s="22"/>
      <c r="REW390" s="22"/>
      <c r="REX390" s="22"/>
      <c r="REY390" s="22"/>
      <c r="REZ390" s="22"/>
      <c r="RFA390" s="22"/>
      <c r="RFB390" s="22"/>
      <c r="RFC390" s="22"/>
      <c r="RFD390" s="22"/>
      <c r="RFE390" s="22"/>
      <c r="RFF390" s="22"/>
      <c r="RFG390" s="22"/>
      <c r="RFH390" s="22"/>
      <c r="RFI390" s="22"/>
      <c r="RFJ390" s="22"/>
      <c r="RFK390" s="22"/>
      <c r="RFL390" s="22"/>
      <c r="RFM390" s="22"/>
      <c r="RFN390" s="22"/>
      <c r="RFO390" s="22"/>
      <c r="RFP390" s="22"/>
      <c r="RFQ390" s="22"/>
      <c r="RFR390" s="22"/>
      <c r="RFS390" s="22"/>
      <c r="RFT390" s="22"/>
      <c r="RFU390" s="22"/>
      <c r="RFV390" s="22"/>
      <c r="RFW390" s="22"/>
      <c r="RFX390" s="22"/>
      <c r="RFY390" s="22"/>
      <c r="RFZ390" s="22"/>
      <c r="RGA390" s="22"/>
      <c r="RGB390" s="22"/>
      <c r="RGC390" s="22"/>
      <c r="RGD390" s="22"/>
      <c r="RGE390" s="22"/>
      <c r="RGF390" s="22"/>
      <c r="RGG390" s="22"/>
      <c r="RGH390" s="22"/>
      <c r="RGI390" s="22"/>
      <c r="RGJ390" s="22"/>
      <c r="RGK390" s="22"/>
      <c r="RGL390" s="22"/>
      <c r="RGM390" s="22"/>
      <c r="RGN390" s="22"/>
      <c r="RGO390" s="22"/>
      <c r="RGP390" s="22"/>
      <c r="RGQ390" s="22"/>
      <c r="RGR390" s="22"/>
      <c r="RGS390" s="22"/>
      <c r="RGT390" s="22"/>
      <c r="RGU390" s="22"/>
      <c r="RGV390" s="22"/>
      <c r="RGW390" s="22"/>
      <c r="RGX390" s="22"/>
      <c r="RGY390" s="22"/>
      <c r="RGZ390" s="22"/>
      <c r="RHA390" s="22"/>
      <c r="RHB390" s="22"/>
      <c r="RHC390" s="22"/>
      <c r="RHD390" s="22"/>
      <c r="RHE390" s="22"/>
      <c r="RHF390" s="22"/>
      <c r="RHG390" s="22"/>
      <c r="RHH390" s="22"/>
      <c r="RHI390" s="22"/>
      <c r="RHJ390" s="22"/>
      <c r="RHK390" s="22"/>
      <c r="RHL390" s="22"/>
      <c r="RHM390" s="22"/>
      <c r="RHN390" s="22"/>
      <c r="RHO390" s="22"/>
      <c r="RHP390" s="22"/>
      <c r="RHQ390" s="22"/>
      <c r="RHR390" s="22"/>
      <c r="RHS390" s="22"/>
      <c r="RHT390" s="22"/>
      <c r="RHU390" s="22"/>
      <c r="RHV390" s="22"/>
      <c r="RHW390" s="22"/>
      <c r="RHX390" s="22"/>
      <c r="RHY390" s="22"/>
      <c r="RHZ390" s="22"/>
      <c r="RIA390" s="22"/>
      <c r="RIB390" s="22"/>
      <c r="RIC390" s="22"/>
      <c r="RID390" s="22"/>
      <c r="RIE390" s="22"/>
      <c r="RIF390" s="22"/>
      <c r="RIG390" s="22"/>
      <c r="RIH390" s="22"/>
      <c r="RII390" s="22"/>
      <c r="RIJ390" s="22"/>
      <c r="RIK390" s="22"/>
      <c r="RIL390" s="22"/>
      <c r="RIM390" s="22"/>
      <c r="RIN390" s="22"/>
      <c r="RIO390" s="22"/>
      <c r="RIP390" s="22"/>
      <c r="RIQ390" s="22"/>
      <c r="RIR390" s="22"/>
      <c r="RIS390" s="22"/>
      <c r="RIT390" s="22"/>
      <c r="RIU390" s="22"/>
      <c r="RIV390" s="22"/>
      <c r="RIW390" s="22"/>
      <c r="RIX390" s="22"/>
      <c r="RIY390" s="22"/>
      <c r="RIZ390" s="22"/>
      <c r="RJA390" s="22"/>
      <c r="RJB390" s="22"/>
      <c r="RJC390" s="22"/>
      <c r="RJD390" s="22"/>
      <c r="RJE390" s="22"/>
      <c r="RJF390" s="22"/>
      <c r="RJG390" s="22"/>
      <c r="RJH390" s="22"/>
      <c r="RJI390" s="22"/>
      <c r="RJJ390" s="22"/>
      <c r="RJK390" s="22"/>
      <c r="RJL390" s="22"/>
      <c r="RJM390" s="22"/>
      <c r="RJN390" s="22"/>
      <c r="RJO390" s="22"/>
      <c r="RJP390" s="22"/>
      <c r="RJQ390" s="22"/>
      <c r="RJR390" s="22"/>
      <c r="RJS390" s="22"/>
      <c r="RJT390" s="22"/>
      <c r="RJU390" s="22"/>
      <c r="RJV390" s="22"/>
      <c r="RJW390" s="22"/>
      <c r="RJX390" s="22"/>
      <c r="RJY390" s="22"/>
      <c r="RJZ390" s="22"/>
      <c r="RKA390" s="22"/>
      <c r="RKB390" s="22"/>
      <c r="RKC390" s="22"/>
      <c r="RKD390" s="22"/>
      <c r="RKE390" s="22"/>
      <c r="RKF390" s="22"/>
      <c r="RKG390" s="22"/>
      <c r="RKH390" s="22"/>
      <c r="RKI390" s="22"/>
      <c r="RKJ390" s="22"/>
      <c r="RKK390" s="22"/>
      <c r="RKL390" s="22"/>
      <c r="RKM390" s="22"/>
      <c r="RKN390" s="22"/>
      <c r="RKO390" s="22"/>
      <c r="RKP390" s="22"/>
      <c r="RKQ390" s="22"/>
      <c r="RKR390" s="22"/>
      <c r="RKS390" s="22"/>
      <c r="RKT390" s="22"/>
      <c r="RKU390" s="22"/>
      <c r="RKV390" s="22"/>
      <c r="RKW390" s="22"/>
      <c r="RKX390" s="22"/>
      <c r="RKY390" s="22"/>
      <c r="RKZ390" s="22"/>
      <c r="RLA390" s="22"/>
      <c r="RLB390" s="22"/>
      <c r="RLC390" s="22"/>
      <c r="RLD390" s="22"/>
      <c r="RLE390" s="22"/>
      <c r="RLF390" s="22"/>
      <c r="RLG390" s="22"/>
      <c r="RLH390" s="22"/>
      <c r="RLI390" s="22"/>
      <c r="RLJ390" s="22"/>
      <c r="RLK390" s="22"/>
      <c r="RLL390" s="22"/>
      <c r="RLM390" s="22"/>
      <c r="RLN390" s="22"/>
      <c r="RLO390" s="22"/>
      <c r="RLP390" s="22"/>
      <c r="RLQ390" s="22"/>
      <c r="RLR390" s="22"/>
      <c r="RLS390" s="22"/>
      <c r="RLT390" s="22"/>
      <c r="RLU390" s="22"/>
      <c r="RLV390" s="22"/>
      <c r="RLW390" s="22"/>
      <c r="RLX390" s="22"/>
      <c r="RLY390" s="22"/>
      <c r="RLZ390" s="22"/>
      <c r="RMA390" s="22"/>
      <c r="RMB390" s="22"/>
      <c r="RMC390" s="22"/>
      <c r="RMD390" s="22"/>
      <c r="RME390" s="22"/>
      <c r="RMF390" s="22"/>
      <c r="RMG390" s="22"/>
      <c r="RMH390" s="22"/>
      <c r="RMI390" s="22"/>
      <c r="RMJ390" s="22"/>
      <c r="RMK390" s="22"/>
      <c r="RML390" s="22"/>
      <c r="RMM390" s="22"/>
      <c r="RMN390" s="22"/>
      <c r="RMO390" s="22"/>
      <c r="RMP390" s="22"/>
      <c r="RMQ390" s="22"/>
      <c r="RMR390" s="22"/>
      <c r="RMS390" s="22"/>
      <c r="RMT390" s="22"/>
      <c r="RMU390" s="22"/>
      <c r="RMV390" s="22"/>
      <c r="RMW390" s="22"/>
      <c r="RMX390" s="22"/>
      <c r="RMY390" s="22"/>
      <c r="RMZ390" s="22"/>
      <c r="RNA390" s="22"/>
      <c r="RNB390" s="22"/>
      <c r="RNC390" s="22"/>
      <c r="RND390" s="22"/>
      <c r="RNE390" s="22"/>
      <c r="RNF390" s="22"/>
      <c r="RNG390" s="22"/>
      <c r="RNH390" s="22"/>
      <c r="RNI390" s="22"/>
      <c r="RNJ390" s="22"/>
      <c r="RNK390" s="22"/>
      <c r="RNL390" s="22"/>
      <c r="RNM390" s="22"/>
      <c r="RNN390" s="22"/>
      <c r="RNO390" s="22"/>
      <c r="RNP390" s="22"/>
      <c r="RNQ390" s="22"/>
      <c r="RNR390" s="22"/>
      <c r="RNS390" s="22"/>
      <c r="RNT390" s="22"/>
      <c r="RNU390" s="22"/>
      <c r="RNV390" s="22"/>
      <c r="RNW390" s="22"/>
      <c r="RNX390" s="22"/>
      <c r="RNY390" s="22"/>
      <c r="RNZ390" s="22"/>
      <c r="ROA390" s="22"/>
      <c r="ROB390" s="22"/>
      <c r="ROC390" s="22"/>
      <c r="ROD390" s="22"/>
      <c r="ROE390" s="22"/>
      <c r="ROF390" s="22"/>
      <c r="ROG390" s="22"/>
      <c r="ROH390" s="22"/>
      <c r="ROI390" s="22"/>
      <c r="ROJ390" s="22"/>
      <c r="ROK390" s="22"/>
      <c r="ROL390" s="22"/>
      <c r="ROM390" s="22"/>
      <c r="RON390" s="22"/>
      <c r="ROO390" s="22"/>
      <c r="ROP390" s="22"/>
      <c r="ROQ390" s="22"/>
      <c r="ROR390" s="22"/>
      <c r="ROS390" s="22"/>
      <c r="ROT390" s="22"/>
      <c r="ROU390" s="22"/>
      <c r="ROV390" s="22"/>
      <c r="ROW390" s="22"/>
      <c r="ROX390" s="22"/>
      <c r="ROY390" s="22"/>
      <c r="ROZ390" s="22"/>
      <c r="RPA390" s="22"/>
      <c r="RPB390" s="22"/>
      <c r="RPC390" s="22"/>
      <c r="RPD390" s="22"/>
      <c r="RPE390" s="22"/>
      <c r="RPF390" s="22"/>
      <c r="RPG390" s="22"/>
      <c r="RPH390" s="22"/>
      <c r="RPI390" s="22"/>
      <c r="RPJ390" s="22"/>
      <c r="RPK390" s="22"/>
      <c r="RPL390" s="22"/>
      <c r="RPM390" s="22"/>
      <c r="RPN390" s="22"/>
      <c r="RPO390" s="22"/>
      <c r="RPP390" s="22"/>
      <c r="RPQ390" s="22"/>
      <c r="RPR390" s="22"/>
      <c r="RPS390" s="22"/>
      <c r="RPT390" s="22"/>
      <c r="RPU390" s="22"/>
      <c r="RPV390" s="22"/>
      <c r="RPW390" s="22"/>
      <c r="RPX390" s="22"/>
      <c r="RPY390" s="22"/>
      <c r="RPZ390" s="22"/>
      <c r="RQA390" s="22"/>
      <c r="RQB390" s="22"/>
      <c r="RQC390" s="22"/>
      <c r="RQD390" s="22"/>
      <c r="RQE390" s="22"/>
      <c r="RQF390" s="22"/>
      <c r="RQG390" s="22"/>
      <c r="RQH390" s="22"/>
      <c r="RQI390" s="22"/>
      <c r="RQJ390" s="22"/>
      <c r="RQK390" s="22"/>
      <c r="RQL390" s="22"/>
      <c r="RQM390" s="22"/>
      <c r="RQN390" s="22"/>
      <c r="RQO390" s="22"/>
      <c r="RQP390" s="22"/>
      <c r="RQQ390" s="22"/>
      <c r="RQR390" s="22"/>
      <c r="RQS390" s="22"/>
      <c r="RQT390" s="22"/>
      <c r="RQU390" s="22"/>
      <c r="RQV390" s="22"/>
      <c r="RQW390" s="22"/>
      <c r="RQX390" s="22"/>
      <c r="RQY390" s="22"/>
      <c r="RQZ390" s="22"/>
      <c r="RRA390" s="22"/>
      <c r="RRB390" s="22"/>
      <c r="RRC390" s="22"/>
      <c r="RRD390" s="22"/>
      <c r="RRE390" s="22"/>
      <c r="RRF390" s="22"/>
      <c r="RRG390" s="22"/>
      <c r="RRH390" s="22"/>
      <c r="RRI390" s="22"/>
      <c r="RRJ390" s="22"/>
      <c r="RRK390" s="22"/>
      <c r="RRL390" s="22"/>
      <c r="RRM390" s="22"/>
      <c r="RRN390" s="22"/>
      <c r="RRO390" s="22"/>
      <c r="RRP390" s="22"/>
      <c r="RRQ390" s="22"/>
      <c r="RRR390" s="22"/>
      <c r="RRS390" s="22"/>
      <c r="RRT390" s="22"/>
      <c r="RRU390" s="22"/>
      <c r="RRV390" s="22"/>
      <c r="RRW390" s="22"/>
      <c r="RRX390" s="22"/>
      <c r="RRY390" s="22"/>
      <c r="RRZ390" s="22"/>
      <c r="RSA390" s="22"/>
      <c r="RSB390" s="22"/>
      <c r="RSC390" s="22"/>
      <c r="RSD390" s="22"/>
      <c r="RSE390" s="22"/>
      <c r="RSF390" s="22"/>
      <c r="RSG390" s="22"/>
      <c r="RSH390" s="22"/>
      <c r="RSI390" s="22"/>
      <c r="RSJ390" s="22"/>
      <c r="RSK390" s="22"/>
      <c r="RSL390" s="22"/>
      <c r="RSM390" s="22"/>
      <c r="RSN390" s="22"/>
      <c r="RSO390" s="22"/>
      <c r="RSP390" s="22"/>
      <c r="RSQ390" s="22"/>
      <c r="RSR390" s="22"/>
      <c r="RSS390" s="22"/>
      <c r="RST390" s="22"/>
      <c r="RSU390" s="22"/>
      <c r="RSV390" s="22"/>
      <c r="RSW390" s="22"/>
      <c r="RSX390" s="22"/>
      <c r="RSY390" s="22"/>
      <c r="RSZ390" s="22"/>
      <c r="RTA390" s="22"/>
      <c r="RTB390" s="22"/>
      <c r="RTC390" s="22"/>
      <c r="RTD390" s="22"/>
      <c r="RTE390" s="22"/>
      <c r="RTF390" s="22"/>
      <c r="RTG390" s="22"/>
      <c r="RTH390" s="22"/>
      <c r="RTI390" s="22"/>
      <c r="RTJ390" s="22"/>
      <c r="RTK390" s="22"/>
      <c r="RTL390" s="22"/>
      <c r="RTM390" s="22"/>
      <c r="RTN390" s="22"/>
      <c r="RTO390" s="22"/>
      <c r="RTP390" s="22"/>
      <c r="RTQ390" s="22"/>
      <c r="RTR390" s="22"/>
      <c r="RTS390" s="22"/>
      <c r="RTT390" s="22"/>
      <c r="RTU390" s="22"/>
      <c r="RTV390" s="22"/>
      <c r="RTW390" s="22"/>
      <c r="RTX390" s="22"/>
      <c r="RTY390" s="22"/>
      <c r="RTZ390" s="22"/>
      <c r="RUA390" s="22"/>
      <c r="RUB390" s="22"/>
      <c r="RUC390" s="22"/>
      <c r="RUD390" s="22"/>
      <c r="RUE390" s="22"/>
      <c r="RUF390" s="22"/>
      <c r="RUG390" s="22"/>
      <c r="RUH390" s="22"/>
      <c r="RUI390" s="22"/>
      <c r="RUJ390" s="22"/>
      <c r="RUK390" s="22"/>
      <c r="RUL390" s="22"/>
      <c r="RUM390" s="22"/>
      <c r="RUN390" s="22"/>
      <c r="RUO390" s="22"/>
      <c r="RUP390" s="22"/>
      <c r="RUQ390" s="22"/>
      <c r="RUR390" s="22"/>
      <c r="RUS390" s="22"/>
      <c r="RUT390" s="22"/>
      <c r="RUU390" s="22"/>
      <c r="RUV390" s="22"/>
      <c r="RUW390" s="22"/>
      <c r="RUX390" s="22"/>
      <c r="RUY390" s="22"/>
      <c r="RUZ390" s="22"/>
      <c r="RVA390" s="22"/>
      <c r="RVB390" s="22"/>
      <c r="RVC390" s="22"/>
      <c r="RVD390" s="22"/>
      <c r="RVE390" s="22"/>
      <c r="RVF390" s="22"/>
      <c r="RVG390" s="22"/>
      <c r="RVH390" s="22"/>
      <c r="RVI390" s="22"/>
      <c r="RVJ390" s="22"/>
      <c r="RVK390" s="22"/>
      <c r="RVL390" s="22"/>
      <c r="RVM390" s="22"/>
      <c r="RVN390" s="22"/>
      <c r="RVO390" s="22"/>
      <c r="RVP390" s="22"/>
      <c r="RVQ390" s="22"/>
      <c r="RVR390" s="22"/>
      <c r="RVS390" s="22"/>
      <c r="RVT390" s="22"/>
      <c r="RVU390" s="22"/>
      <c r="RVV390" s="22"/>
      <c r="RVW390" s="22"/>
      <c r="RVX390" s="22"/>
      <c r="RVY390" s="22"/>
      <c r="RVZ390" s="22"/>
      <c r="RWA390" s="22"/>
      <c r="RWB390" s="22"/>
      <c r="RWC390" s="22"/>
      <c r="RWD390" s="22"/>
      <c r="RWE390" s="22"/>
      <c r="RWF390" s="22"/>
      <c r="RWG390" s="22"/>
      <c r="RWH390" s="22"/>
      <c r="RWI390" s="22"/>
      <c r="RWJ390" s="22"/>
      <c r="RWK390" s="22"/>
      <c r="RWL390" s="22"/>
      <c r="RWM390" s="22"/>
      <c r="RWN390" s="22"/>
      <c r="RWO390" s="22"/>
      <c r="RWP390" s="22"/>
      <c r="RWQ390" s="22"/>
      <c r="RWR390" s="22"/>
      <c r="RWS390" s="22"/>
      <c r="RWT390" s="22"/>
      <c r="RWU390" s="22"/>
      <c r="RWV390" s="22"/>
      <c r="RWW390" s="22"/>
      <c r="RWX390" s="22"/>
      <c r="RWY390" s="22"/>
      <c r="RWZ390" s="22"/>
      <c r="RXA390" s="22"/>
      <c r="RXB390" s="22"/>
      <c r="RXC390" s="22"/>
      <c r="RXD390" s="22"/>
      <c r="RXE390" s="22"/>
      <c r="RXF390" s="22"/>
      <c r="RXG390" s="22"/>
      <c r="RXH390" s="22"/>
      <c r="RXI390" s="22"/>
      <c r="RXJ390" s="22"/>
      <c r="RXK390" s="22"/>
      <c r="RXL390" s="22"/>
      <c r="RXM390" s="22"/>
      <c r="RXN390" s="22"/>
      <c r="RXO390" s="22"/>
      <c r="RXP390" s="22"/>
      <c r="RXQ390" s="22"/>
      <c r="RXR390" s="22"/>
      <c r="RXS390" s="22"/>
      <c r="RXT390" s="22"/>
      <c r="RXU390" s="22"/>
      <c r="RXV390" s="22"/>
      <c r="RXW390" s="22"/>
      <c r="RXX390" s="22"/>
      <c r="RXY390" s="22"/>
      <c r="RXZ390" s="22"/>
      <c r="RYA390" s="22"/>
      <c r="RYB390" s="22"/>
      <c r="RYC390" s="22"/>
      <c r="RYD390" s="22"/>
      <c r="RYE390" s="22"/>
      <c r="RYF390" s="22"/>
      <c r="RYG390" s="22"/>
      <c r="RYH390" s="22"/>
      <c r="RYI390" s="22"/>
      <c r="RYJ390" s="22"/>
      <c r="RYK390" s="22"/>
      <c r="RYL390" s="22"/>
      <c r="RYM390" s="22"/>
      <c r="RYN390" s="22"/>
      <c r="RYO390" s="22"/>
      <c r="RYP390" s="22"/>
      <c r="RYQ390" s="22"/>
      <c r="RYR390" s="22"/>
      <c r="RYS390" s="22"/>
      <c r="RYT390" s="22"/>
      <c r="RYU390" s="22"/>
      <c r="RYV390" s="22"/>
      <c r="RYW390" s="22"/>
      <c r="RYX390" s="22"/>
      <c r="RYY390" s="22"/>
      <c r="RYZ390" s="22"/>
      <c r="RZA390" s="22"/>
      <c r="RZB390" s="22"/>
      <c r="RZC390" s="22"/>
      <c r="RZD390" s="22"/>
      <c r="RZE390" s="22"/>
      <c r="RZF390" s="22"/>
      <c r="RZG390" s="22"/>
      <c r="RZH390" s="22"/>
      <c r="RZI390" s="22"/>
      <c r="RZJ390" s="22"/>
      <c r="RZK390" s="22"/>
      <c r="RZL390" s="22"/>
      <c r="RZM390" s="22"/>
      <c r="RZN390" s="22"/>
      <c r="RZO390" s="22"/>
      <c r="RZP390" s="22"/>
      <c r="RZQ390" s="22"/>
      <c r="RZR390" s="22"/>
      <c r="RZS390" s="22"/>
      <c r="RZT390" s="22"/>
      <c r="RZU390" s="22"/>
      <c r="RZV390" s="22"/>
      <c r="RZW390" s="22"/>
      <c r="RZX390" s="22"/>
      <c r="RZY390" s="22"/>
      <c r="RZZ390" s="22"/>
      <c r="SAA390" s="22"/>
      <c r="SAB390" s="22"/>
      <c r="SAC390" s="22"/>
      <c r="SAD390" s="22"/>
      <c r="SAE390" s="22"/>
      <c r="SAF390" s="22"/>
      <c r="SAG390" s="22"/>
      <c r="SAH390" s="22"/>
      <c r="SAI390" s="22"/>
      <c r="SAJ390" s="22"/>
      <c r="SAK390" s="22"/>
      <c r="SAL390" s="22"/>
      <c r="SAM390" s="22"/>
      <c r="SAN390" s="22"/>
      <c r="SAO390" s="22"/>
      <c r="SAP390" s="22"/>
      <c r="SAQ390" s="22"/>
      <c r="SAR390" s="22"/>
      <c r="SAS390" s="22"/>
      <c r="SAT390" s="22"/>
      <c r="SAU390" s="22"/>
      <c r="SAV390" s="22"/>
      <c r="SAW390" s="22"/>
      <c r="SAX390" s="22"/>
      <c r="SAY390" s="22"/>
      <c r="SAZ390" s="22"/>
      <c r="SBA390" s="22"/>
      <c r="SBB390" s="22"/>
      <c r="SBC390" s="22"/>
      <c r="SBD390" s="22"/>
      <c r="SBE390" s="22"/>
      <c r="SBF390" s="22"/>
      <c r="SBG390" s="22"/>
      <c r="SBH390" s="22"/>
      <c r="SBI390" s="22"/>
      <c r="SBJ390" s="22"/>
      <c r="SBK390" s="22"/>
      <c r="SBL390" s="22"/>
      <c r="SBM390" s="22"/>
      <c r="SBN390" s="22"/>
      <c r="SBO390" s="22"/>
      <c r="SBP390" s="22"/>
      <c r="SBQ390" s="22"/>
      <c r="SBR390" s="22"/>
      <c r="SBS390" s="22"/>
      <c r="SBT390" s="22"/>
      <c r="SBU390" s="22"/>
      <c r="SBV390" s="22"/>
      <c r="SBW390" s="22"/>
      <c r="SBX390" s="22"/>
      <c r="SBY390" s="22"/>
      <c r="SBZ390" s="22"/>
      <c r="SCA390" s="22"/>
      <c r="SCB390" s="22"/>
      <c r="SCC390" s="22"/>
      <c r="SCD390" s="22"/>
      <c r="SCE390" s="22"/>
      <c r="SCF390" s="22"/>
      <c r="SCG390" s="22"/>
      <c r="SCH390" s="22"/>
      <c r="SCI390" s="22"/>
      <c r="SCJ390" s="22"/>
      <c r="SCK390" s="22"/>
      <c r="SCL390" s="22"/>
      <c r="SCM390" s="22"/>
      <c r="SCN390" s="22"/>
      <c r="SCO390" s="22"/>
      <c r="SCP390" s="22"/>
      <c r="SCQ390" s="22"/>
      <c r="SCR390" s="22"/>
      <c r="SCS390" s="22"/>
      <c r="SCT390" s="22"/>
      <c r="SCU390" s="22"/>
      <c r="SCV390" s="22"/>
      <c r="SCW390" s="22"/>
      <c r="SCX390" s="22"/>
      <c r="SCY390" s="22"/>
      <c r="SCZ390" s="22"/>
      <c r="SDA390" s="22"/>
      <c r="SDB390" s="22"/>
      <c r="SDC390" s="22"/>
      <c r="SDD390" s="22"/>
      <c r="SDE390" s="22"/>
      <c r="SDF390" s="22"/>
      <c r="SDG390" s="22"/>
      <c r="SDH390" s="22"/>
      <c r="SDI390" s="22"/>
      <c r="SDJ390" s="22"/>
      <c r="SDK390" s="22"/>
      <c r="SDL390" s="22"/>
      <c r="SDM390" s="22"/>
      <c r="SDN390" s="22"/>
      <c r="SDO390" s="22"/>
      <c r="SDP390" s="22"/>
      <c r="SDQ390" s="22"/>
      <c r="SDR390" s="22"/>
      <c r="SDS390" s="22"/>
      <c r="SDT390" s="22"/>
      <c r="SDU390" s="22"/>
      <c r="SDV390" s="22"/>
      <c r="SDW390" s="22"/>
      <c r="SDX390" s="22"/>
      <c r="SDY390" s="22"/>
      <c r="SDZ390" s="22"/>
      <c r="SEA390" s="22"/>
      <c r="SEB390" s="22"/>
      <c r="SEC390" s="22"/>
      <c r="SED390" s="22"/>
      <c r="SEE390" s="22"/>
      <c r="SEF390" s="22"/>
      <c r="SEG390" s="22"/>
      <c r="SEH390" s="22"/>
      <c r="SEI390" s="22"/>
      <c r="SEJ390" s="22"/>
      <c r="SEK390" s="22"/>
      <c r="SEL390" s="22"/>
      <c r="SEM390" s="22"/>
      <c r="SEN390" s="22"/>
      <c r="SEO390" s="22"/>
      <c r="SEP390" s="22"/>
      <c r="SEQ390" s="22"/>
      <c r="SER390" s="22"/>
      <c r="SES390" s="22"/>
      <c r="SET390" s="22"/>
      <c r="SEU390" s="22"/>
      <c r="SEV390" s="22"/>
      <c r="SEW390" s="22"/>
      <c r="SEX390" s="22"/>
      <c r="SEY390" s="22"/>
      <c r="SEZ390" s="22"/>
      <c r="SFA390" s="22"/>
      <c r="SFB390" s="22"/>
      <c r="SFC390" s="22"/>
      <c r="SFD390" s="22"/>
      <c r="SFE390" s="22"/>
      <c r="SFF390" s="22"/>
      <c r="SFG390" s="22"/>
      <c r="SFH390" s="22"/>
      <c r="SFI390" s="22"/>
      <c r="SFJ390" s="22"/>
      <c r="SFK390" s="22"/>
      <c r="SFL390" s="22"/>
      <c r="SFM390" s="22"/>
      <c r="SFN390" s="22"/>
      <c r="SFO390" s="22"/>
      <c r="SFP390" s="22"/>
      <c r="SFQ390" s="22"/>
      <c r="SFR390" s="22"/>
      <c r="SFS390" s="22"/>
      <c r="SFT390" s="22"/>
      <c r="SFU390" s="22"/>
      <c r="SFV390" s="22"/>
      <c r="SFW390" s="22"/>
      <c r="SFX390" s="22"/>
      <c r="SFY390" s="22"/>
      <c r="SFZ390" s="22"/>
      <c r="SGA390" s="22"/>
      <c r="SGB390" s="22"/>
      <c r="SGC390" s="22"/>
      <c r="SGD390" s="22"/>
      <c r="SGE390" s="22"/>
      <c r="SGF390" s="22"/>
      <c r="SGG390" s="22"/>
      <c r="SGH390" s="22"/>
      <c r="SGI390" s="22"/>
      <c r="SGJ390" s="22"/>
      <c r="SGK390" s="22"/>
      <c r="SGL390" s="22"/>
      <c r="SGM390" s="22"/>
      <c r="SGN390" s="22"/>
      <c r="SGO390" s="22"/>
      <c r="SGP390" s="22"/>
      <c r="SGQ390" s="22"/>
      <c r="SGR390" s="22"/>
      <c r="SGS390" s="22"/>
      <c r="SGT390" s="22"/>
      <c r="SGU390" s="22"/>
      <c r="SGV390" s="22"/>
      <c r="SGW390" s="22"/>
      <c r="SGX390" s="22"/>
      <c r="SGY390" s="22"/>
      <c r="SGZ390" s="22"/>
      <c r="SHA390" s="22"/>
      <c r="SHB390" s="22"/>
      <c r="SHC390" s="22"/>
      <c r="SHD390" s="22"/>
      <c r="SHE390" s="22"/>
      <c r="SHF390" s="22"/>
      <c r="SHG390" s="22"/>
      <c r="SHH390" s="22"/>
      <c r="SHI390" s="22"/>
      <c r="SHJ390" s="22"/>
      <c r="SHK390" s="22"/>
      <c r="SHL390" s="22"/>
      <c r="SHM390" s="22"/>
      <c r="SHN390" s="22"/>
      <c r="SHO390" s="22"/>
      <c r="SHP390" s="22"/>
      <c r="SHQ390" s="22"/>
      <c r="SHR390" s="22"/>
      <c r="SHS390" s="22"/>
      <c r="SHT390" s="22"/>
      <c r="SHU390" s="22"/>
      <c r="SHV390" s="22"/>
      <c r="SHW390" s="22"/>
      <c r="SHX390" s="22"/>
      <c r="SHY390" s="22"/>
      <c r="SHZ390" s="22"/>
      <c r="SIA390" s="22"/>
      <c r="SIB390" s="22"/>
      <c r="SIC390" s="22"/>
      <c r="SID390" s="22"/>
      <c r="SIE390" s="22"/>
      <c r="SIF390" s="22"/>
      <c r="SIG390" s="22"/>
      <c r="SIH390" s="22"/>
      <c r="SII390" s="22"/>
      <c r="SIJ390" s="22"/>
      <c r="SIK390" s="22"/>
      <c r="SIL390" s="22"/>
      <c r="SIM390" s="22"/>
      <c r="SIN390" s="22"/>
      <c r="SIO390" s="22"/>
      <c r="SIP390" s="22"/>
      <c r="SIQ390" s="22"/>
      <c r="SIR390" s="22"/>
      <c r="SIS390" s="22"/>
      <c r="SIT390" s="22"/>
      <c r="SIU390" s="22"/>
      <c r="SIV390" s="22"/>
      <c r="SIW390" s="22"/>
      <c r="SIX390" s="22"/>
      <c r="SIY390" s="22"/>
      <c r="SIZ390" s="22"/>
      <c r="SJA390" s="22"/>
      <c r="SJB390" s="22"/>
      <c r="SJC390" s="22"/>
      <c r="SJD390" s="22"/>
      <c r="SJE390" s="22"/>
      <c r="SJF390" s="22"/>
      <c r="SJG390" s="22"/>
      <c r="SJH390" s="22"/>
      <c r="SJI390" s="22"/>
      <c r="SJJ390" s="22"/>
      <c r="SJK390" s="22"/>
      <c r="SJL390" s="22"/>
      <c r="SJM390" s="22"/>
      <c r="SJN390" s="22"/>
      <c r="SJO390" s="22"/>
      <c r="SJP390" s="22"/>
      <c r="SJQ390" s="22"/>
      <c r="SJR390" s="22"/>
      <c r="SJS390" s="22"/>
      <c r="SJT390" s="22"/>
      <c r="SJU390" s="22"/>
      <c r="SJV390" s="22"/>
      <c r="SJW390" s="22"/>
      <c r="SJX390" s="22"/>
      <c r="SJY390" s="22"/>
      <c r="SJZ390" s="22"/>
      <c r="SKA390" s="22"/>
      <c r="SKB390" s="22"/>
      <c r="SKC390" s="22"/>
      <c r="SKD390" s="22"/>
      <c r="SKE390" s="22"/>
      <c r="SKF390" s="22"/>
      <c r="SKG390" s="22"/>
      <c r="SKH390" s="22"/>
      <c r="SKI390" s="22"/>
      <c r="SKJ390" s="22"/>
      <c r="SKK390" s="22"/>
      <c r="SKL390" s="22"/>
      <c r="SKM390" s="22"/>
      <c r="SKN390" s="22"/>
      <c r="SKO390" s="22"/>
      <c r="SKP390" s="22"/>
      <c r="SKQ390" s="22"/>
      <c r="SKR390" s="22"/>
      <c r="SKS390" s="22"/>
      <c r="SKT390" s="22"/>
      <c r="SKU390" s="22"/>
      <c r="SKV390" s="22"/>
      <c r="SKW390" s="22"/>
      <c r="SKX390" s="22"/>
      <c r="SKY390" s="22"/>
      <c r="SKZ390" s="22"/>
      <c r="SLA390" s="22"/>
      <c r="SLB390" s="22"/>
      <c r="SLC390" s="22"/>
      <c r="SLD390" s="22"/>
      <c r="SLE390" s="22"/>
      <c r="SLF390" s="22"/>
      <c r="SLG390" s="22"/>
      <c r="SLH390" s="22"/>
      <c r="SLI390" s="22"/>
      <c r="SLJ390" s="22"/>
      <c r="SLK390" s="22"/>
      <c r="SLL390" s="22"/>
      <c r="SLM390" s="22"/>
      <c r="SLN390" s="22"/>
      <c r="SLO390" s="22"/>
      <c r="SLP390" s="22"/>
      <c r="SLQ390" s="22"/>
      <c r="SLR390" s="22"/>
      <c r="SLS390" s="22"/>
      <c r="SLT390" s="22"/>
      <c r="SLU390" s="22"/>
      <c r="SLV390" s="22"/>
      <c r="SLW390" s="22"/>
      <c r="SLX390" s="22"/>
      <c r="SLY390" s="22"/>
      <c r="SLZ390" s="22"/>
      <c r="SMA390" s="22"/>
      <c r="SMB390" s="22"/>
      <c r="SMC390" s="22"/>
      <c r="SMD390" s="22"/>
      <c r="SME390" s="22"/>
      <c r="SMF390" s="22"/>
      <c r="SMG390" s="22"/>
      <c r="SMH390" s="22"/>
      <c r="SMI390" s="22"/>
      <c r="SMJ390" s="22"/>
      <c r="SMK390" s="22"/>
      <c r="SML390" s="22"/>
      <c r="SMM390" s="22"/>
      <c r="SMN390" s="22"/>
      <c r="SMO390" s="22"/>
      <c r="SMP390" s="22"/>
      <c r="SMQ390" s="22"/>
      <c r="SMR390" s="22"/>
      <c r="SMS390" s="22"/>
      <c r="SMT390" s="22"/>
      <c r="SMU390" s="22"/>
      <c r="SMV390" s="22"/>
      <c r="SMW390" s="22"/>
      <c r="SMX390" s="22"/>
      <c r="SMY390" s="22"/>
      <c r="SMZ390" s="22"/>
      <c r="SNA390" s="22"/>
      <c r="SNB390" s="22"/>
      <c r="SNC390" s="22"/>
      <c r="SND390" s="22"/>
      <c r="SNE390" s="22"/>
      <c r="SNF390" s="22"/>
      <c r="SNG390" s="22"/>
      <c r="SNH390" s="22"/>
      <c r="SNI390" s="22"/>
      <c r="SNJ390" s="22"/>
      <c r="SNK390" s="22"/>
      <c r="SNL390" s="22"/>
      <c r="SNM390" s="22"/>
      <c r="SNN390" s="22"/>
      <c r="SNO390" s="22"/>
      <c r="SNP390" s="22"/>
      <c r="SNQ390" s="22"/>
      <c r="SNR390" s="22"/>
      <c r="SNS390" s="22"/>
      <c r="SNT390" s="22"/>
      <c r="SNU390" s="22"/>
      <c r="SNV390" s="22"/>
      <c r="SNW390" s="22"/>
      <c r="SNX390" s="22"/>
      <c r="SNY390" s="22"/>
      <c r="SNZ390" s="22"/>
      <c r="SOA390" s="22"/>
      <c r="SOB390" s="22"/>
      <c r="SOC390" s="22"/>
      <c r="SOD390" s="22"/>
      <c r="SOE390" s="22"/>
      <c r="SOF390" s="22"/>
      <c r="SOG390" s="22"/>
      <c r="SOH390" s="22"/>
      <c r="SOI390" s="22"/>
      <c r="SOJ390" s="22"/>
      <c r="SOK390" s="22"/>
      <c r="SOL390" s="22"/>
      <c r="SOM390" s="22"/>
      <c r="SON390" s="22"/>
      <c r="SOO390" s="22"/>
      <c r="SOP390" s="22"/>
      <c r="SOQ390" s="22"/>
      <c r="SOR390" s="22"/>
      <c r="SOS390" s="22"/>
      <c r="SOT390" s="22"/>
      <c r="SOU390" s="22"/>
      <c r="SOV390" s="22"/>
      <c r="SOW390" s="22"/>
      <c r="SOX390" s="22"/>
      <c r="SOY390" s="22"/>
      <c r="SOZ390" s="22"/>
      <c r="SPA390" s="22"/>
      <c r="SPB390" s="22"/>
      <c r="SPC390" s="22"/>
      <c r="SPD390" s="22"/>
      <c r="SPE390" s="22"/>
      <c r="SPF390" s="22"/>
      <c r="SPG390" s="22"/>
      <c r="SPH390" s="22"/>
      <c r="SPI390" s="22"/>
      <c r="SPJ390" s="22"/>
      <c r="SPK390" s="22"/>
      <c r="SPL390" s="22"/>
      <c r="SPM390" s="22"/>
      <c r="SPN390" s="22"/>
      <c r="SPO390" s="22"/>
      <c r="SPP390" s="22"/>
      <c r="SPQ390" s="22"/>
      <c r="SPR390" s="22"/>
      <c r="SPS390" s="22"/>
      <c r="SPT390" s="22"/>
      <c r="SPU390" s="22"/>
      <c r="SPV390" s="22"/>
      <c r="SPW390" s="22"/>
      <c r="SPX390" s="22"/>
      <c r="SPY390" s="22"/>
      <c r="SPZ390" s="22"/>
      <c r="SQA390" s="22"/>
      <c r="SQB390" s="22"/>
      <c r="SQC390" s="22"/>
      <c r="SQD390" s="22"/>
      <c r="SQE390" s="22"/>
      <c r="SQF390" s="22"/>
      <c r="SQG390" s="22"/>
      <c r="SQH390" s="22"/>
      <c r="SQI390" s="22"/>
      <c r="SQJ390" s="22"/>
      <c r="SQK390" s="22"/>
      <c r="SQL390" s="22"/>
      <c r="SQM390" s="22"/>
      <c r="SQN390" s="22"/>
      <c r="SQO390" s="22"/>
      <c r="SQP390" s="22"/>
      <c r="SQQ390" s="22"/>
      <c r="SQR390" s="22"/>
      <c r="SQS390" s="22"/>
      <c r="SQT390" s="22"/>
      <c r="SQU390" s="22"/>
      <c r="SQV390" s="22"/>
      <c r="SQW390" s="22"/>
      <c r="SQX390" s="22"/>
      <c r="SQY390" s="22"/>
      <c r="SQZ390" s="22"/>
      <c r="SRA390" s="22"/>
      <c r="SRB390" s="22"/>
      <c r="SRC390" s="22"/>
      <c r="SRD390" s="22"/>
      <c r="SRE390" s="22"/>
      <c r="SRF390" s="22"/>
      <c r="SRG390" s="22"/>
      <c r="SRH390" s="22"/>
      <c r="SRI390" s="22"/>
      <c r="SRJ390" s="22"/>
      <c r="SRK390" s="22"/>
      <c r="SRL390" s="22"/>
      <c r="SRM390" s="22"/>
      <c r="SRN390" s="22"/>
      <c r="SRO390" s="22"/>
      <c r="SRP390" s="22"/>
      <c r="SRQ390" s="22"/>
      <c r="SRR390" s="22"/>
      <c r="SRS390" s="22"/>
      <c r="SRT390" s="22"/>
      <c r="SRU390" s="22"/>
      <c r="SRV390" s="22"/>
      <c r="SRW390" s="22"/>
      <c r="SRX390" s="22"/>
      <c r="SRY390" s="22"/>
      <c r="SRZ390" s="22"/>
      <c r="SSA390" s="22"/>
      <c r="SSB390" s="22"/>
      <c r="SSC390" s="22"/>
      <c r="SSD390" s="22"/>
      <c r="SSE390" s="22"/>
      <c r="SSF390" s="22"/>
      <c r="SSG390" s="22"/>
      <c r="SSH390" s="22"/>
      <c r="SSI390" s="22"/>
      <c r="SSJ390" s="22"/>
      <c r="SSK390" s="22"/>
      <c r="SSL390" s="22"/>
      <c r="SSM390" s="22"/>
      <c r="SSN390" s="22"/>
      <c r="SSO390" s="22"/>
      <c r="SSP390" s="22"/>
      <c r="SSQ390" s="22"/>
      <c r="SSR390" s="22"/>
      <c r="SSS390" s="22"/>
      <c r="SST390" s="22"/>
      <c r="SSU390" s="22"/>
      <c r="SSV390" s="22"/>
      <c r="SSW390" s="22"/>
      <c r="SSX390" s="22"/>
      <c r="SSY390" s="22"/>
      <c r="SSZ390" s="22"/>
      <c r="STA390" s="22"/>
      <c r="STB390" s="22"/>
      <c r="STC390" s="22"/>
      <c r="STD390" s="22"/>
      <c r="STE390" s="22"/>
      <c r="STF390" s="22"/>
      <c r="STG390" s="22"/>
      <c r="STH390" s="22"/>
      <c r="STI390" s="22"/>
      <c r="STJ390" s="22"/>
      <c r="STK390" s="22"/>
      <c r="STL390" s="22"/>
      <c r="STM390" s="22"/>
      <c r="STN390" s="22"/>
      <c r="STO390" s="22"/>
      <c r="STP390" s="22"/>
      <c r="STQ390" s="22"/>
      <c r="STR390" s="22"/>
      <c r="STS390" s="22"/>
      <c r="STT390" s="22"/>
      <c r="STU390" s="22"/>
      <c r="STV390" s="22"/>
      <c r="STW390" s="22"/>
      <c r="STX390" s="22"/>
      <c r="STY390" s="22"/>
      <c r="STZ390" s="22"/>
      <c r="SUA390" s="22"/>
      <c r="SUB390" s="22"/>
      <c r="SUC390" s="22"/>
      <c r="SUD390" s="22"/>
      <c r="SUE390" s="22"/>
      <c r="SUF390" s="22"/>
      <c r="SUG390" s="22"/>
      <c r="SUH390" s="22"/>
      <c r="SUI390" s="22"/>
      <c r="SUJ390" s="22"/>
      <c r="SUK390" s="22"/>
      <c r="SUL390" s="22"/>
      <c r="SUM390" s="22"/>
      <c r="SUN390" s="22"/>
      <c r="SUO390" s="22"/>
      <c r="SUP390" s="22"/>
      <c r="SUQ390" s="22"/>
      <c r="SUR390" s="22"/>
      <c r="SUS390" s="22"/>
      <c r="SUT390" s="22"/>
      <c r="SUU390" s="22"/>
      <c r="SUV390" s="22"/>
      <c r="SUW390" s="22"/>
      <c r="SUX390" s="22"/>
      <c r="SUY390" s="22"/>
      <c r="SUZ390" s="22"/>
      <c r="SVA390" s="22"/>
      <c r="SVB390" s="22"/>
      <c r="SVC390" s="22"/>
      <c r="SVD390" s="22"/>
      <c r="SVE390" s="22"/>
      <c r="SVF390" s="22"/>
      <c r="SVG390" s="22"/>
      <c r="SVH390" s="22"/>
      <c r="SVI390" s="22"/>
      <c r="SVJ390" s="22"/>
      <c r="SVK390" s="22"/>
      <c r="SVL390" s="22"/>
      <c r="SVM390" s="22"/>
      <c r="SVN390" s="22"/>
      <c r="SVO390" s="22"/>
      <c r="SVP390" s="22"/>
      <c r="SVQ390" s="22"/>
      <c r="SVR390" s="22"/>
      <c r="SVS390" s="22"/>
      <c r="SVT390" s="22"/>
      <c r="SVU390" s="22"/>
      <c r="SVV390" s="22"/>
      <c r="SVW390" s="22"/>
      <c r="SVX390" s="22"/>
      <c r="SVY390" s="22"/>
      <c r="SVZ390" s="22"/>
      <c r="SWA390" s="22"/>
      <c r="SWB390" s="22"/>
      <c r="SWC390" s="22"/>
      <c r="SWD390" s="22"/>
      <c r="SWE390" s="22"/>
      <c r="SWF390" s="22"/>
      <c r="SWG390" s="22"/>
      <c r="SWH390" s="22"/>
      <c r="SWI390" s="22"/>
      <c r="SWJ390" s="22"/>
      <c r="SWK390" s="22"/>
      <c r="SWL390" s="22"/>
      <c r="SWM390" s="22"/>
      <c r="SWN390" s="22"/>
      <c r="SWO390" s="22"/>
      <c r="SWP390" s="22"/>
      <c r="SWQ390" s="22"/>
      <c r="SWR390" s="22"/>
      <c r="SWS390" s="22"/>
      <c r="SWT390" s="22"/>
      <c r="SWU390" s="22"/>
      <c r="SWV390" s="22"/>
      <c r="SWW390" s="22"/>
      <c r="SWX390" s="22"/>
      <c r="SWY390" s="22"/>
      <c r="SWZ390" s="22"/>
      <c r="SXA390" s="22"/>
      <c r="SXB390" s="22"/>
      <c r="SXC390" s="22"/>
      <c r="SXD390" s="22"/>
      <c r="SXE390" s="22"/>
      <c r="SXF390" s="22"/>
      <c r="SXG390" s="22"/>
      <c r="SXH390" s="22"/>
      <c r="SXI390" s="22"/>
      <c r="SXJ390" s="22"/>
      <c r="SXK390" s="22"/>
      <c r="SXL390" s="22"/>
      <c r="SXM390" s="22"/>
      <c r="SXN390" s="22"/>
      <c r="SXO390" s="22"/>
      <c r="SXP390" s="22"/>
      <c r="SXQ390" s="22"/>
      <c r="SXR390" s="22"/>
      <c r="SXS390" s="22"/>
      <c r="SXT390" s="22"/>
      <c r="SXU390" s="22"/>
      <c r="SXV390" s="22"/>
      <c r="SXW390" s="22"/>
      <c r="SXX390" s="22"/>
      <c r="SXY390" s="22"/>
      <c r="SXZ390" s="22"/>
      <c r="SYA390" s="22"/>
      <c r="SYB390" s="22"/>
      <c r="SYC390" s="22"/>
      <c r="SYD390" s="22"/>
      <c r="SYE390" s="22"/>
      <c r="SYF390" s="22"/>
      <c r="SYG390" s="22"/>
      <c r="SYH390" s="22"/>
      <c r="SYI390" s="22"/>
      <c r="SYJ390" s="22"/>
      <c r="SYK390" s="22"/>
      <c r="SYL390" s="22"/>
      <c r="SYM390" s="22"/>
      <c r="SYN390" s="22"/>
      <c r="SYO390" s="22"/>
      <c r="SYP390" s="22"/>
      <c r="SYQ390" s="22"/>
      <c r="SYR390" s="22"/>
      <c r="SYS390" s="22"/>
      <c r="SYT390" s="22"/>
      <c r="SYU390" s="22"/>
      <c r="SYV390" s="22"/>
      <c r="SYW390" s="22"/>
      <c r="SYX390" s="22"/>
      <c r="SYY390" s="22"/>
      <c r="SYZ390" s="22"/>
      <c r="SZA390" s="22"/>
      <c r="SZB390" s="22"/>
      <c r="SZC390" s="22"/>
      <c r="SZD390" s="22"/>
      <c r="SZE390" s="22"/>
      <c r="SZF390" s="22"/>
      <c r="SZG390" s="22"/>
      <c r="SZH390" s="22"/>
      <c r="SZI390" s="22"/>
      <c r="SZJ390" s="22"/>
      <c r="SZK390" s="22"/>
      <c r="SZL390" s="22"/>
      <c r="SZM390" s="22"/>
      <c r="SZN390" s="22"/>
      <c r="SZO390" s="22"/>
      <c r="SZP390" s="22"/>
      <c r="SZQ390" s="22"/>
      <c r="SZR390" s="22"/>
      <c r="SZS390" s="22"/>
      <c r="SZT390" s="22"/>
      <c r="SZU390" s="22"/>
      <c r="SZV390" s="22"/>
      <c r="SZW390" s="22"/>
      <c r="SZX390" s="22"/>
      <c r="SZY390" s="22"/>
      <c r="SZZ390" s="22"/>
      <c r="TAA390" s="22"/>
      <c r="TAB390" s="22"/>
      <c r="TAC390" s="22"/>
      <c r="TAD390" s="22"/>
      <c r="TAE390" s="22"/>
      <c r="TAF390" s="22"/>
      <c r="TAG390" s="22"/>
      <c r="TAH390" s="22"/>
      <c r="TAI390" s="22"/>
      <c r="TAJ390" s="22"/>
      <c r="TAK390" s="22"/>
      <c r="TAL390" s="22"/>
      <c r="TAM390" s="22"/>
      <c r="TAN390" s="22"/>
      <c r="TAO390" s="22"/>
      <c r="TAP390" s="22"/>
      <c r="TAQ390" s="22"/>
      <c r="TAR390" s="22"/>
      <c r="TAS390" s="22"/>
      <c r="TAT390" s="22"/>
      <c r="TAU390" s="22"/>
      <c r="TAV390" s="22"/>
      <c r="TAW390" s="22"/>
      <c r="TAX390" s="22"/>
      <c r="TAY390" s="22"/>
      <c r="TAZ390" s="22"/>
      <c r="TBA390" s="22"/>
      <c r="TBB390" s="22"/>
      <c r="TBC390" s="22"/>
      <c r="TBD390" s="22"/>
      <c r="TBE390" s="22"/>
      <c r="TBF390" s="22"/>
      <c r="TBG390" s="22"/>
      <c r="TBH390" s="22"/>
      <c r="TBI390" s="22"/>
      <c r="TBJ390" s="22"/>
      <c r="TBK390" s="22"/>
      <c r="TBL390" s="22"/>
      <c r="TBM390" s="22"/>
      <c r="TBN390" s="22"/>
      <c r="TBO390" s="22"/>
      <c r="TBP390" s="22"/>
      <c r="TBQ390" s="22"/>
      <c r="TBR390" s="22"/>
      <c r="TBS390" s="22"/>
      <c r="TBT390" s="22"/>
      <c r="TBU390" s="22"/>
      <c r="TBV390" s="22"/>
      <c r="TBW390" s="22"/>
      <c r="TBX390" s="22"/>
      <c r="TBY390" s="22"/>
      <c r="TBZ390" s="22"/>
      <c r="TCA390" s="22"/>
      <c r="TCB390" s="22"/>
      <c r="TCC390" s="22"/>
      <c r="TCD390" s="22"/>
      <c r="TCE390" s="22"/>
      <c r="TCF390" s="22"/>
      <c r="TCG390" s="22"/>
      <c r="TCH390" s="22"/>
      <c r="TCI390" s="22"/>
      <c r="TCJ390" s="22"/>
      <c r="TCK390" s="22"/>
      <c r="TCL390" s="22"/>
      <c r="TCM390" s="22"/>
      <c r="TCN390" s="22"/>
      <c r="TCO390" s="22"/>
      <c r="TCP390" s="22"/>
      <c r="TCQ390" s="22"/>
      <c r="TCR390" s="22"/>
      <c r="TCS390" s="22"/>
      <c r="TCT390" s="22"/>
      <c r="TCU390" s="22"/>
      <c r="TCV390" s="22"/>
      <c r="TCW390" s="22"/>
      <c r="TCX390" s="22"/>
      <c r="TCY390" s="22"/>
      <c r="TCZ390" s="22"/>
      <c r="TDA390" s="22"/>
      <c r="TDB390" s="22"/>
      <c r="TDC390" s="22"/>
      <c r="TDD390" s="22"/>
      <c r="TDE390" s="22"/>
      <c r="TDF390" s="22"/>
      <c r="TDG390" s="22"/>
      <c r="TDH390" s="22"/>
      <c r="TDI390" s="22"/>
      <c r="TDJ390" s="22"/>
      <c r="TDK390" s="22"/>
      <c r="TDL390" s="22"/>
      <c r="TDM390" s="22"/>
      <c r="TDN390" s="22"/>
      <c r="TDO390" s="22"/>
      <c r="TDP390" s="22"/>
      <c r="TDQ390" s="22"/>
      <c r="TDR390" s="22"/>
      <c r="TDS390" s="22"/>
      <c r="TDT390" s="22"/>
      <c r="TDU390" s="22"/>
      <c r="TDV390" s="22"/>
      <c r="TDW390" s="22"/>
      <c r="TDX390" s="22"/>
      <c r="TDY390" s="22"/>
      <c r="TDZ390" s="22"/>
      <c r="TEA390" s="22"/>
      <c r="TEB390" s="22"/>
      <c r="TEC390" s="22"/>
      <c r="TED390" s="22"/>
      <c r="TEE390" s="22"/>
      <c r="TEF390" s="22"/>
      <c r="TEG390" s="22"/>
      <c r="TEH390" s="22"/>
      <c r="TEI390" s="22"/>
      <c r="TEJ390" s="22"/>
      <c r="TEK390" s="22"/>
      <c r="TEL390" s="22"/>
      <c r="TEM390" s="22"/>
      <c r="TEN390" s="22"/>
      <c r="TEO390" s="22"/>
      <c r="TEP390" s="22"/>
      <c r="TEQ390" s="22"/>
      <c r="TER390" s="22"/>
      <c r="TES390" s="22"/>
      <c r="TET390" s="22"/>
      <c r="TEU390" s="22"/>
      <c r="TEV390" s="22"/>
      <c r="TEW390" s="22"/>
      <c r="TEX390" s="22"/>
      <c r="TEY390" s="22"/>
      <c r="TEZ390" s="22"/>
      <c r="TFA390" s="22"/>
      <c r="TFB390" s="22"/>
      <c r="TFC390" s="22"/>
      <c r="TFD390" s="22"/>
      <c r="TFE390" s="22"/>
      <c r="TFF390" s="22"/>
      <c r="TFG390" s="22"/>
      <c r="TFH390" s="22"/>
      <c r="TFI390" s="22"/>
      <c r="TFJ390" s="22"/>
      <c r="TFK390" s="22"/>
      <c r="TFL390" s="22"/>
      <c r="TFM390" s="22"/>
      <c r="TFN390" s="22"/>
      <c r="TFO390" s="22"/>
      <c r="TFP390" s="22"/>
      <c r="TFQ390" s="22"/>
      <c r="TFR390" s="22"/>
      <c r="TFS390" s="22"/>
      <c r="TFT390" s="22"/>
      <c r="TFU390" s="22"/>
      <c r="TFV390" s="22"/>
      <c r="TFW390" s="22"/>
      <c r="TFX390" s="22"/>
      <c r="TFY390" s="22"/>
      <c r="TFZ390" s="22"/>
      <c r="TGA390" s="22"/>
      <c r="TGB390" s="22"/>
      <c r="TGC390" s="22"/>
      <c r="TGD390" s="22"/>
      <c r="TGE390" s="22"/>
      <c r="TGF390" s="22"/>
      <c r="TGG390" s="22"/>
      <c r="TGH390" s="22"/>
      <c r="TGI390" s="22"/>
      <c r="TGJ390" s="22"/>
      <c r="TGK390" s="22"/>
      <c r="TGL390" s="22"/>
      <c r="TGM390" s="22"/>
      <c r="TGN390" s="22"/>
      <c r="TGO390" s="22"/>
      <c r="TGP390" s="22"/>
      <c r="TGQ390" s="22"/>
      <c r="TGR390" s="22"/>
      <c r="TGS390" s="22"/>
      <c r="TGT390" s="22"/>
      <c r="TGU390" s="22"/>
      <c r="TGV390" s="22"/>
      <c r="TGW390" s="22"/>
      <c r="TGX390" s="22"/>
      <c r="TGY390" s="22"/>
      <c r="TGZ390" s="22"/>
      <c r="THA390" s="22"/>
      <c r="THB390" s="22"/>
      <c r="THC390" s="22"/>
      <c r="THD390" s="22"/>
      <c r="THE390" s="22"/>
      <c r="THF390" s="22"/>
      <c r="THG390" s="22"/>
      <c r="THH390" s="22"/>
      <c r="THI390" s="22"/>
      <c r="THJ390" s="22"/>
      <c r="THK390" s="22"/>
      <c r="THL390" s="22"/>
      <c r="THM390" s="22"/>
      <c r="THN390" s="22"/>
      <c r="THO390" s="22"/>
      <c r="THP390" s="22"/>
      <c r="THQ390" s="22"/>
      <c r="THR390" s="22"/>
      <c r="THS390" s="22"/>
      <c r="THT390" s="22"/>
      <c r="THU390" s="22"/>
      <c r="THV390" s="22"/>
      <c r="THW390" s="22"/>
      <c r="THX390" s="22"/>
      <c r="THY390" s="22"/>
      <c r="THZ390" s="22"/>
      <c r="TIA390" s="22"/>
      <c r="TIB390" s="22"/>
      <c r="TIC390" s="22"/>
      <c r="TID390" s="22"/>
      <c r="TIE390" s="22"/>
      <c r="TIF390" s="22"/>
      <c r="TIG390" s="22"/>
      <c r="TIH390" s="22"/>
      <c r="TII390" s="22"/>
      <c r="TIJ390" s="22"/>
      <c r="TIK390" s="22"/>
      <c r="TIL390" s="22"/>
      <c r="TIM390" s="22"/>
      <c r="TIN390" s="22"/>
      <c r="TIO390" s="22"/>
      <c r="TIP390" s="22"/>
      <c r="TIQ390" s="22"/>
      <c r="TIR390" s="22"/>
      <c r="TIS390" s="22"/>
      <c r="TIT390" s="22"/>
      <c r="TIU390" s="22"/>
      <c r="TIV390" s="22"/>
      <c r="TIW390" s="22"/>
      <c r="TIX390" s="22"/>
      <c r="TIY390" s="22"/>
      <c r="TIZ390" s="22"/>
      <c r="TJA390" s="22"/>
      <c r="TJB390" s="22"/>
      <c r="TJC390" s="22"/>
      <c r="TJD390" s="22"/>
      <c r="TJE390" s="22"/>
      <c r="TJF390" s="22"/>
      <c r="TJG390" s="22"/>
      <c r="TJH390" s="22"/>
      <c r="TJI390" s="22"/>
      <c r="TJJ390" s="22"/>
      <c r="TJK390" s="22"/>
      <c r="TJL390" s="22"/>
      <c r="TJM390" s="22"/>
      <c r="TJN390" s="22"/>
      <c r="TJO390" s="22"/>
      <c r="TJP390" s="22"/>
      <c r="TJQ390" s="22"/>
      <c r="TJR390" s="22"/>
      <c r="TJS390" s="22"/>
      <c r="TJT390" s="22"/>
      <c r="TJU390" s="22"/>
      <c r="TJV390" s="22"/>
      <c r="TJW390" s="22"/>
      <c r="TJX390" s="22"/>
      <c r="TJY390" s="22"/>
      <c r="TJZ390" s="22"/>
      <c r="TKA390" s="22"/>
      <c r="TKB390" s="22"/>
      <c r="TKC390" s="22"/>
      <c r="TKD390" s="22"/>
      <c r="TKE390" s="22"/>
      <c r="TKF390" s="22"/>
      <c r="TKG390" s="22"/>
      <c r="TKH390" s="22"/>
      <c r="TKI390" s="22"/>
      <c r="TKJ390" s="22"/>
      <c r="TKK390" s="22"/>
      <c r="TKL390" s="22"/>
      <c r="TKM390" s="22"/>
      <c r="TKN390" s="22"/>
      <c r="TKO390" s="22"/>
      <c r="TKP390" s="22"/>
      <c r="TKQ390" s="22"/>
      <c r="TKR390" s="22"/>
      <c r="TKS390" s="22"/>
      <c r="TKT390" s="22"/>
      <c r="TKU390" s="22"/>
      <c r="TKV390" s="22"/>
      <c r="TKW390" s="22"/>
      <c r="TKX390" s="22"/>
      <c r="TKY390" s="22"/>
      <c r="TKZ390" s="22"/>
      <c r="TLA390" s="22"/>
      <c r="TLB390" s="22"/>
      <c r="TLC390" s="22"/>
      <c r="TLD390" s="22"/>
      <c r="TLE390" s="22"/>
      <c r="TLF390" s="22"/>
      <c r="TLG390" s="22"/>
      <c r="TLH390" s="22"/>
      <c r="TLI390" s="22"/>
      <c r="TLJ390" s="22"/>
      <c r="TLK390" s="22"/>
      <c r="TLL390" s="22"/>
      <c r="TLM390" s="22"/>
      <c r="TLN390" s="22"/>
      <c r="TLO390" s="22"/>
      <c r="TLP390" s="22"/>
      <c r="TLQ390" s="22"/>
      <c r="TLR390" s="22"/>
      <c r="TLS390" s="22"/>
      <c r="TLT390" s="22"/>
      <c r="TLU390" s="22"/>
      <c r="TLV390" s="22"/>
      <c r="TLW390" s="22"/>
      <c r="TLX390" s="22"/>
      <c r="TLY390" s="22"/>
      <c r="TLZ390" s="22"/>
      <c r="TMA390" s="22"/>
      <c r="TMB390" s="22"/>
      <c r="TMC390" s="22"/>
      <c r="TMD390" s="22"/>
      <c r="TME390" s="22"/>
      <c r="TMF390" s="22"/>
      <c r="TMG390" s="22"/>
      <c r="TMH390" s="22"/>
      <c r="TMI390" s="22"/>
      <c r="TMJ390" s="22"/>
      <c r="TMK390" s="22"/>
      <c r="TML390" s="22"/>
      <c r="TMM390" s="22"/>
      <c r="TMN390" s="22"/>
      <c r="TMO390" s="22"/>
      <c r="TMP390" s="22"/>
      <c r="TMQ390" s="22"/>
      <c r="TMR390" s="22"/>
      <c r="TMS390" s="22"/>
      <c r="TMT390" s="22"/>
      <c r="TMU390" s="22"/>
      <c r="TMV390" s="22"/>
      <c r="TMW390" s="22"/>
      <c r="TMX390" s="22"/>
      <c r="TMY390" s="22"/>
      <c r="TMZ390" s="22"/>
      <c r="TNA390" s="22"/>
      <c r="TNB390" s="22"/>
      <c r="TNC390" s="22"/>
      <c r="TND390" s="22"/>
      <c r="TNE390" s="22"/>
      <c r="TNF390" s="22"/>
      <c r="TNG390" s="22"/>
      <c r="TNH390" s="22"/>
      <c r="TNI390" s="22"/>
      <c r="TNJ390" s="22"/>
      <c r="TNK390" s="22"/>
      <c r="TNL390" s="22"/>
      <c r="TNM390" s="22"/>
      <c r="TNN390" s="22"/>
      <c r="TNO390" s="22"/>
      <c r="TNP390" s="22"/>
      <c r="TNQ390" s="22"/>
      <c r="TNR390" s="22"/>
      <c r="TNS390" s="22"/>
      <c r="TNT390" s="22"/>
      <c r="TNU390" s="22"/>
      <c r="TNV390" s="22"/>
      <c r="TNW390" s="22"/>
      <c r="TNX390" s="22"/>
      <c r="TNY390" s="22"/>
      <c r="TNZ390" s="22"/>
      <c r="TOA390" s="22"/>
      <c r="TOB390" s="22"/>
      <c r="TOC390" s="22"/>
      <c r="TOD390" s="22"/>
      <c r="TOE390" s="22"/>
      <c r="TOF390" s="22"/>
      <c r="TOG390" s="22"/>
      <c r="TOH390" s="22"/>
      <c r="TOI390" s="22"/>
      <c r="TOJ390" s="22"/>
      <c r="TOK390" s="22"/>
      <c r="TOL390" s="22"/>
      <c r="TOM390" s="22"/>
      <c r="TON390" s="22"/>
      <c r="TOO390" s="22"/>
      <c r="TOP390" s="22"/>
      <c r="TOQ390" s="22"/>
      <c r="TOR390" s="22"/>
      <c r="TOS390" s="22"/>
      <c r="TOT390" s="22"/>
      <c r="TOU390" s="22"/>
      <c r="TOV390" s="22"/>
      <c r="TOW390" s="22"/>
      <c r="TOX390" s="22"/>
      <c r="TOY390" s="22"/>
      <c r="TOZ390" s="22"/>
      <c r="TPA390" s="22"/>
      <c r="TPB390" s="22"/>
      <c r="TPC390" s="22"/>
      <c r="TPD390" s="22"/>
      <c r="TPE390" s="22"/>
      <c r="TPF390" s="22"/>
      <c r="TPG390" s="22"/>
      <c r="TPH390" s="22"/>
      <c r="TPI390" s="22"/>
      <c r="TPJ390" s="22"/>
      <c r="TPK390" s="22"/>
      <c r="TPL390" s="22"/>
      <c r="TPM390" s="22"/>
      <c r="TPN390" s="22"/>
      <c r="TPO390" s="22"/>
      <c r="TPP390" s="22"/>
      <c r="TPQ390" s="22"/>
      <c r="TPR390" s="22"/>
      <c r="TPS390" s="22"/>
      <c r="TPT390" s="22"/>
      <c r="TPU390" s="22"/>
      <c r="TPV390" s="22"/>
      <c r="TPW390" s="22"/>
      <c r="TPX390" s="22"/>
      <c r="TPY390" s="22"/>
      <c r="TPZ390" s="22"/>
      <c r="TQA390" s="22"/>
      <c r="TQB390" s="22"/>
      <c r="TQC390" s="22"/>
      <c r="TQD390" s="22"/>
      <c r="TQE390" s="22"/>
      <c r="TQF390" s="22"/>
      <c r="TQG390" s="22"/>
      <c r="TQH390" s="22"/>
      <c r="TQI390" s="22"/>
      <c r="TQJ390" s="22"/>
      <c r="TQK390" s="22"/>
      <c r="TQL390" s="22"/>
      <c r="TQM390" s="22"/>
      <c r="TQN390" s="22"/>
      <c r="TQO390" s="22"/>
      <c r="TQP390" s="22"/>
      <c r="TQQ390" s="22"/>
      <c r="TQR390" s="22"/>
      <c r="TQS390" s="22"/>
      <c r="TQT390" s="22"/>
      <c r="TQU390" s="22"/>
      <c r="TQV390" s="22"/>
      <c r="TQW390" s="22"/>
      <c r="TQX390" s="22"/>
      <c r="TQY390" s="22"/>
      <c r="TQZ390" s="22"/>
      <c r="TRA390" s="22"/>
      <c r="TRB390" s="22"/>
      <c r="TRC390" s="22"/>
      <c r="TRD390" s="22"/>
      <c r="TRE390" s="22"/>
      <c r="TRF390" s="22"/>
      <c r="TRG390" s="22"/>
      <c r="TRH390" s="22"/>
      <c r="TRI390" s="22"/>
      <c r="TRJ390" s="22"/>
      <c r="TRK390" s="22"/>
      <c r="TRL390" s="22"/>
      <c r="TRM390" s="22"/>
      <c r="TRN390" s="22"/>
      <c r="TRO390" s="22"/>
      <c r="TRP390" s="22"/>
      <c r="TRQ390" s="22"/>
      <c r="TRR390" s="22"/>
      <c r="TRS390" s="22"/>
      <c r="TRT390" s="22"/>
      <c r="TRU390" s="22"/>
      <c r="TRV390" s="22"/>
      <c r="TRW390" s="22"/>
      <c r="TRX390" s="22"/>
      <c r="TRY390" s="22"/>
      <c r="TRZ390" s="22"/>
      <c r="TSA390" s="22"/>
      <c r="TSB390" s="22"/>
      <c r="TSC390" s="22"/>
      <c r="TSD390" s="22"/>
      <c r="TSE390" s="22"/>
      <c r="TSF390" s="22"/>
      <c r="TSG390" s="22"/>
      <c r="TSH390" s="22"/>
      <c r="TSI390" s="22"/>
      <c r="TSJ390" s="22"/>
      <c r="TSK390" s="22"/>
      <c r="TSL390" s="22"/>
      <c r="TSM390" s="22"/>
      <c r="TSN390" s="22"/>
      <c r="TSO390" s="22"/>
      <c r="TSP390" s="22"/>
      <c r="TSQ390" s="22"/>
      <c r="TSR390" s="22"/>
      <c r="TSS390" s="22"/>
      <c r="TST390" s="22"/>
      <c r="TSU390" s="22"/>
      <c r="TSV390" s="22"/>
      <c r="TSW390" s="22"/>
      <c r="TSX390" s="22"/>
      <c r="TSY390" s="22"/>
      <c r="TSZ390" s="22"/>
      <c r="TTA390" s="22"/>
      <c r="TTB390" s="22"/>
      <c r="TTC390" s="22"/>
      <c r="TTD390" s="22"/>
      <c r="TTE390" s="22"/>
      <c r="TTF390" s="22"/>
      <c r="TTG390" s="22"/>
      <c r="TTH390" s="22"/>
      <c r="TTI390" s="22"/>
      <c r="TTJ390" s="22"/>
      <c r="TTK390" s="22"/>
      <c r="TTL390" s="22"/>
      <c r="TTM390" s="22"/>
      <c r="TTN390" s="22"/>
      <c r="TTO390" s="22"/>
      <c r="TTP390" s="22"/>
      <c r="TTQ390" s="22"/>
      <c r="TTR390" s="22"/>
      <c r="TTS390" s="22"/>
      <c r="TTT390" s="22"/>
      <c r="TTU390" s="22"/>
      <c r="TTV390" s="22"/>
      <c r="TTW390" s="22"/>
      <c r="TTX390" s="22"/>
      <c r="TTY390" s="22"/>
      <c r="TTZ390" s="22"/>
      <c r="TUA390" s="22"/>
      <c r="TUB390" s="22"/>
      <c r="TUC390" s="22"/>
      <c r="TUD390" s="22"/>
      <c r="TUE390" s="22"/>
      <c r="TUF390" s="22"/>
      <c r="TUG390" s="22"/>
      <c r="TUH390" s="22"/>
      <c r="TUI390" s="22"/>
      <c r="TUJ390" s="22"/>
      <c r="TUK390" s="22"/>
      <c r="TUL390" s="22"/>
      <c r="TUM390" s="22"/>
      <c r="TUN390" s="22"/>
      <c r="TUO390" s="22"/>
      <c r="TUP390" s="22"/>
      <c r="TUQ390" s="22"/>
      <c r="TUR390" s="22"/>
      <c r="TUS390" s="22"/>
      <c r="TUT390" s="22"/>
      <c r="TUU390" s="22"/>
      <c r="TUV390" s="22"/>
      <c r="TUW390" s="22"/>
      <c r="TUX390" s="22"/>
      <c r="TUY390" s="22"/>
      <c r="TUZ390" s="22"/>
      <c r="TVA390" s="22"/>
      <c r="TVB390" s="22"/>
      <c r="TVC390" s="22"/>
      <c r="TVD390" s="22"/>
      <c r="TVE390" s="22"/>
      <c r="TVF390" s="22"/>
      <c r="TVG390" s="22"/>
      <c r="TVH390" s="22"/>
      <c r="TVI390" s="22"/>
      <c r="TVJ390" s="22"/>
      <c r="TVK390" s="22"/>
      <c r="TVL390" s="22"/>
      <c r="TVM390" s="22"/>
      <c r="TVN390" s="22"/>
      <c r="TVO390" s="22"/>
      <c r="TVP390" s="22"/>
      <c r="TVQ390" s="22"/>
      <c r="TVR390" s="22"/>
      <c r="TVS390" s="22"/>
      <c r="TVT390" s="22"/>
      <c r="TVU390" s="22"/>
      <c r="TVV390" s="22"/>
      <c r="TVW390" s="22"/>
      <c r="TVX390" s="22"/>
      <c r="TVY390" s="22"/>
      <c r="TVZ390" s="22"/>
      <c r="TWA390" s="22"/>
      <c r="TWB390" s="22"/>
      <c r="TWC390" s="22"/>
      <c r="TWD390" s="22"/>
      <c r="TWE390" s="22"/>
      <c r="TWF390" s="22"/>
      <c r="TWG390" s="22"/>
      <c r="TWH390" s="22"/>
      <c r="TWI390" s="22"/>
      <c r="TWJ390" s="22"/>
      <c r="TWK390" s="22"/>
      <c r="TWL390" s="22"/>
      <c r="TWM390" s="22"/>
      <c r="TWN390" s="22"/>
      <c r="TWO390" s="22"/>
      <c r="TWP390" s="22"/>
      <c r="TWQ390" s="22"/>
      <c r="TWR390" s="22"/>
      <c r="TWS390" s="22"/>
      <c r="TWT390" s="22"/>
      <c r="TWU390" s="22"/>
      <c r="TWV390" s="22"/>
      <c r="TWW390" s="22"/>
      <c r="TWX390" s="22"/>
      <c r="TWY390" s="22"/>
      <c r="TWZ390" s="22"/>
      <c r="TXA390" s="22"/>
      <c r="TXB390" s="22"/>
      <c r="TXC390" s="22"/>
      <c r="TXD390" s="22"/>
      <c r="TXE390" s="22"/>
      <c r="TXF390" s="22"/>
      <c r="TXG390" s="22"/>
      <c r="TXH390" s="22"/>
      <c r="TXI390" s="22"/>
      <c r="TXJ390" s="22"/>
      <c r="TXK390" s="22"/>
      <c r="TXL390" s="22"/>
      <c r="TXM390" s="22"/>
      <c r="TXN390" s="22"/>
      <c r="TXO390" s="22"/>
      <c r="TXP390" s="22"/>
      <c r="TXQ390" s="22"/>
      <c r="TXR390" s="22"/>
      <c r="TXS390" s="22"/>
      <c r="TXT390" s="22"/>
      <c r="TXU390" s="22"/>
      <c r="TXV390" s="22"/>
      <c r="TXW390" s="22"/>
      <c r="TXX390" s="22"/>
      <c r="TXY390" s="22"/>
      <c r="TXZ390" s="22"/>
      <c r="TYA390" s="22"/>
      <c r="TYB390" s="22"/>
      <c r="TYC390" s="22"/>
      <c r="TYD390" s="22"/>
      <c r="TYE390" s="22"/>
      <c r="TYF390" s="22"/>
      <c r="TYG390" s="22"/>
      <c r="TYH390" s="22"/>
      <c r="TYI390" s="22"/>
      <c r="TYJ390" s="22"/>
      <c r="TYK390" s="22"/>
      <c r="TYL390" s="22"/>
      <c r="TYM390" s="22"/>
      <c r="TYN390" s="22"/>
      <c r="TYO390" s="22"/>
      <c r="TYP390" s="22"/>
      <c r="TYQ390" s="22"/>
      <c r="TYR390" s="22"/>
      <c r="TYS390" s="22"/>
      <c r="TYT390" s="22"/>
      <c r="TYU390" s="22"/>
      <c r="TYV390" s="22"/>
      <c r="TYW390" s="22"/>
      <c r="TYX390" s="22"/>
      <c r="TYY390" s="22"/>
      <c r="TYZ390" s="22"/>
      <c r="TZA390" s="22"/>
      <c r="TZB390" s="22"/>
      <c r="TZC390" s="22"/>
      <c r="TZD390" s="22"/>
      <c r="TZE390" s="22"/>
      <c r="TZF390" s="22"/>
      <c r="TZG390" s="22"/>
      <c r="TZH390" s="22"/>
      <c r="TZI390" s="22"/>
      <c r="TZJ390" s="22"/>
      <c r="TZK390" s="22"/>
      <c r="TZL390" s="22"/>
      <c r="TZM390" s="22"/>
      <c r="TZN390" s="22"/>
      <c r="TZO390" s="22"/>
      <c r="TZP390" s="22"/>
      <c r="TZQ390" s="22"/>
      <c r="TZR390" s="22"/>
      <c r="TZS390" s="22"/>
      <c r="TZT390" s="22"/>
      <c r="TZU390" s="22"/>
      <c r="TZV390" s="22"/>
      <c r="TZW390" s="22"/>
      <c r="TZX390" s="22"/>
      <c r="TZY390" s="22"/>
      <c r="TZZ390" s="22"/>
      <c r="UAA390" s="22"/>
      <c r="UAB390" s="22"/>
      <c r="UAC390" s="22"/>
      <c r="UAD390" s="22"/>
      <c r="UAE390" s="22"/>
      <c r="UAF390" s="22"/>
      <c r="UAG390" s="22"/>
      <c r="UAH390" s="22"/>
      <c r="UAI390" s="22"/>
      <c r="UAJ390" s="22"/>
      <c r="UAK390" s="22"/>
      <c r="UAL390" s="22"/>
      <c r="UAM390" s="22"/>
      <c r="UAN390" s="22"/>
      <c r="UAO390" s="22"/>
      <c r="UAP390" s="22"/>
      <c r="UAQ390" s="22"/>
      <c r="UAR390" s="22"/>
      <c r="UAS390" s="22"/>
      <c r="UAT390" s="22"/>
      <c r="UAU390" s="22"/>
      <c r="UAV390" s="22"/>
      <c r="UAW390" s="22"/>
      <c r="UAX390" s="22"/>
      <c r="UAY390" s="22"/>
      <c r="UAZ390" s="22"/>
      <c r="UBA390" s="22"/>
      <c r="UBB390" s="22"/>
      <c r="UBC390" s="22"/>
      <c r="UBD390" s="22"/>
      <c r="UBE390" s="22"/>
      <c r="UBF390" s="22"/>
      <c r="UBG390" s="22"/>
      <c r="UBH390" s="22"/>
      <c r="UBI390" s="22"/>
      <c r="UBJ390" s="22"/>
      <c r="UBK390" s="22"/>
      <c r="UBL390" s="22"/>
      <c r="UBM390" s="22"/>
      <c r="UBN390" s="22"/>
      <c r="UBO390" s="22"/>
      <c r="UBP390" s="22"/>
      <c r="UBQ390" s="22"/>
      <c r="UBR390" s="22"/>
      <c r="UBS390" s="22"/>
      <c r="UBT390" s="22"/>
      <c r="UBU390" s="22"/>
      <c r="UBV390" s="22"/>
      <c r="UBW390" s="22"/>
      <c r="UBX390" s="22"/>
      <c r="UBY390" s="22"/>
      <c r="UBZ390" s="22"/>
      <c r="UCA390" s="22"/>
      <c r="UCB390" s="22"/>
      <c r="UCC390" s="22"/>
      <c r="UCD390" s="22"/>
      <c r="UCE390" s="22"/>
      <c r="UCF390" s="22"/>
      <c r="UCG390" s="22"/>
      <c r="UCH390" s="22"/>
      <c r="UCI390" s="22"/>
      <c r="UCJ390" s="22"/>
      <c r="UCK390" s="22"/>
      <c r="UCL390" s="22"/>
      <c r="UCM390" s="22"/>
      <c r="UCN390" s="22"/>
      <c r="UCO390" s="22"/>
      <c r="UCP390" s="22"/>
      <c r="UCQ390" s="22"/>
      <c r="UCR390" s="22"/>
      <c r="UCS390" s="22"/>
      <c r="UCT390" s="22"/>
      <c r="UCU390" s="22"/>
      <c r="UCV390" s="22"/>
      <c r="UCW390" s="22"/>
      <c r="UCX390" s="22"/>
      <c r="UCY390" s="22"/>
      <c r="UCZ390" s="22"/>
      <c r="UDA390" s="22"/>
      <c r="UDB390" s="22"/>
      <c r="UDC390" s="22"/>
      <c r="UDD390" s="22"/>
      <c r="UDE390" s="22"/>
      <c r="UDF390" s="22"/>
      <c r="UDG390" s="22"/>
      <c r="UDH390" s="22"/>
      <c r="UDI390" s="22"/>
      <c r="UDJ390" s="22"/>
      <c r="UDK390" s="22"/>
      <c r="UDL390" s="22"/>
      <c r="UDM390" s="22"/>
      <c r="UDN390" s="22"/>
      <c r="UDO390" s="22"/>
      <c r="UDP390" s="22"/>
      <c r="UDQ390" s="22"/>
      <c r="UDR390" s="22"/>
      <c r="UDS390" s="22"/>
      <c r="UDT390" s="22"/>
      <c r="UDU390" s="22"/>
      <c r="UDV390" s="22"/>
      <c r="UDW390" s="22"/>
      <c r="UDX390" s="22"/>
      <c r="UDY390" s="22"/>
      <c r="UDZ390" s="22"/>
      <c r="UEA390" s="22"/>
      <c r="UEB390" s="22"/>
      <c r="UEC390" s="22"/>
      <c r="UED390" s="22"/>
      <c r="UEE390" s="22"/>
      <c r="UEF390" s="22"/>
      <c r="UEG390" s="22"/>
      <c r="UEH390" s="22"/>
      <c r="UEI390" s="22"/>
      <c r="UEJ390" s="22"/>
      <c r="UEK390" s="22"/>
      <c r="UEL390" s="22"/>
      <c r="UEM390" s="22"/>
      <c r="UEN390" s="22"/>
      <c r="UEO390" s="22"/>
      <c r="UEP390" s="22"/>
      <c r="UEQ390" s="22"/>
      <c r="UER390" s="22"/>
      <c r="UES390" s="22"/>
      <c r="UET390" s="22"/>
      <c r="UEU390" s="22"/>
      <c r="UEV390" s="22"/>
      <c r="UEW390" s="22"/>
      <c r="UEX390" s="22"/>
      <c r="UEY390" s="22"/>
      <c r="UEZ390" s="22"/>
      <c r="UFA390" s="22"/>
      <c r="UFB390" s="22"/>
      <c r="UFC390" s="22"/>
      <c r="UFD390" s="22"/>
      <c r="UFE390" s="22"/>
      <c r="UFF390" s="22"/>
      <c r="UFG390" s="22"/>
      <c r="UFH390" s="22"/>
      <c r="UFI390" s="22"/>
      <c r="UFJ390" s="22"/>
      <c r="UFK390" s="22"/>
      <c r="UFL390" s="22"/>
      <c r="UFM390" s="22"/>
      <c r="UFN390" s="22"/>
      <c r="UFO390" s="22"/>
      <c r="UFP390" s="22"/>
      <c r="UFQ390" s="22"/>
      <c r="UFR390" s="22"/>
      <c r="UFS390" s="22"/>
      <c r="UFT390" s="22"/>
      <c r="UFU390" s="22"/>
      <c r="UFV390" s="22"/>
      <c r="UFW390" s="22"/>
      <c r="UFX390" s="22"/>
      <c r="UFY390" s="22"/>
      <c r="UFZ390" s="22"/>
      <c r="UGA390" s="22"/>
      <c r="UGB390" s="22"/>
      <c r="UGC390" s="22"/>
      <c r="UGD390" s="22"/>
      <c r="UGE390" s="22"/>
      <c r="UGF390" s="22"/>
      <c r="UGG390" s="22"/>
      <c r="UGH390" s="22"/>
      <c r="UGI390" s="22"/>
      <c r="UGJ390" s="22"/>
      <c r="UGK390" s="22"/>
      <c r="UGL390" s="22"/>
      <c r="UGM390" s="22"/>
      <c r="UGN390" s="22"/>
      <c r="UGO390" s="22"/>
      <c r="UGP390" s="22"/>
      <c r="UGQ390" s="22"/>
      <c r="UGR390" s="22"/>
      <c r="UGS390" s="22"/>
      <c r="UGT390" s="22"/>
      <c r="UGU390" s="22"/>
      <c r="UGV390" s="22"/>
      <c r="UGW390" s="22"/>
      <c r="UGX390" s="22"/>
      <c r="UGY390" s="22"/>
      <c r="UGZ390" s="22"/>
      <c r="UHA390" s="22"/>
      <c r="UHB390" s="22"/>
      <c r="UHC390" s="22"/>
      <c r="UHD390" s="22"/>
      <c r="UHE390" s="22"/>
      <c r="UHF390" s="22"/>
      <c r="UHG390" s="22"/>
      <c r="UHH390" s="22"/>
      <c r="UHI390" s="22"/>
      <c r="UHJ390" s="22"/>
      <c r="UHK390" s="22"/>
      <c r="UHL390" s="22"/>
      <c r="UHM390" s="22"/>
      <c r="UHN390" s="22"/>
      <c r="UHO390" s="22"/>
      <c r="UHP390" s="22"/>
      <c r="UHQ390" s="22"/>
      <c r="UHR390" s="22"/>
      <c r="UHS390" s="22"/>
      <c r="UHT390" s="22"/>
      <c r="UHU390" s="22"/>
      <c r="UHV390" s="22"/>
      <c r="UHW390" s="22"/>
      <c r="UHX390" s="22"/>
      <c r="UHY390" s="22"/>
      <c r="UHZ390" s="22"/>
      <c r="UIA390" s="22"/>
      <c r="UIB390" s="22"/>
      <c r="UIC390" s="22"/>
      <c r="UID390" s="22"/>
      <c r="UIE390" s="22"/>
      <c r="UIF390" s="22"/>
      <c r="UIG390" s="22"/>
      <c r="UIH390" s="22"/>
      <c r="UII390" s="22"/>
      <c r="UIJ390" s="22"/>
      <c r="UIK390" s="22"/>
      <c r="UIL390" s="22"/>
      <c r="UIM390" s="22"/>
      <c r="UIN390" s="22"/>
      <c r="UIO390" s="22"/>
      <c r="UIP390" s="22"/>
      <c r="UIQ390" s="22"/>
      <c r="UIR390" s="22"/>
      <c r="UIS390" s="22"/>
      <c r="UIT390" s="22"/>
      <c r="UIU390" s="22"/>
      <c r="UIV390" s="22"/>
      <c r="UIW390" s="22"/>
      <c r="UIX390" s="22"/>
      <c r="UIY390" s="22"/>
      <c r="UIZ390" s="22"/>
      <c r="UJA390" s="22"/>
      <c r="UJB390" s="22"/>
      <c r="UJC390" s="22"/>
      <c r="UJD390" s="22"/>
      <c r="UJE390" s="22"/>
      <c r="UJF390" s="22"/>
      <c r="UJG390" s="22"/>
      <c r="UJH390" s="22"/>
      <c r="UJI390" s="22"/>
      <c r="UJJ390" s="22"/>
      <c r="UJK390" s="22"/>
      <c r="UJL390" s="22"/>
      <c r="UJM390" s="22"/>
      <c r="UJN390" s="22"/>
      <c r="UJO390" s="22"/>
      <c r="UJP390" s="22"/>
      <c r="UJQ390" s="22"/>
      <c r="UJR390" s="22"/>
      <c r="UJS390" s="22"/>
      <c r="UJT390" s="22"/>
      <c r="UJU390" s="22"/>
      <c r="UJV390" s="22"/>
      <c r="UJW390" s="22"/>
      <c r="UJX390" s="22"/>
      <c r="UJY390" s="22"/>
      <c r="UJZ390" s="22"/>
      <c r="UKA390" s="22"/>
      <c r="UKB390" s="22"/>
      <c r="UKC390" s="22"/>
      <c r="UKD390" s="22"/>
      <c r="UKE390" s="22"/>
      <c r="UKF390" s="22"/>
      <c r="UKG390" s="22"/>
      <c r="UKH390" s="22"/>
      <c r="UKI390" s="22"/>
      <c r="UKJ390" s="22"/>
      <c r="UKK390" s="22"/>
      <c r="UKL390" s="22"/>
      <c r="UKM390" s="22"/>
      <c r="UKN390" s="22"/>
      <c r="UKO390" s="22"/>
      <c r="UKP390" s="22"/>
      <c r="UKQ390" s="22"/>
      <c r="UKR390" s="22"/>
      <c r="UKS390" s="22"/>
      <c r="UKT390" s="22"/>
      <c r="UKU390" s="22"/>
      <c r="UKV390" s="22"/>
      <c r="UKW390" s="22"/>
      <c r="UKX390" s="22"/>
      <c r="UKY390" s="22"/>
      <c r="UKZ390" s="22"/>
      <c r="ULA390" s="22"/>
      <c r="ULB390" s="22"/>
      <c r="ULC390" s="22"/>
      <c r="ULD390" s="22"/>
      <c r="ULE390" s="22"/>
      <c r="ULF390" s="22"/>
      <c r="ULG390" s="22"/>
      <c r="ULH390" s="22"/>
      <c r="ULI390" s="22"/>
      <c r="ULJ390" s="22"/>
      <c r="ULK390" s="22"/>
      <c r="ULL390" s="22"/>
      <c r="ULM390" s="22"/>
      <c r="ULN390" s="22"/>
      <c r="ULO390" s="22"/>
      <c r="ULP390" s="22"/>
      <c r="ULQ390" s="22"/>
      <c r="ULR390" s="22"/>
      <c r="ULS390" s="22"/>
      <c r="ULT390" s="22"/>
      <c r="ULU390" s="22"/>
      <c r="ULV390" s="22"/>
      <c r="ULW390" s="22"/>
      <c r="ULX390" s="22"/>
      <c r="ULY390" s="22"/>
      <c r="ULZ390" s="22"/>
      <c r="UMA390" s="22"/>
      <c r="UMB390" s="22"/>
      <c r="UMC390" s="22"/>
      <c r="UMD390" s="22"/>
      <c r="UME390" s="22"/>
      <c r="UMF390" s="22"/>
      <c r="UMG390" s="22"/>
      <c r="UMH390" s="22"/>
      <c r="UMI390" s="22"/>
      <c r="UMJ390" s="22"/>
      <c r="UMK390" s="22"/>
      <c r="UML390" s="22"/>
      <c r="UMM390" s="22"/>
      <c r="UMN390" s="22"/>
      <c r="UMO390" s="22"/>
      <c r="UMP390" s="22"/>
      <c r="UMQ390" s="22"/>
      <c r="UMR390" s="22"/>
      <c r="UMS390" s="22"/>
      <c r="UMT390" s="22"/>
      <c r="UMU390" s="22"/>
      <c r="UMV390" s="22"/>
      <c r="UMW390" s="22"/>
      <c r="UMX390" s="22"/>
      <c r="UMY390" s="22"/>
      <c r="UMZ390" s="22"/>
      <c r="UNA390" s="22"/>
      <c r="UNB390" s="22"/>
      <c r="UNC390" s="22"/>
      <c r="UND390" s="22"/>
      <c r="UNE390" s="22"/>
      <c r="UNF390" s="22"/>
      <c r="UNG390" s="22"/>
      <c r="UNH390" s="22"/>
      <c r="UNI390" s="22"/>
      <c r="UNJ390" s="22"/>
      <c r="UNK390" s="22"/>
      <c r="UNL390" s="22"/>
      <c r="UNM390" s="22"/>
      <c r="UNN390" s="22"/>
      <c r="UNO390" s="22"/>
      <c r="UNP390" s="22"/>
      <c r="UNQ390" s="22"/>
      <c r="UNR390" s="22"/>
      <c r="UNS390" s="22"/>
      <c r="UNT390" s="22"/>
      <c r="UNU390" s="22"/>
      <c r="UNV390" s="22"/>
      <c r="UNW390" s="22"/>
      <c r="UNX390" s="22"/>
      <c r="UNY390" s="22"/>
      <c r="UNZ390" s="22"/>
      <c r="UOA390" s="22"/>
      <c r="UOB390" s="22"/>
      <c r="UOC390" s="22"/>
      <c r="UOD390" s="22"/>
      <c r="UOE390" s="22"/>
      <c r="UOF390" s="22"/>
      <c r="UOG390" s="22"/>
      <c r="UOH390" s="22"/>
      <c r="UOI390" s="22"/>
      <c r="UOJ390" s="22"/>
      <c r="UOK390" s="22"/>
      <c r="UOL390" s="22"/>
      <c r="UOM390" s="22"/>
      <c r="UON390" s="22"/>
      <c r="UOO390" s="22"/>
      <c r="UOP390" s="22"/>
      <c r="UOQ390" s="22"/>
      <c r="UOR390" s="22"/>
      <c r="UOS390" s="22"/>
      <c r="UOT390" s="22"/>
      <c r="UOU390" s="22"/>
      <c r="UOV390" s="22"/>
      <c r="UOW390" s="22"/>
      <c r="UOX390" s="22"/>
      <c r="UOY390" s="22"/>
      <c r="UOZ390" s="22"/>
      <c r="UPA390" s="22"/>
      <c r="UPB390" s="22"/>
      <c r="UPC390" s="22"/>
      <c r="UPD390" s="22"/>
      <c r="UPE390" s="22"/>
      <c r="UPF390" s="22"/>
      <c r="UPG390" s="22"/>
      <c r="UPH390" s="22"/>
      <c r="UPI390" s="22"/>
      <c r="UPJ390" s="22"/>
      <c r="UPK390" s="22"/>
      <c r="UPL390" s="22"/>
      <c r="UPM390" s="22"/>
      <c r="UPN390" s="22"/>
      <c r="UPO390" s="22"/>
      <c r="UPP390" s="22"/>
      <c r="UPQ390" s="22"/>
      <c r="UPR390" s="22"/>
      <c r="UPS390" s="22"/>
      <c r="UPT390" s="22"/>
      <c r="UPU390" s="22"/>
      <c r="UPV390" s="22"/>
      <c r="UPW390" s="22"/>
      <c r="UPX390" s="22"/>
      <c r="UPY390" s="22"/>
      <c r="UPZ390" s="22"/>
      <c r="UQA390" s="22"/>
      <c r="UQB390" s="22"/>
      <c r="UQC390" s="22"/>
      <c r="UQD390" s="22"/>
      <c r="UQE390" s="22"/>
      <c r="UQF390" s="22"/>
      <c r="UQG390" s="22"/>
      <c r="UQH390" s="22"/>
      <c r="UQI390" s="22"/>
      <c r="UQJ390" s="22"/>
      <c r="UQK390" s="22"/>
      <c r="UQL390" s="22"/>
      <c r="UQM390" s="22"/>
      <c r="UQN390" s="22"/>
      <c r="UQO390" s="22"/>
      <c r="UQP390" s="22"/>
      <c r="UQQ390" s="22"/>
      <c r="UQR390" s="22"/>
      <c r="UQS390" s="22"/>
      <c r="UQT390" s="22"/>
      <c r="UQU390" s="22"/>
      <c r="UQV390" s="22"/>
      <c r="UQW390" s="22"/>
      <c r="UQX390" s="22"/>
      <c r="UQY390" s="22"/>
      <c r="UQZ390" s="22"/>
      <c r="URA390" s="22"/>
      <c r="URB390" s="22"/>
      <c r="URC390" s="22"/>
      <c r="URD390" s="22"/>
      <c r="URE390" s="22"/>
      <c r="URF390" s="22"/>
      <c r="URG390" s="22"/>
      <c r="URH390" s="22"/>
      <c r="URI390" s="22"/>
      <c r="URJ390" s="22"/>
      <c r="URK390" s="22"/>
      <c r="URL390" s="22"/>
      <c r="URM390" s="22"/>
      <c r="URN390" s="22"/>
      <c r="URO390" s="22"/>
      <c r="URP390" s="22"/>
      <c r="URQ390" s="22"/>
      <c r="URR390" s="22"/>
      <c r="URS390" s="22"/>
      <c r="URT390" s="22"/>
      <c r="URU390" s="22"/>
      <c r="URV390" s="22"/>
      <c r="URW390" s="22"/>
      <c r="URX390" s="22"/>
      <c r="URY390" s="22"/>
      <c r="URZ390" s="22"/>
      <c r="USA390" s="22"/>
      <c r="USB390" s="22"/>
      <c r="USC390" s="22"/>
      <c r="USD390" s="22"/>
      <c r="USE390" s="22"/>
      <c r="USF390" s="22"/>
      <c r="USG390" s="22"/>
      <c r="USH390" s="22"/>
      <c r="USI390" s="22"/>
      <c r="USJ390" s="22"/>
      <c r="USK390" s="22"/>
      <c r="USL390" s="22"/>
      <c r="USM390" s="22"/>
      <c r="USN390" s="22"/>
      <c r="USO390" s="22"/>
      <c r="USP390" s="22"/>
      <c r="USQ390" s="22"/>
      <c r="USR390" s="22"/>
      <c r="USS390" s="22"/>
      <c r="UST390" s="22"/>
      <c r="USU390" s="22"/>
      <c r="USV390" s="22"/>
      <c r="USW390" s="22"/>
      <c r="USX390" s="22"/>
      <c r="USY390" s="22"/>
      <c r="USZ390" s="22"/>
      <c r="UTA390" s="22"/>
      <c r="UTB390" s="22"/>
      <c r="UTC390" s="22"/>
      <c r="UTD390" s="22"/>
      <c r="UTE390" s="22"/>
      <c r="UTF390" s="22"/>
      <c r="UTG390" s="22"/>
      <c r="UTH390" s="22"/>
      <c r="UTI390" s="22"/>
      <c r="UTJ390" s="22"/>
      <c r="UTK390" s="22"/>
      <c r="UTL390" s="22"/>
      <c r="UTM390" s="22"/>
      <c r="UTN390" s="22"/>
      <c r="UTO390" s="22"/>
      <c r="UTP390" s="22"/>
      <c r="UTQ390" s="22"/>
      <c r="UTR390" s="22"/>
      <c r="UTS390" s="22"/>
      <c r="UTT390" s="22"/>
      <c r="UTU390" s="22"/>
      <c r="UTV390" s="22"/>
      <c r="UTW390" s="22"/>
      <c r="UTX390" s="22"/>
      <c r="UTY390" s="22"/>
      <c r="UTZ390" s="22"/>
      <c r="UUA390" s="22"/>
      <c r="UUB390" s="22"/>
      <c r="UUC390" s="22"/>
      <c r="UUD390" s="22"/>
      <c r="UUE390" s="22"/>
      <c r="UUF390" s="22"/>
      <c r="UUG390" s="22"/>
      <c r="UUH390" s="22"/>
      <c r="UUI390" s="22"/>
      <c r="UUJ390" s="22"/>
      <c r="UUK390" s="22"/>
      <c r="UUL390" s="22"/>
      <c r="UUM390" s="22"/>
      <c r="UUN390" s="22"/>
      <c r="UUO390" s="22"/>
      <c r="UUP390" s="22"/>
      <c r="UUQ390" s="22"/>
      <c r="UUR390" s="22"/>
      <c r="UUS390" s="22"/>
      <c r="UUT390" s="22"/>
      <c r="UUU390" s="22"/>
      <c r="UUV390" s="22"/>
      <c r="UUW390" s="22"/>
      <c r="UUX390" s="22"/>
      <c r="UUY390" s="22"/>
      <c r="UUZ390" s="22"/>
      <c r="UVA390" s="22"/>
      <c r="UVB390" s="22"/>
      <c r="UVC390" s="22"/>
      <c r="UVD390" s="22"/>
      <c r="UVE390" s="22"/>
      <c r="UVF390" s="22"/>
      <c r="UVG390" s="22"/>
      <c r="UVH390" s="22"/>
      <c r="UVI390" s="22"/>
      <c r="UVJ390" s="22"/>
      <c r="UVK390" s="22"/>
      <c r="UVL390" s="22"/>
      <c r="UVM390" s="22"/>
      <c r="UVN390" s="22"/>
      <c r="UVO390" s="22"/>
      <c r="UVP390" s="22"/>
      <c r="UVQ390" s="22"/>
      <c r="UVR390" s="22"/>
      <c r="UVS390" s="22"/>
      <c r="UVT390" s="22"/>
      <c r="UVU390" s="22"/>
      <c r="UVV390" s="22"/>
      <c r="UVW390" s="22"/>
      <c r="UVX390" s="22"/>
      <c r="UVY390" s="22"/>
      <c r="UVZ390" s="22"/>
      <c r="UWA390" s="22"/>
      <c r="UWB390" s="22"/>
      <c r="UWC390" s="22"/>
      <c r="UWD390" s="22"/>
      <c r="UWE390" s="22"/>
      <c r="UWF390" s="22"/>
      <c r="UWG390" s="22"/>
      <c r="UWH390" s="22"/>
      <c r="UWI390" s="22"/>
      <c r="UWJ390" s="22"/>
      <c r="UWK390" s="22"/>
      <c r="UWL390" s="22"/>
      <c r="UWM390" s="22"/>
      <c r="UWN390" s="22"/>
      <c r="UWO390" s="22"/>
      <c r="UWP390" s="22"/>
      <c r="UWQ390" s="22"/>
      <c r="UWR390" s="22"/>
      <c r="UWS390" s="22"/>
      <c r="UWT390" s="22"/>
      <c r="UWU390" s="22"/>
      <c r="UWV390" s="22"/>
      <c r="UWW390" s="22"/>
      <c r="UWX390" s="22"/>
      <c r="UWY390" s="22"/>
      <c r="UWZ390" s="22"/>
      <c r="UXA390" s="22"/>
      <c r="UXB390" s="22"/>
      <c r="UXC390" s="22"/>
      <c r="UXD390" s="22"/>
      <c r="UXE390" s="22"/>
      <c r="UXF390" s="22"/>
      <c r="UXG390" s="22"/>
      <c r="UXH390" s="22"/>
      <c r="UXI390" s="22"/>
      <c r="UXJ390" s="22"/>
      <c r="UXK390" s="22"/>
      <c r="UXL390" s="22"/>
      <c r="UXM390" s="22"/>
      <c r="UXN390" s="22"/>
      <c r="UXO390" s="22"/>
      <c r="UXP390" s="22"/>
      <c r="UXQ390" s="22"/>
      <c r="UXR390" s="22"/>
      <c r="UXS390" s="22"/>
      <c r="UXT390" s="22"/>
      <c r="UXU390" s="22"/>
      <c r="UXV390" s="22"/>
      <c r="UXW390" s="22"/>
      <c r="UXX390" s="22"/>
      <c r="UXY390" s="22"/>
      <c r="UXZ390" s="22"/>
      <c r="UYA390" s="22"/>
      <c r="UYB390" s="22"/>
      <c r="UYC390" s="22"/>
      <c r="UYD390" s="22"/>
      <c r="UYE390" s="22"/>
      <c r="UYF390" s="22"/>
      <c r="UYG390" s="22"/>
      <c r="UYH390" s="22"/>
      <c r="UYI390" s="22"/>
      <c r="UYJ390" s="22"/>
      <c r="UYK390" s="22"/>
      <c r="UYL390" s="22"/>
      <c r="UYM390" s="22"/>
      <c r="UYN390" s="22"/>
      <c r="UYO390" s="22"/>
      <c r="UYP390" s="22"/>
      <c r="UYQ390" s="22"/>
      <c r="UYR390" s="22"/>
      <c r="UYS390" s="22"/>
      <c r="UYT390" s="22"/>
      <c r="UYU390" s="22"/>
      <c r="UYV390" s="22"/>
      <c r="UYW390" s="22"/>
      <c r="UYX390" s="22"/>
      <c r="UYY390" s="22"/>
      <c r="UYZ390" s="22"/>
      <c r="UZA390" s="22"/>
      <c r="UZB390" s="22"/>
      <c r="UZC390" s="22"/>
      <c r="UZD390" s="22"/>
      <c r="UZE390" s="22"/>
      <c r="UZF390" s="22"/>
      <c r="UZG390" s="22"/>
      <c r="UZH390" s="22"/>
      <c r="UZI390" s="22"/>
      <c r="UZJ390" s="22"/>
      <c r="UZK390" s="22"/>
      <c r="UZL390" s="22"/>
      <c r="UZM390" s="22"/>
      <c r="UZN390" s="22"/>
      <c r="UZO390" s="22"/>
      <c r="UZP390" s="22"/>
      <c r="UZQ390" s="22"/>
      <c r="UZR390" s="22"/>
      <c r="UZS390" s="22"/>
      <c r="UZT390" s="22"/>
      <c r="UZU390" s="22"/>
      <c r="UZV390" s="22"/>
      <c r="UZW390" s="22"/>
      <c r="UZX390" s="22"/>
      <c r="UZY390" s="22"/>
      <c r="UZZ390" s="22"/>
      <c r="VAA390" s="22"/>
      <c r="VAB390" s="22"/>
      <c r="VAC390" s="22"/>
      <c r="VAD390" s="22"/>
      <c r="VAE390" s="22"/>
      <c r="VAF390" s="22"/>
      <c r="VAG390" s="22"/>
      <c r="VAH390" s="22"/>
      <c r="VAI390" s="22"/>
      <c r="VAJ390" s="22"/>
      <c r="VAK390" s="22"/>
      <c r="VAL390" s="22"/>
      <c r="VAM390" s="22"/>
      <c r="VAN390" s="22"/>
      <c r="VAO390" s="22"/>
      <c r="VAP390" s="22"/>
      <c r="VAQ390" s="22"/>
      <c r="VAR390" s="22"/>
      <c r="VAS390" s="22"/>
      <c r="VAT390" s="22"/>
      <c r="VAU390" s="22"/>
      <c r="VAV390" s="22"/>
      <c r="VAW390" s="22"/>
      <c r="VAX390" s="22"/>
      <c r="VAY390" s="22"/>
      <c r="VAZ390" s="22"/>
      <c r="VBA390" s="22"/>
      <c r="VBB390" s="22"/>
      <c r="VBC390" s="22"/>
      <c r="VBD390" s="22"/>
      <c r="VBE390" s="22"/>
      <c r="VBF390" s="22"/>
      <c r="VBG390" s="22"/>
      <c r="VBH390" s="22"/>
      <c r="VBI390" s="22"/>
      <c r="VBJ390" s="22"/>
      <c r="VBK390" s="22"/>
      <c r="VBL390" s="22"/>
      <c r="VBM390" s="22"/>
      <c r="VBN390" s="22"/>
      <c r="VBO390" s="22"/>
      <c r="VBP390" s="22"/>
      <c r="VBQ390" s="22"/>
      <c r="VBR390" s="22"/>
      <c r="VBS390" s="22"/>
      <c r="VBT390" s="22"/>
      <c r="VBU390" s="22"/>
      <c r="VBV390" s="22"/>
      <c r="VBW390" s="22"/>
      <c r="VBX390" s="22"/>
      <c r="VBY390" s="22"/>
      <c r="VBZ390" s="22"/>
      <c r="VCA390" s="22"/>
      <c r="VCB390" s="22"/>
      <c r="VCC390" s="22"/>
      <c r="VCD390" s="22"/>
      <c r="VCE390" s="22"/>
      <c r="VCF390" s="22"/>
      <c r="VCG390" s="22"/>
      <c r="VCH390" s="22"/>
      <c r="VCI390" s="22"/>
      <c r="VCJ390" s="22"/>
      <c r="VCK390" s="22"/>
      <c r="VCL390" s="22"/>
      <c r="VCM390" s="22"/>
      <c r="VCN390" s="22"/>
      <c r="VCO390" s="22"/>
      <c r="VCP390" s="22"/>
      <c r="VCQ390" s="22"/>
      <c r="VCR390" s="22"/>
      <c r="VCS390" s="22"/>
      <c r="VCT390" s="22"/>
      <c r="VCU390" s="22"/>
      <c r="VCV390" s="22"/>
      <c r="VCW390" s="22"/>
      <c r="VCX390" s="22"/>
      <c r="VCY390" s="22"/>
      <c r="VCZ390" s="22"/>
      <c r="VDA390" s="22"/>
      <c r="VDB390" s="22"/>
      <c r="VDC390" s="22"/>
      <c r="VDD390" s="22"/>
      <c r="VDE390" s="22"/>
      <c r="VDF390" s="22"/>
      <c r="VDG390" s="22"/>
      <c r="VDH390" s="22"/>
      <c r="VDI390" s="22"/>
      <c r="VDJ390" s="22"/>
      <c r="VDK390" s="22"/>
      <c r="VDL390" s="22"/>
      <c r="VDM390" s="22"/>
      <c r="VDN390" s="22"/>
      <c r="VDO390" s="22"/>
      <c r="VDP390" s="22"/>
      <c r="VDQ390" s="22"/>
      <c r="VDR390" s="22"/>
      <c r="VDS390" s="22"/>
      <c r="VDT390" s="22"/>
      <c r="VDU390" s="22"/>
      <c r="VDV390" s="22"/>
      <c r="VDW390" s="22"/>
      <c r="VDX390" s="22"/>
      <c r="VDY390" s="22"/>
      <c r="VDZ390" s="22"/>
      <c r="VEA390" s="22"/>
      <c r="VEB390" s="22"/>
      <c r="VEC390" s="22"/>
      <c r="VED390" s="22"/>
      <c r="VEE390" s="22"/>
      <c r="VEF390" s="22"/>
      <c r="VEG390" s="22"/>
      <c r="VEH390" s="22"/>
      <c r="VEI390" s="22"/>
      <c r="VEJ390" s="22"/>
      <c r="VEK390" s="22"/>
      <c r="VEL390" s="22"/>
      <c r="VEM390" s="22"/>
      <c r="VEN390" s="22"/>
      <c r="VEO390" s="22"/>
      <c r="VEP390" s="22"/>
      <c r="VEQ390" s="22"/>
      <c r="VER390" s="22"/>
      <c r="VES390" s="22"/>
      <c r="VET390" s="22"/>
      <c r="VEU390" s="22"/>
      <c r="VEV390" s="22"/>
      <c r="VEW390" s="22"/>
      <c r="VEX390" s="22"/>
      <c r="VEY390" s="22"/>
      <c r="VEZ390" s="22"/>
      <c r="VFA390" s="22"/>
      <c r="VFB390" s="22"/>
      <c r="VFC390" s="22"/>
      <c r="VFD390" s="22"/>
      <c r="VFE390" s="22"/>
      <c r="VFF390" s="22"/>
      <c r="VFG390" s="22"/>
      <c r="VFH390" s="22"/>
      <c r="VFI390" s="22"/>
      <c r="VFJ390" s="22"/>
      <c r="VFK390" s="22"/>
      <c r="VFL390" s="22"/>
      <c r="VFM390" s="22"/>
      <c r="VFN390" s="22"/>
      <c r="VFO390" s="22"/>
      <c r="VFP390" s="22"/>
      <c r="VFQ390" s="22"/>
      <c r="VFR390" s="22"/>
      <c r="VFS390" s="22"/>
      <c r="VFT390" s="22"/>
      <c r="VFU390" s="22"/>
      <c r="VFV390" s="22"/>
      <c r="VFW390" s="22"/>
      <c r="VFX390" s="22"/>
      <c r="VFY390" s="22"/>
      <c r="VFZ390" s="22"/>
      <c r="VGA390" s="22"/>
      <c r="VGB390" s="22"/>
      <c r="VGC390" s="22"/>
      <c r="VGD390" s="22"/>
      <c r="VGE390" s="22"/>
      <c r="VGF390" s="22"/>
      <c r="VGG390" s="22"/>
      <c r="VGH390" s="22"/>
      <c r="VGI390" s="22"/>
      <c r="VGJ390" s="22"/>
      <c r="VGK390" s="22"/>
      <c r="VGL390" s="22"/>
      <c r="VGM390" s="22"/>
      <c r="VGN390" s="22"/>
      <c r="VGO390" s="22"/>
      <c r="VGP390" s="22"/>
      <c r="VGQ390" s="22"/>
      <c r="VGR390" s="22"/>
      <c r="VGS390" s="22"/>
      <c r="VGT390" s="22"/>
      <c r="VGU390" s="22"/>
      <c r="VGV390" s="22"/>
      <c r="VGW390" s="22"/>
      <c r="VGX390" s="22"/>
      <c r="VGY390" s="22"/>
      <c r="VGZ390" s="22"/>
      <c r="VHA390" s="22"/>
      <c r="VHB390" s="22"/>
      <c r="VHC390" s="22"/>
      <c r="VHD390" s="22"/>
      <c r="VHE390" s="22"/>
      <c r="VHF390" s="22"/>
      <c r="VHG390" s="22"/>
      <c r="VHH390" s="22"/>
      <c r="VHI390" s="22"/>
      <c r="VHJ390" s="22"/>
      <c r="VHK390" s="22"/>
      <c r="VHL390" s="22"/>
      <c r="VHM390" s="22"/>
      <c r="VHN390" s="22"/>
      <c r="VHO390" s="22"/>
      <c r="VHP390" s="22"/>
      <c r="VHQ390" s="22"/>
      <c r="VHR390" s="22"/>
      <c r="VHS390" s="22"/>
      <c r="VHT390" s="22"/>
      <c r="VHU390" s="22"/>
      <c r="VHV390" s="22"/>
      <c r="VHW390" s="22"/>
      <c r="VHX390" s="22"/>
      <c r="VHY390" s="22"/>
      <c r="VHZ390" s="22"/>
      <c r="VIA390" s="22"/>
      <c r="VIB390" s="22"/>
      <c r="VIC390" s="22"/>
      <c r="VID390" s="22"/>
      <c r="VIE390" s="22"/>
      <c r="VIF390" s="22"/>
      <c r="VIG390" s="22"/>
      <c r="VIH390" s="22"/>
      <c r="VII390" s="22"/>
      <c r="VIJ390" s="22"/>
      <c r="VIK390" s="22"/>
      <c r="VIL390" s="22"/>
      <c r="VIM390" s="22"/>
      <c r="VIN390" s="22"/>
      <c r="VIO390" s="22"/>
      <c r="VIP390" s="22"/>
      <c r="VIQ390" s="22"/>
      <c r="VIR390" s="22"/>
      <c r="VIS390" s="22"/>
      <c r="VIT390" s="22"/>
      <c r="VIU390" s="22"/>
      <c r="VIV390" s="22"/>
      <c r="VIW390" s="22"/>
      <c r="VIX390" s="22"/>
      <c r="VIY390" s="22"/>
      <c r="VIZ390" s="22"/>
      <c r="VJA390" s="22"/>
      <c r="VJB390" s="22"/>
      <c r="VJC390" s="22"/>
      <c r="VJD390" s="22"/>
      <c r="VJE390" s="22"/>
      <c r="VJF390" s="22"/>
      <c r="VJG390" s="22"/>
      <c r="VJH390" s="22"/>
      <c r="VJI390" s="22"/>
      <c r="VJJ390" s="22"/>
      <c r="VJK390" s="22"/>
      <c r="VJL390" s="22"/>
      <c r="VJM390" s="22"/>
      <c r="VJN390" s="22"/>
      <c r="VJO390" s="22"/>
      <c r="VJP390" s="22"/>
      <c r="VJQ390" s="22"/>
      <c r="VJR390" s="22"/>
      <c r="VJS390" s="22"/>
      <c r="VJT390" s="22"/>
      <c r="VJU390" s="22"/>
      <c r="VJV390" s="22"/>
      <c r="VJW390" s="22"/>
      <c r="VJX390" s="22"/>
      <c r="VJY390" s="22"/>
      <c r="VJZ390" s="22"/>
      <c r="VKA390" s="22"/>
      <c r="VKB390" s="22"/>
      <c r="VKC390" s="22"/>
      <c r="VKD390" s="22"/>
      <c r="VKE390" s="22"/>
      <c r="VKF390" s="22"/>
      <c r="VKG390" s="22"/>
      <c r="VKH390" s="22"/>
      <c r="VKI390" s="22"/>
      <c r="VKJ390" s="22"/>
      <c r="VKK390" s="22"/>
      <c r="VKL390" s="22"/>
      <c r="VKM390" s="22"/>
      <c r="VKN390" s="22"/>
      <c r="VKO390" s="22"/>
      <c r="VKP390" s="22"/>
      <c r="VKQ390" s="22"/>
      <c r="VKR390" s="22"/>
      <c r="VKS390" s="22"/>
      <c r="VKT390" s="22"/>
      <c r="VKU390" s="22"/>
      <c r="VKV390" s="22"/>
      <c r="VKW390" s="22"/>
      <c r="VKX390" s="22"/>
      <c r="VKY390" s="22"/>
      <c r="VKZ390" s="22"/>
      <c r="VLA390" s="22"/>
      <c r="VLB390" s="22"/>
      <c r="VLC390" s="22"/>
      <c r="VLD390" s="22"/>
      <c r="VLE390" s="22"/>
      <c r="VLF390" s="22"/>
      <c r="VLG390" s="22"/>
      <c r="VLH390" s="22"/>
      <c r="VLI390" s="22"/>
      <c r="VLJ390" s="22"/>
      <c r="VLK390" s="22"/>
      <c r="VLL390" s="22"/>
      <c r="VLM390" s="22"/>
      <c r="VLN390" s="22"/>
      <c r="VLO390" s="22"/>
      <c r="VLP390" s="22"/>
      <c r="VLQ390" s="22"/>
      <c r="VLR390" s="22"/>
      <c r="VLS390" s="22"/>
      <c r="VLT390" s="22"/>
      <c r="VLU390" s="22"/>
      <c r="VLV390" s="22"/>
      <c r="VLW390" s="22"/>
      <c r="VLX390" s="22"/>
      <c r="VLY390" s="22"/>
      <c r="VLZ390" s="22"/>
      <c r="VMA390" s="22"/>
      <c r="VMB390" s="22"/>
      <c r="VMC390" s="22"/>
      <c r="VMD390" s="22"/>
      <c r="VME390" s="22"/>
      <c r="VMF390" s="22"/>
      <c r="VMG390" s="22"/>
      <c r="VMH390" s="22"/>
      <c r="VMI390" s="22"/>
      <c r="VMJ390" s="22"/>
      <c r="VMK390" s="22"/>
      <c r="VML390" s="22"/>
      <c r="VMM390" s="22"/>
      <c r="VMN390" s="22"/>
      <c r="VMO390" s="22"/>
      <c r="VMP390" s="22"/>
      <c r="VMQ390" s="22"/>
      <c r="VMR390" s="22"/>
      <c r="VMS390" s="22"/>
      <c r="VMT390" s="22"/>
      <c r="VMU390" s="22"/>
      <c r="VMV390" s="22"/>
      <c r="VMW390" s="22"/>
      <c r="VMX390" s="22"/>
      <c r="VMY390" s="22"/>
      <c r="VMZ390" s="22"/>
      <c r="VNA390" s="22"/>
      <c r="VNB390" s="22"/>
      <c r="VNC390" s="22"/>
      <c r="VND390" s="22"/>
      <c r="VNE390" s="22"/>
      <c r="VNF390" s="22"/>
      <c r="VNG390" s="22"/>
      <c r="VNH390" s="22"/>
      <c r="VNI390" s="22"/>
      <c r="VNJ390" s="22"/>
      <c r="VNK390" s="22"/>
      <c r="VNL390" s="22"/>
      <c r="VNM390" s="22"/>
      <c r="VNN390" s="22"/>
      <c r="VNO390" s="22"/>
      <c r="VNP390" s="22"/>
      <c r="VNQ390" s="22"/>
      <c r="VNR390" s="22"/>
      <c r="VNS390" s="22"/>
      <c r="VNT390" s="22"/>
      <c r="VNU390" s="22"/>
      <c r="VNV390" s="22"/>
      <c r="VNW390" s="22"/>
      <c r="VNX390" s="22"/>
      <c r="VNY390" s="22"/>
      <c r="VNZ390" s="22"/>
      <c r="VOA390" s="22"/>
      <c r="VOB390" s="22"/>
      <c r="VOC390" s="22"/>
      <c r="VOD390" s="22"/>
      <c r="VOE390" s="22"/>
      <c r="VOF390" s="22"/>
      <c r="VOG390" s="22"/>
      <c r="VOH390" s="22"/>
      <c r="VOI390" s="22"/>
      <c r="VOJ390" s="22"/>
      <c r="VOK390" s="22"/>
      <c r="VOL390" s="22"/>
      <c r="VOM390" s="22"/>
      <c r="VON390" s="22"/>
      <c r="VOO390" s="22"/>
      <c r="VOP390" s="22"/>
      <c r="VOQ390" s="22"/>
      <c r="VOR390" s="22"/>
      <c r="VOS390" s="22"/>
      <c r="VOT390" s="22"/>
      <c r="VOU390" s="22"/>
      <c r="VOV390" s="22"/>
      <c r="VOW390" s="22"/>
      <c r="VOX390" s="22"/>
      <c r="VOY390" s="22"/>
      <c r="VOZ390" s="22"/>
      <c r="VPA390" s="22"/>
      <c r="VPB390" s="22"/>
      <c r="VPC390" s="22"/>
      <c r="VPD390" s="22"/>
      <c r="VPE390" s="22"/>
      <c r="VPF390" s="22"/>
      <c r="VPG390" s="22"/>
      <c r="VPH390" s="22"/>
      <c r="VPI390" s="22"/>
      <c r="VPJ390" s="22"/>
      <c r="VPK390" s="22"/>
      <c r="VPL390" s="22"/>
      <c r="VPM390" s="22"/>
      <c r="VPN390" s="22"/>
      <c r="VPO390" s="22"/>
      <c r="VPP390" s="22"/>
      <c r="VPQ390" s="22"/>
      <c r="VPR390" s="22"/>
      <c r="VPS390" s="22"/>
      <c r="VPT390" s="22"/>
      <c r="VPU390" s="22"/>
      <c r="VPV390" s="22"/>
      <c r="VPW390" s="22"/>
      <c r="VPX390" s="22"/>
      <c r="VPY390" s="22"/>
      <c r="VPZ390" s="22"/>
      <c r="VQA390" s="22"/>
      <c r="VQB390" s="22"/>
      <c r="VQC390" s="22"/>
      <c r="VQD390" s="22"/>
      <c r="VQE390" s="22"/>
      <c r="VQF390" s="22"/>
      <c r="VQG390" s="22"/>
      <c r="VQH390" s="22"/>
      <c r="VQI390" s="22"/>
      <c r="VQJ390" s="22"/>
      <c r="VQK390" s="22"/>
      <c r="VQL390" s="22"/>
      <c r="VQM390" s="22"/>
      <c r="VQN390" s="22"/>
      <c r="VQO390" s="22"/>
      <c r="VQP390" s="22"/>
      <c r="VQQ390" s="22"/>
      <c r="VQR390" s="22"/>
      <c r="VQS390" s="22"/>
      <c r="VQT390" s="22"/>
      <c r="VQU390" s="22"/>
      <c r="VQV390" s="22"/>
      <c r="VQW390" s="22"/>
      <c r="VQX390" s="22"/>
      <c r="VQY390" s="22"/>
      <c r="VQZ390" s="22"/>
      <c r="VRA390" s="22"/>
      <c r="VRB390" s="22"/>
      <c r="VRC390" s="22"/>
      <c r="VRD390" s="22"/>
      <c r="VRE390" s="22"/>
      <c r="VRF390" s="22"/>
      <c r="VRG390" s="22"/>
      <c r="VRH390" s="22"/>
      <c r="VRI390" s="22"/>
      <c r="VRJ390" s="22"/>
      <c r="VRK390" s="22"/>
      <c r="VRL390" s="22"/>
      <c r="VRM390" s="22"/>
      <c r="VRN390" s="22"/>
      <c r="VRO390" s="22"/>
      <c r="VRP390" s="22"/>
      <c r="VRQ390" s="22"/>
      <c r="VRR390" s="22"/>
      <c r="VRS390" s="22"/>
      <c r="VRT390" s="22"/>
      <c r="VRU390" s="22"/>
      <c r="VRV390" s="22"/>
      <c r="VRW390" s="22"/>
      <c r="VRX390" s="22"/>
      <c r="VRY390" s="22"/>
      <c r="VRZ390" s="22"/>
      <c r="VSA390" s="22"/>
      <c r="VSB390" s="22"/>
      <c r="VSC390" s="22"/>
      <c r="VSD390" s="22"/>
      <c r="VSE390" s="22"/>
      <c r="VSF390" s="22"/>
      <c r="VSG390" s="22"/>
      <c r="VSH390" s="22"/>
      <c r="VSI390" s="22"/>
      <c r="VSJ390" s="22"/>
      <c r="VSK390" s="22"/>
      <c r="VSL390" s="22"/>
      <c r="VSM390" s="22"/>
      <c r="VSN390" s="22"/>
      <c r="VSO390" s="22"/>
      <c r="VSP390" s="22"/>
      <c r="VSQ390" s="22"/>
      <c r="VSR390" s="22"/>
      <c r="VSS390" s="22"/>
      <c r="VST390" s="22"/>
      <c r="VSU390" s="22"/>
      <c r="VSV390" s="22"/>
      <c r="VSW390" s="22"/>
      <c r="VSX390" s="22"/>
      <c r="VSY390" s="22"/>
      <c r="VSZ390" s="22"/>
      <c r="VTA390" s="22"/>
      <c r="VTB390" s="22"/>
      <c r="VTC390" s="22"/>
      <c r="VTD390" s="22"/>
      <c r="VTE390" s="22"/>
      <c r="VTF390" s="22"/>
      <c r="VTG390" s="22"/>
      <c r="VTH390" s="22"/>
      <c r="VTI390" s="22"/>
      <c r="VTJ390" s="22"/>
      <c r="VTK390" s="22"/>
      <c r="VTL390" s="22"/>
      <c r="VTM390" s="22"/>
      <c r="VTN390" s="22"/>
      <c r="VTO390" s="22"/>
      <c r="VTP390" s="22"/>
      <c r="VTQ390" s="22"/>
      <c r="VTR390" s="22"/>
      <c r="VTS390" s="22"/>
      <c r="VTT390" s="22"/>
      <c r="VTU390" s="22"/>
      <c r="VTV390" s="22"/>
      <c r="VTW390" s="22"/>
      <c r="VTX390" s="22"/>
      <c r="VTY390" s="22"/>
      <c r="VTZ390" s="22"/>
      <c r="VUA390" s="22"/>
      <c r="VUB390" s="22"/>
      <c r="VUC390" s="22"/>
      <c r="VUD390" s="22"/>
      <c r="VUE390" s="22"/>
      <c r="VUF390" s="22"/>
      <c r="VUG390" s="22"/>
      <c r="VUH390" s="22"/>
      <c r="VUI390" s="22"/>
      <c r="VUJ390" s="22"/>
      <c r="VUK390" s="22"/>
      <c r="VUL390" s="22"/>
      <c r="VUM390" s="22"/>
      <c r="VUN390" s="22"/>
      <c r="VUO390" s="22"/>
      <c r="VUP390" s="22"/>
      <c r="VUQ390" s="22"/>
      <c r="VUR390" s="22"/>
      <c r="VUS390" s="22"/>
      <c r="VUT390" s="22"/>
      <c r="VUU390" s="22"/>
      <c r="VUV390" s="22"/>
      <c r="VUW390" s="22"/>
      <c r="VUX390" s="22"/>
      <c r="VUY390" s="22"/>
      <c r="VUZ390" s="22"/>
      <c r="VVA390" s="22"/>
      <c r="VVB390" s="22"/>
      <c r="VVC390" s="22"/>
      <c r="VVD390" s="22"/>
      <c r="VVE390" s="22"/>
      <c r="VVF390" s="22"/>
      <c r="VVG390" s="22"/>
      <c r="VVH390" s="22"/>
      <c r="VVI390" s="22"/>
      <c r="VVJ390" s="22"/>
      <c r="VVK390" s="22"/>
      <c r="VVL390" s="22"/>
      <c r="VVM390" s="22"/>
      <c r="VVN390" s="22"/>
      <c r="VVO390" s="22"/>
      <c r="VVP390" s="22"/>
      <c r="VVQ390" s="22"/>
      <c r="VVR390" s="22"/>
      <c r="VVS390" s="22"/>
      <c r="VVT390" s="22"/>
      <c r="VVU390" s="22"/>
      <c r="VVV390" s="22"/>
      <c r="VVW390" s="22"/>
      <c r="VVX390" s="22"/>
      <c r="VVY390" s="22"/>
      <c r="VVZ390" s="22"/>
      <c r="VWA390" s="22"/>
      <c r="VWB390" s="22"/>
      <c r="VWC390" s="22"/>
      <c r="VWD390" s="22"/>
      <c r="VWE390" s="22"/>
      <c r="VWF390" s="22"/>
      <c r="VWG390" s="22"/>
      <c r="VWH390" s="22"/>
      <c r="VWI390" s="22"/>
      <c r="VWJ390" s="22"/>
      <c r="VWK390" s="22"/>
      <c r="VWL390" s="22"/>
      <c r="VWM390" s="22"/>
      <c r="VWN390" s="22"/>
      <c r="VWO390" s="22"/>
      <c r="VWP390" s="22"/>
      <c r="VWQ390" s="22"/>
      <c r="VWR390" s="22"/>
      <c r="VWS390" s="22"/>
      <c r="VWT390" s="22"/>
      <c r="VWU390" s="22"/>
      <c r="VWV390" s="22"/>
      <c r="VWW390" s="22"/>
      <c r="VWX390" s="22"/>
      <c r="VWY390" s="22"/>
      <c r="VWZ390" s="22"/>
      <c r="VXA390" s="22"/>
      <c r="VXB390" s="22"/>
      <c r="VXC390" s="22"/>
      <c r="VXD390" s="22"/>
      <c r="VXE390" s="22"/>
      <c r="VXF390" s="22"/>
      <c r="VXG390" s="22"/>
      <c r="VXH390" s="22"/>
      <c r="VXI390" s="22"/>
      <c r="VXJ390" s="22"/>
      <c r="VXK390" s="22"/>
      <c r="VXL390" s="22"/>
      <c r="VXM390" s="22"/>
      <c r="VXN390" s="22"/>
      <c r="VXO390" s="22"/>
      <c r="VXP390" s="22"/>
      <c r="VXQ390" s="22"/>
      <c r="VXR390" s="22"/>
      <c r="VXS390" s="22"/>
      <c r="VXT390" s="22"/>
      <c r="VXU390" s="22"/>
      <c r="VXV390" s="22"/>
      <c r="VXW390" s="22"/>
      <c r="VXX390" s="22"/>
      <c r="VXY390" s="22"/>
      <c r="VXZ390" s="22"/>
      <c r="VYA390" s="22"/>
      <c r="VYB390" s="22"/>
      <c r="VYC390" s="22"/>
      <c r="VYD390" s="22"/>
      <c r="VYE390" s="22"/>
      <c r="VYF390" s="22"/>
      <c r="VYG390" s="22"/>
      <c r="VYH390" s="22"/>
      <c r="VYI390" s="22"/>
      <c r="VYJ390" s="22"/>
      <c r="VYK390" s="22"/>
      <c r="VYL390" s="22"/>
      <c r="VYM390" s="22"/>
      <c r="VYN390" s="22"/>
      <c r="VYO390" s="22"/>
      <c r="VYP390" s="22"/>
      <c r="VYQ390" s="22"/>
      <c r="VYR390" s="22"/>
      <c r="VYS390" s="22"/>
      <c r="VYT390" s="22"/>
      <c r="VYU390" s="22"/>
      <c r="VYV390" s="22"/>
      <c r="VYW390" s="22"/>
      <c r="VYX390" s="22"/>
      <c r="VYY390" s="22"/>
      <c r="VYZ390" s="22"/>
      <c r="VZA390" s="22"/>
      <c r="VZB390" s="22"/>
      <c r="VZC390" s="22"/>
      <c r="VZD390" s="22"/>
      <c r="VZE390" s="22"/>
      <c r="VZF390" s="22"/>
      <c r="VZG390" s="22"/>
      <c r="VZH390" s="22"/>
      <c r="VZI390" s="22"/>
      <c r="VZJ390" s="22"/>
      <c r="VZK390" s="22"/>
      <c r="VZL390" s="22"/>
      <c r="VZM390" s="22"/>
      <c r="VZN390" s="22"/>
      <c r="VZO390" s="22"/>
      <c r="VZP390" s="22"/>
      <c r="VZQ390" s="22"/>
      <c r="VZR390" s="22"/>
      <c r="VZS390" s="22"/>
      <c r="VZT390" s="22"/>
      <c r="VZU390" s="22"/>
      <c r="VZV390" s="22"/>
      <c r="VZW390" s="22"/>
      <c r="VZX390" s="22"/>
      <c r="VZY390" s="22"/>
      <c r="VZZ390" s="22"/>
      <c r="WAA390" s="22"/>
      <c r="WAB390" s="22"/>
      <c r="WAC390" s="22"/>
      <c r="WAD390" s="22"/>
      <c r="WAE390" s="22"/>
      <c r="WAF390" s="22"/>
      <c r="WAG390" s="22"/>
      <c r="WAH390" s="22"/>
      <c r="WAI390" s="22"/>
      <c r="WAJ390" s="22"/>
      <c r="WAK390" s="22"/>
      <c r="WAL390" s="22"/>
      <c r="WAM390" s="22"/>
      <c r="WAN390" s="22"/>
      <c r="WAO390" s="22"/>
      <c r="WAP390" s="22"/>
      <c r="WAQ390" s="22"/>
      <c r="WAR390" s="22"/>
      <c r="WAS390" s="22"/>
      <c r="WAT390" s="22"/>
      <c r="WAU390" s="22"/>
      <c r="WAV390" s="22"/>
      <c r="WAW390" s="22"/>
      <c r="WAX390" s="22"/>
      <c r="WAY390" s="22"/>
      <c r="WAZ390" s="22"/>
      <c r="WBA390" s="22"/>
      <c r="WBB390" s="22"/>
      <c r="WBC390" s="22"/>
      <c r="WBD390" s="22"/>
      <c r="WBE390" s="22"/>
      <c r="WBF390" s="22"/>
      <c r="WBG390" s="22"/>
      <c r="WBH390" s="22"/>
      <c r="WBI390" s="22"/>
      <c r="WBJ390" s="22"/>
      <c r="WBK390" s="22"/>
      <c r="WBL390" s="22"/>
      <c r="WBM390" s="22"/>
      <c r="WBN390" s="22"/>
      <c r="WBO390" s="22"/>
      <c r="WBP390" s="22"/>
      <c r="WBQ390" s="22"/>
      <c r="WBR390" s="22"/>
      <c r="WBS390" s="22"/>
      <c r="WBT390" s="22"/>
      <c r="WBU390" s="22"/>
      <c r="WBV390" s="22"/>
      <c r="WBW390" s="22"/>
      <c r="WBX390" s="22"/>
      <c r="WBY390" s="22"/>
      <c r="WBZ390" s="22"/>
      <c r="WCA390" s="22"/>
      <c r="WCB390" s="22"/>
      <c r="WCC390" s="22"/>
      <c r="WCD390" s="22"/>
      <c r="WCE390" s="22"/>
      <c r="WCF390" s="22"/>
      <c r="WCG390" s="22"/>
      <c r="WCH390" s="22"/>
      <c r="WCI390" s="22"/>
      <c r="WCJ390" s="22"/>
      <c r="WCK390" s="22"/>
      <c r="WCL390" s="22"/>
      <c r="WCM390" s="22"/>
      <c r="WCN390" s="22"/>
      <c r="WCO390" s="22"/>
      <c r="WCP390" s="22"/>
      <c r="WCQ390" s="22"/>
      <c r="WCR390" s="22"/>
      <c r="WCS390" s="22"/>
      <c r="WCT390" s="22"/>
      <c r="WCU390" s="22"/>
      <c r="WCV390" s="22"/>
      <c r="WCW390" s="22"/>
      <c r="WCX390" s="22"/>
      <c r="WCY390" s="22"/>
      <c r="WCZ390" s="22"/>
      <c r="WDA390" s="22"/>
      <c r="WDB390" s="22"/>
      <c r="WDC390" s="22"/>
      <c r="WDD390" s="22"/>
      <c r="WDE390" s="22"/>
      <c r="WDF390" s="22"/>
      <c r="WDG390" s="22"/>
      <c r="WDH390" s="22"/>
      <c r="WDI390" s="22"/>
      <c r="WDJ390" s="22"/>
      <c r="WDK390" s="22"/>
      <c r="WDL390" s="22"/>
      <c r="WDM390" s="22"/>
      <c r="WDN390" s="22"/>
      <c r="WDO390" s="22"/>
      <c r="WDP390" s="22"/>
      <c r="WDQ390" s="22"/>
      <c r="WDR390" s="22"/>
      <c r="WDS390" s="22"/>
      <c r="WDT390" s="22"/>
      <c r="WDU390" s="22"/>
      <c r="WDV390" s="22"/>
      <c r="WDW390" s="22"/>
      <c r="WDX390" s="22"/>
      <c r="WDY390" s="22"/>
      <c r="WDZ390" s="22"/>
      <c r="WEA390" s="22"/>
      <c r="WEB390" s="22"/>
      <c r="WEC390" s="22"/>
      <c r="WED390" s="22"/>
      <c r="WEE390" s="22"/>
      <c r="WEF390" s="22"/>
      <c r="WEG390" s="22"/>
      <c r="WEH390" s="22"/>
      <c r="WEI390" s="22"/>
      <c r="WEJ390" s="22"/>
      <c r="WEK390" s="22"/>
      <c r="WEL390" s="22"/>
      <c r="WEM390" s="22"/>
      <c r="WEN390" s="22"/>
      <c r="WEO390" s="22"/>
      <c r="WEP390" s="22"/>
      <c r="WEQ390" s="22"/>
      <c r="WER390" s="22"/>
      <c r="WES390" s="22"/>
      <c r="WET390" s="22"/>
      <c r="WEU390" s="22"/>
      <c r="WEV390" s="22"/>
      <c r="WEW390" s="22"/>
      <c r="WEX390" s="22"/>
      <c r="WEY390" s="22"/>
      <c r="WEZ390" s="22"/>
      <c r="WFA390" s="22"/>
      <c r="WFB390" s="22"/>
      <c r="WFC390" s="22"/>
      <c r="WFD390" s="22"/>
      <c r="WFE390" s="22"/>
      <c r="WFF390" s="22"/>
      <c r="WFG390" s="22"/>
      <c r="WFH390" s="22"/>
      <c r="WFI390" s="22"/>
      <c r="WFJ390" s="22"/>
      <c r="WFK390" s="22"/>
      <c r="WFL390" s="22"/>
      <c r="WFM390" s="22"/>
      <c r="WFN390" s="22"/>
      <c r="WFO390" s="22"/>
      <c r="WFP390" s="22"/>
      <c r="WFQ390" s="22"/>
      <c r="WFR390" s="22"/>
      <c r="WFS390" s="22"/>
      <c r="WFT390" s="22"/>
      <c r="WFU390" s="22"/>
      <c r="WFV390" s="22"/>
      <c r="WFW390" s="22"/>
      <c r="WFX390" s="22"/>
      <c r="WFY390" s="22"/>
      <c r="WFZ390" s="22"/>
      <c r="WGA390" s="22"/>
      <c r="WGB390" s="22"/>
      <c r="WGC390" s="22"/>
      <c r="WGD390" s="22"/>
      <c r="WGE390" s="22"/>
      <c r="WGF390" s="22"/>
      <c r="WGG390" s="22"/>
      <c r="WGH390" s="22"/>
      <c r="WGI390" s="22"/>
      <c r="WGJ390" s="22"/>
      <c r="WGK390" s="22"/>
      <c r="WGL390" s="22"/>
      <c r="WGM390" s="22"/>
      <c r="WGN390" s="22"/>
      <c r="WGO390" s="22"/>
      <c r="WGP390" s="22"/>
      <c r="WGQ390" s="22"/>
      <c r="WGR390" s="22"/>
      <c r="WGS390" s="22"/>
      <c r="WGT390" s="22"/>
      <c r="WGU390" s="22"/>
      <c r="WGV390" s="22"/>
      <c r="WGW390" s="22"/>
      <c r="WGX390" s="22"/>
      <c r="WGY390" s="22"/>
      <c r="WGZ390" s="22"/>
      <c r="WHA390" s="22"/>
      <c r="WHB390" s="22"/>
      <c r="WHC390" s="22"/>
      <c r="WHD390" s="22"/>
      <c r="WHE390" s="22"/>
      <c r="WHF390" s="22"/>
      <c r="WHG390" s="22"/>
      <c r="WHH390" s="22"/>
      <c r="WHI390" s="22"/>
      <c r="WHJ390" s="22"/>
      <c r="WHK390" s="22"/>
      <c r="WHL390" s="22"/>
      <c r="WHM390" s="22"/>
      <c r="WHN390" s="22"/>
      <c r="WHO390" s="22"/>
      <c r="WHP390" s="22"/>
      <c r="WHQ390" s="22"/>
      <c r="WHR390" s="22"/>
      <c r="WHS390" s="22"/>
      <c r="WHT390" s="22"/>
      <c r="WHU390" s="22"/>
      <c r="WHV390" s="22"/>
      <c r="WHW390" s="22"/>
      <c r="WHX390" s="22"/>
      <c r="WHY390" s="22"/>
      <c r="WHZ390" s="22"/>
      <c r="WIA390" s="22"/>
      <c r="WIB390" s="22"/>
      <c r="WIC390" s="22"/>
      <c r="WID390" s="22"/>
      <c r="WIE390" s="22"/>
      <c r="WIF390" s="22"/>
      <c r="WIG390" s="22"/>
      <c r="WIH390" s="22"/>
      <c r="WII390" s="22"/>
      <c r="WIJ390" s="22"/>
      <c r="WIK390" s="22"/>
      <c r="WIL390" s="22"/>
      <c r="WIM390" s="22"/>
      <c r="WIN390" s="22"/>
      <c r="WIO390" s="22"/>
      <c r="WIP390" s="22"/>
      <c r="WIQ390" s="22"/>
      <c r="WIR390" s="22"/>
      <c r="WIS390" s="22"/>
      <c r="WIT390" s="22"/>
      <c r="WIU390" s="22"/>
      <c r="WIV390" s="22"/>
      <c r="WIW390" s="22"/>
      <c r="WIX390" s="22"/>
      <c r="WIY390" s="22"/>
      <c r="WIZ390" s="22"/>
      <c r="WJA390" s="22"/>
      <c r="WJB390" s="22"/>
      <c r="WJC390" s="22"/>
      <c r="WJD390" s="22"/>
      <c r="WJE390" s="22"/>
      <c r="WJF390" s="22"/>
      <c r="WJG390" s="22"/>
      <c r="WJH390" s="22"/>
      <c r="WJI390" s="22"/>
      <c r="WJJ390" s="22"/>
      <c r="WJK390" s="22"/>
      <c r="WJL390" s="22"/>
      <c r="WJM390" s="22"/>
      <c r="WJN390" s="22"/>
      <c r="WJO390" s="22"/>
      <c r="WJP390" s="22"/>
      <c r="WJQ390" s="22"/>
      <c r="WJR390" s="22"/>
      <c r="WJS390" s="22"/>
      <c r="WJT390" s="22"/>
      <c r="WJU390" s="22"/>
      <c r="WJV390" s="22"/>
      <c r="WJW390" s="22"/>
      <c r="WJX390" s="22"/>
      <c r="WJY390" s="22"/>
      <c r="WJZ390" s="22"/>
      <c r="WKA390" s="22"/>
      <c r="WKB390" s="22"/>
      <c r="WKC390" s="22"/>
      <c r="WKD390" s="22"/>
      <c r="WKE390" s="22"/>
      <c r="WKF390" s="22"/>
      <c r="WKG390" s="22"/>
      <c r="WKH390" s="22"/>
      <c r="WKI390" s="22"/>
      <c r="WKJ390" s="22"/>
      <c r="WKK390" s="22"/>
      <c r="WKL390" s="22"/>
      <c r="WKM390" s="22"/>
      <c r="WKN390" s="22"/>
      <c r="WKO390" s="22"/>
      <c r="WKP390" s="22"/>
      <c r="WKQ390" s="22"/>
      <c r="WKR390" s="22"/>
      <c r="WKS390" s="22"/>
      <c r="WKT390" s="22"/>
      <c r="WKU390" s="22"/>
      <c r="WKV390" s="22"/>
      <c r="WKW390" s="22"/>
      <c r="WKX390" s="22"/>
      <c r="WKY390" s="22"/>
      <c r="WKZ390" s="22"/>
      <c r="WLA390" s="22"/>
      <c r="WLB390" s="22"/>
      <c r="WLC390" s="22"/>
      <c r="WLD390" s="22"/>
      <c r="WLE390" s="22"/>
      <c r="WLF390" s="22"/>
      <c r="WLG390" s="22"/>
      <c r="WLH390" s="22"/>
      <c r="WLI390" s="22"/>
      <c r="WLJ390" s="22"/>
      <c r="WLK390" s="22"/>
      <c r="WLL390" s="22"/>
      <c r="WLM390" s="22"/>
      <c r="WLN390" s="22"/>
      <c r="WLO390" s="22"/>
      <c r="WLP390" s="22"/>
      <c r="WLQ390" s="22"/>
      <c r="WLR390" s="22"/>
      <c r="WLS390" s="22"/>
      <c r="WLT390" s="22"/>
      <c r="WLU390" s="22"/>
      <c r="WLV390" s="22"/>
      <c r="WLW390" s="22"/>
      <c r="WLX390" s="22"/>
      <c r="WLY390" s="22"/>
      <c r="WLZ390" s="22"/>
      <c r="WMA390" s="22"/>
      <c r="WMB390" s="22"/>
      <c r="WMC390" s="22"/>
      <c r="WMD390" s="22"/>
      <c r="WME390" s="22"/>
      <c r="WMF390" s="22"/>
      <c r="WMG390" s="22"/>
      <c r="WMH390" s="22"/>
      <c r="WMI390" s="22"/>
      <c r="WMJ390" s="22"/>
      <c r="WMK390" s="22"/>
      <c r="WML390" s="22"/>
      <c r="WMM390" s="22"/>
      <c r="WMN390" s="22"/>
      <c r="WMO390" s="22"/>
      <c r="WMP390" s="22"/>
      <c r="WMQ390" s="22"/>
      <c r="WMR390" s="22"/>
      <c r="WMS390" s="22"/>
      <c r="WMT390" s="22"/>
      <c r="WMU390" s="22"/>
      <c r="WMV390" s="22"/>
      <c r="WMW390" s="22"/>
      <c r="WMX390" s="22"/>
      <c r="WMY390" s="22"/>
      <c r="WMZ390" s="22"/>
      <c r="WNA390" s="22"/>
      <c r="WNB390" s="22"/>
      <c r="WNC390" s="22"/>
      <c r="WND390" s="22"/>
      <c r="WNE390" s="22"/>
      <c r="WNF390" s="22"/>
      <c r="WNG390" s="22"/>
      <c r="WNH390" s="22"/>
      <c r="WNI390" s="22"/>
      <c r="WNJ390" s="22"/>
      <c r="WNK390" s="22"/>
      <c r="WNL390" s="22"/>
      <c r="WNM390" s="22"/>
      <c r="WNN390" s="22"/>
      <c r="WNO390" s="22"/>
      <c r="WNP390" s="22"/>
      <c r="WNQ390" s="22"/>
      <c r="WNR390" s="22"/>
      <c r="WNS390" s="22"/>
      <c r="WNT390" s="22"/>
      <c r="WNU390" s="22"/>
      <c r="WNV390" s="22"/>
      <c r="WNW390" s="22"/>
      <c r="WNX390" s="22"/>
      <c r="WNY390" s="22"/>
      <c r="WNZ390" s="22"/>
      <c r="WOA390" s="22"/>
      <c r="WOB390" s="22"/>
      <c r="WOC390" s="22"/>
      <c r="WOD390" s="22"/>
      <c r="WOE390" s="22"/>
      <c r="WOF390" s="22"/>
      <c r="WOG390" s="22"/>
      <c r="WOH390" s="22"/>
      <c r="WOI390" s="22"/>
      <c r="WOJ390" s="22"/>
      <c r="WOK390" s="22"/>
      <c r="WOL390" s="22"/>
      <c r="WOM390" s="22"/>
      <c r="WON390" s="22"/>
      <c r="WOO390" s="22"/>
      <c r="WOP390" s="22"/>
      <c r="WOQ390" s="22"/>
      <c r="WOR390" s="22"/>
      <c r="WOS390" s="22"/>
      <c r="WOT390" s="22"/>
      <c r="WOU390" s="22"/>
      <c r="WOV390" s="22"/>
      <c r="WOW390" s="22"/>
      <c r="WOX390" s="22"/>
      <c r="WOY390" s="22"/>
      <c r="WOZ390" s="22"/>
      <c r="WPA390" s="22"/>
      <c r="WPB390" s="22"/>
      <c r="WPC390" s="22"/>
      <c r="WPD390" s="22"/>
      <c r="WPE390" s="22"/>
      <c r="WPF390" s="22"/>
      <c r="WPG390" s="22"/>
      <c r="WPH390" s="22"/>
      <c r="WPI390" s="22"/>
      <c r="WPJ390" s="22"/>
      <c r="WPK390" s="22"/>
      <c r="WPL390" s="22"/>
      <c r="WPM390" s="22"/>
      <c r="WPN390" s="22"/>
      <c r="WPO390" s="22"/>
      <c r="WPP390" s="22"/>
      <c r="WPQ390" s="22"/>
      <c r="WPR390" s="22"/>
      <c r="WPS390" s="22"/>
      <c r="WPT390" s="22"/>
      <c r="WPU390" s="22"/>
      <c r="WPV390" s="22"/>
      <c r="WPW390" s="22"/>
      <c r="WPX390" s="22"/>
      <c r="WPY390" s="22"/>
      <c r="WPZ390" s="22"/>
      <c r="WQA390" s="22"/>
      <c r="WQB390" s="22"/>
      <c r="WQC390" s="22"/>
      <c r="WQD390" s="22"/>
      <c r="WQE390" s="22"/>
      <c r="WQF390" s="22"/>
      <c r="WQG390" s="22"/>
      <c r="WQH390" s="22"/>
      <c r="WQI390" s="22"/>
      <c r="WQJ390" s="22"/>
      <c r="WQK390" s="22"/>
      <c r="WQL390" s="22"/>
      <c r="WQM390" s="22"/>
      <c r="WQN390" s="22"/>
      <c r="WQO390" s="22"/>
      <c r="WQP390" s="22"/>
      <c r="WQQ390" s="22"/>
      <c r="WQR390" s="22"/>
      <c r="WQS390" s="22"/>
      <c r="WQT390" s="22"/>
      <c r="WQU390" s="22"/>
      <c r="WQV390" s="22"/>
      <c r="WQW390" s="22"/>
      <c r="WQX390" s="22"/>
      <c r="WQY390" s="22"/>
      <c r="WQZ390" s="22"/>
      <c r="WRA390" s="22"/>
      <c r="WRB390" s="22"/>
      <c r="WRC390" s="22"/>
      <c r="WRD390" s="22"/>
      <c r="WRE390" s="22"/>
      <c r="WRF390" s="22"/>
      <c r="WRG390" s="22"/>
      <c r="WRH390" s="22"/>
      <c r="WRI390" s="22"/>
      <c r="WRJ390" s="22"/>
      <c r="WRK390" s="22"/>
      <c r="WRL390" s="22"/>
      <c r="WRM390" s="22"/>
      <c r="WRN390" s="22"/>
      <c r="WRO390" s="22"/>
      <c r="WRP390" s="22"/>
      <c r="WRQ390" s="22"/>
      <c r="WRR390" s="22"/>
      <c r="WRS390" s="22"/>
      <c r="WRT390" s="22"/>
      <c r="WRU390" s="22"/>
      <c r="WRV390" s="22"/>
      <c r="WRW390" s="22"/>
      <c r="WRX390" s="22"/>
      <c r="WRY390" s="22"/>
      <c r="WRZ390" s="22"/>
      <c r="WSA390" s="22"/>
      <c r="WSB390" s="22"/>
      <c r="WSC390" s="22"/>
      <c r="WSD390" s="22"/>
      <c r="WSE390" s="22"/>
      <c r="WSF390" s="22"/>
      <c r="WSG390" s="22"/>
      <c r="WSH390" s="22"/>
      <c r="WSI390" s="22"/>
      <c r="WSJ390" s="22"/>
      <c r="WSK390" s="22"/>
      <c r="WSL390" s="22"/>
      <c r="WSM390" s="22"/>
      <c r="WSN390" s="22"/>
      <c r="WSO390" s="22"/>
      <c r="WSP390" s="22"/>
      <c r="WSQ390" s="22"/>
      <c r="WSR390" s="22"/>
      <c r="WSS390" s="22"/>
      <c r="WST390" s="22"/>
      <c r="WSU390" s="22"/>
      <c r="WSV390" s="22"/>
      <c r="WSW390" s="22"/>
      <c r="WSX390" s="22"/>
      <c r="WSY390" s="22"/>
      <c r="WSZ390" s="22"/>
      <c r="WTA390" s="22"/>
      <c r="WTB390" s="22"/>
      <c r="WTC390" s="22"/>
      <c r="WTD390" s="22"/>
      <c r="WTE390" s="22"/>
      <c r="WTF390" s="22"/>
      <c r="WTG390" s="22"/>
      <c r="WTH390" s="22"/>
      <c r="WTI390" s="22"/>
      <c r="WTJ390" s="22"/>
      <c r="WTK390" s="22"/>
      <c r="WTL390" s="22"/>
      <c r="WTM390" s="22"/>
      <c r="WTN390" s="22"/>
      <c r="WTO390" s="22"/>
      <c r="WTP390" s="22"/>
      <c r="WTQ390" s="22"/>
      <c r="WTR390" s="22"/>
      <c r="WTS390" s="22"/>
      <c r="WTT390" s="22"/>
      <c r="WTU390" s="22"/>
      <c r="WTV390" s="22"/>
      <c r="WTW390" s="22"/>
      <c r="WTX390" s="22"/>
      <c r="WTY390" s="22"/>
      <c r="WTZ390" s="22"/>
      <c r="WUA390" s="22"/>
      <c r="WUB390" s="22"/>
      <c r="WUC390" s="22"/>
      <c r="WUD390" s="22"/>
      <c r="WUE390" s="22"/>
      <c r="WUF390" s="22"/>
      <c r="WUG390" s="22"/>
      <c r="WUH390" s="22"/>
      <c r="WUI390" s="22"/>
      <c r="WUJ390" s="22"/>
      <c r="WUK390" s="22"/>
      <c r="WUL390" s="22"/>
      <c r="WUM390" s="22"/>
      <c r="WUN390" s="22"/>
      <c r="WUO390" s="22"/>
      <c r="WUP390" s="22"/>
      <c r="WUQ390" s="22"/>
      <c r="WUR390" s="22"/>
      <c r="WUS390" s="22"/>
      <c r="WUT390" s="22"/>
      <c r="WUU390" s="22"/>
      <c r="WUV390" s="22"/>
      <c r="WUW390" s="22"/>
      <c r="WUX390" s="22"/>
      <c r="WUY390" s="22"/>
      <c r="WUZ390" s="22"/>
      <c r="WVA390" s="22"/>
      <c r="WVB390" s="22"/>
      <c r="WVC390" s="22"/>
      <c r="WVD390" s="22"/>
      <c r="WVE390" s="22"/>
      <c r="WVF390" s="22"/>
      <c r="WVG390" s="22"/>
      <c r="WVH390" s="22"/>
      <c r="WVI390" s="22"/>
      <c r="WVJ390" s="22"/>
      <c r="WVK390" s="22"/>
      <c r="WVL390" s="22"/>
      <c r="WVM390" s="22"/>
      <c r="WVN390" s="22"/>
      <c r="WVO390" s="22"/>
      <c r="WVP390" s="22"/>
      <c r="WVQ390" s="22"/>
      <c r="WVR390" s="22"/>
      <c r="WVS390" s="22"/>
      <c r="WVT390" s="22"/>
      <c r="WVU390" s="22"/>
      <c r="WVV390" s="22"/>
      <c r="WVW390" s="22"/>
      <c r="WVX390" s="22"/>
      <c r="WVY390" s="22"/>
      <c r="WVZ390" s="22"/>
      <c r="WWA390" s="22"/>
      <c r="WWB390" s="22"/>
      <c r="WWC390" s="22"/>
      <c r="WWD390" s="22"/>
      <c r="WWE390" s="22"/>
      <c r="WWF390" s="22"/>
      <c r="WWG390" s="22"/>
      <c r="WWH390" s="22"/>
      <c r="WWI390" s="22"/>
      <c r="WWJ390" s="22"/>
      <c r="WWK390" s="22"/>
      <c r="WWL390" s="22"/>
      <c r="WWM390" s="22"/>
      <c r="WWN390" s="22"/>
      <c r="WWO390" s="22"/>
      <c r="WWP390" s="22"/>
      <c r="WWQ390" s="22"/>
      <c r="WWR390" s="22"/>
      <c r="WWS390" s="22"/>
      <c r="WWT390" s="22"/>
      <c r="WWU390" s="22"/>
      <c r="WWV390" s="22"/>
      <c r="WWW390" s="22"/>
      <c r="WWX390" s="22"/>
      <c r="WWY390" s="22"/>
      <c r="WWZ390" s="22"/>
      <c r="WXA390" s="22"/>
      <c r="WXB390" s="22"/>
      <c r="WXC390" s="22"/>
      <c r="WXD390" s="22"/>
      <c r="WXE390" s="22"/>
      <c r="WXF390" s="22"/>
      <c r="WXG390" s="22"/>
      <c r="WXH390" s="22"/>
      <c r="WXI390" s="22"/>
      <c r="WXJ390" s="22"/>
      <c r="WXK390" s="22"/>
      <c r="WXL390" s="22"/>
      <c r="WXM390" s="22"/>
      <c r="WXN390" s="22"/>
      <c r="WXO390" s="22"/>
      <c r="WXP390" s="22"/>
      <c r="WXQ390" s="22"/>
      <c r="WXR390" s="22"/>
      <c r="WXS390" s="22"/>
      <c r="WXT390" s="22"/>
      <c r="WXU390" s="22"/>
      <c r="WXV390" s="22"/>
      <c r="WXW390" s="22"/>
      <c r="WXX390" s="22"/>
      <c r="WXY390" s="22"/>
      <c r="WXZ390" s="22"/>
      <c r="WYA390" s="22"/>
      <c r="WYB390" s="22"/>
      <c r="WYC390" s="22"/>
      <c r="WYD390" s="22"/>
      <c r="WYE390" s="22"/>
      <c r="WYF390" s="22"/>
      <c r="WYG390" s="22"/>
      <c r="WYH390" s="22"/>
      <c r="WYI390" s="22"/>
      <c r="WYJ390" s="22"/>
      <c r="WYK390" s="22"/>
      <c r="WYL390" s="22"/>
      <c r="WYM390" s="22"/>
      <c r="WYN390" s="22"/>
      <c r="WYO390" s="22"/>
      <c r="WYP390" s="22"/>
      <c r="WYQ390" s="22"/>
      <c r="WYR390" s="22"/>
      <c r="WYS390" s="22"/>
      <c r="WYT390" s="22"/>
      <c r="WYU390" s="22"/>
      <c r="WYV390" s="22"/>
      <c r="WYW390" s="22"/>
      <c r="WYX390" s="22"/>
      <c r="WYY390" s="22"/>
      <c r="WYZ390" s="22"/>
      <c r="WZA390" s="22"/>
      <c r="WZB390" s="22"/>
      <c r="WZC390" s="22"/>
      <c r="WZD390" s="22"/>
      <c r="WZE390" s="22"/>
      <c r="WZF390" s="22"/>
      <c r="WZG390" s="22"/>
      <c r="WZH390" s="22"/>
      <c r="WZI390" s="22"/>
      <c r="WZJ390" s="22"/>
      <c r="WZK390" s="22"/>
      <c r="WZL390" s="22"/>
      <c r="WZM390" s="22"/>
      <c r="WZN390" s="22"/>
      <c r="WZO390" s="22"/>
      <c r="WZP390" s="22"/>
      <c r="WZQ390" s="22"/>
      <c r="WZR390" s="22"/>
      <c r="WZS390" s="22"/>
      <c r="WZT390" s="22"/>
      <c r="WZU390" s="22"/>
      <c r="WZV390" s="22"/>
      <c r="WZW390" s="22"/>
      <c r="WZX390" s="22"/>
      <c r="WZY390" s="22"/>
      <c r="WZZ390" s="22"/>
      <c r="XAA390" s="22"/>
      <c r="XAB390" s="22"/>
      <c r="XAC390" s="22"/>
      <c r="XAD390" s="22"/>
      <c r="XAE390" s="22"/>
      <c r="XAF390" s="22"/>
      <c r="XAG390" s="22"/>
      <c r="XAH390" s="22"/>
      <c r="XAI390" s="22"/>
      <c r="XAJ390" s="22"/>
      <c r="XAK390" s="22"/>
      <c r="XAL390" s="22"/>
      <c r="XAM390" s="22"/>
      <c r="XAN390" s="22"/>
      <c r="XAO390" s="22"/>
      <c r="XAP390" s="22"/>
      <c r="XAQ390" s="22"/>
      <c r="XAR390" s="22"/>
      <c r="XAS390" s="22"/>
      <c r="XAT390" s="22"/>
      <c r="XAU390" s="22"/>
      <c r="XAV390" s="22"/>
      <c r="XAW390" s="22"/>
      <c r="XAX390" s="22"/>
      <c r="XAY390" s="22"/>
      <c r="XAZ390" s="22"/>
      <c r="XBA390" s="22"/>
      <c r="XBB390" s="22"/>
      <c r="XBC390" s="22"/>
      <c r="XBD390" s="22"/>
      <c r="XBE390" s="22"/>
      <c r="XBF390" s="22"/>
      <c r="XBG390" s="22"/>
      <c r="XBH390" s="22"/>
      <c r="XBI390" s="22"/>
      <c r="XBJ390" s="22"/>
      <c r="XBK390" s="22"/>
      <c r="XBL390" s="22"/>
      <c r="XBM390" s="22"/>
      <c r="XBN390" s="22"/>
      <c r="XBO390" s="22"/>
      <c r="XBP390" s="22"/>
      <c r="XBQ390" s="22"/>
      <c r="XBR390" s="22"/>
      <c r="XBS390" s="22"/>
      <c r="XBT390" s="22"/>
      <c r="XBU390" s="22"/>
      <c r="XBV390" s="22"/>
      <c r="XBW390" s="22"/>
      <c r="XBX390" s="22"/>
      <c r="XBY390" s="22"/>
      <c r="XBZ390" s="22"/>
      <c r="XCA390" s="22"/>
      <c r="XCB390" s="22"/>
      <c r="XCC390" s="22"/>
      <c r="XCD390" s="22"/>
      <c r="XCE390" s="22"/>
      <c r="XCF390" s="22"/>
      <c r="XCG390" s="22"/>
      <c r="XCH390" s="22"/>
      <c r="XCI390" s="22"/>
      <c r="XCJ390" s="22"/>
      <c r="XCK390" s="22"/>
      <c r="XCL390" s="22"/>
      <c r="XCM390" s="22"/>
      <c r="XCN390" s="22"/>
      <c r="XCO390" s="22"/>
      <c r="XCP390" s="22"/>
      <c r="XCQ390" s="22"/>
      <c r="XCR390" s="22"/>
      <c r="XCS390" s="22"/>
      <c r="XCT390" s="22"/>
      <c r="XCU390" s="22"/>
      <c r="XCV390" s="22"/>
      <c r="XCW390" s="22"/>
      <c r="XCX390" s="22"/>
      <c r="XCY390" s="22"/>
      <c r="XCZ390" s="22"/>
      <c r="XDA390" s="22"/>
      <c r="XDB390" s="22"/>
      <c r="XDC390" s="22"/>
      <c r="XDD390" s="22"/>
      <c r="XDE390" s="22"/>
      <c r="XDF390" s="22"/>
      <c r="XDG390" s="22"/>
      <c r="XDH390" s="22"/>
      <c r="XDI390" s="22"/>
      <c r="XDJ390" s="22"/>
      <c r="XDK390" s="22"/>
      <c r="XDL390" s="22"/>
      <c r="XDM390" s="22"/>
      <c r="XDN390" s="22"/>
      <c r="XDO390" s="22"/>
      <c r="XDP390" s="22"/>
      <c r="XDQ390" s="22"/>
      <c r="XDR390" s="22"/>
      <c r="XDS390" s="22"/>
      <c r="XDT390" s="22"/>
      <c r="XDU390" s="22"/>
      <c r="XDV390" s="22"/>
      <c r="XDW390" s="22"/>
      <c r="XDX390" s="22"/>
      <c r="XDY390" s="22"/>
      <c r="XDZ390" s="22"/>
      <c r="XEA390" s="22"/>
      <c r="XEB390" s="22"/>
      <c r="XEC390" s="22"/>
      <c r="XED390" s="22"/>
      <c r="XEE390" s="22"/>
      <c r="XEF390" s="22"/>
      <c r="XEG390" s="22"/>
      <c r="XEH390" s="22"/>
      <c r="XEI390" s="22"/>
      <c r="XEJ390" s="22"/>
      <c r="XEK390" s="22"/>
      <c r="XEL390" s="22"/>
      <c r="XEM390" s="22"/>
      <c r="XEN390" s="22"/>
      <c r="XEO390" s="22"/>
      <c r="XEP390" s="22"/>
      <c r="XEQ390" s="22"/>
      <c r="XER390" s="22"/>
      <c r="XES390" s="22"/>
      <c r="XET390" s="22"/>
      <c r="XEU390" s="22"/>
      <c r="XEV390" s="22"/>
      <c r="XEW390" s="22"/>
      <c r="XEX390" s="22"/>
      <c r="XEY390" s="22"/>
      <c r="XEZ390" s="22"/>
      <c r="XFA390" s="22"/>
      <c r="XFB390" s="22"/>
      <c r="XFC390" s="22"/>
    </row>
    <row r="391" spans="1:16384">
      <c r="A391" s="22">
        <v>23359500</v>
      </c>
      <c r="B391" s="23" t="s">
        <v>36</v>
      </c>
      <c r="C391" s="34" t="s">
        <v>1008</v>
      </c>
      <c r="D391" s="34"/>
      <c r="E391" s="49" t="s">
        <v>505</v>
      </c>
      <c r="F391" s="36" t="s">
        <v>481</v>
      </c>
      <c r="G391" s="23">
        <v>102500</v>
      </c>
      <c r="H391" s="23">
        <v>102500</v>
      </c>
      <c r="I391" s="37">
        <v>44561</v>
      </c>
      <c r="J391" s="37">
        <f t="shared" ref="J391:J401" si="52">I391+30</f>
        <v>44591</v>
      </c>
      <c r="K391" s="38">
        <f t="shared" ref="K391:K401" si="53">IF(J391-I391&lt;0,"Error",J391-I391)</f>
        <v>30</v>
      </c>
      <c r="L391" s="38" t="str">
        <f t="shared" ref="L391:L401" si="54">IF(K391&gt;365,"Medir al costo amortizado","Dejar al valor nominal")</f>
        <v>Dejar al valor nominal</v>
      </c>
      <c r="M391" s="38">
        <f t="shared" ref="M391:M401" si="55">H391-G391</f>
        <v>0</v>
      </c>
      <c r="N391" s="272" t="str">
        <f t="shared" ref="N391:N401" si="56">IF($N$18-J391&gt;K391,"Revisar","OK")</f>
        <v>OK</v>
      </c>
      <c r="O391" s="23" t="s">
        <v>777</v>
      </c>
      <c r="P391" s="23"/>
      <c r="Q391" s="23"/>
      <c r="R391" s="23"/>
      <c r="XFD391" s="22"/>
    </row>
    <row r="392" spans="1:16384">
      <c r="A392" s="22">
        <v>23359500</v>
      </c>
      <c r="B392" s="23" t="s">
        <v>36</v>
      </c>
      <c r="C392" s="34" t="s">
        <v>1008</v>
      </c>
      <c r="D392" s="34"/>
      <c r="E392" s="49" t="s">
        <v>505</v>
      </c>
      <c r="F392" s="36" t="s">
        <v>481</v>
      </c>
      <c r="G392" s="23">
        <v>5066000</v>
      </c>
      <c r="H392" s="23">
        <v>5066000</v>
      </c>
      <c r="I392" s="37">
        <v>44561</v>
      </c>
      <c r="J392" s="37">
        <f t="shared" si="52"/>
        <v>44591</v>
      </c>
      <c r="K392" s="38">
        <f t="shared" si="53"/>
        <v>30</v>
      </c>
      <c r="L392" s="38" t="str">
        <f t="shared" si="54"/>
        <v>Dejar al valor nominal</v>
      </c>
      <c r="M392" s="38">
        <f t="shared" si="55"/>
        <v>0</v>
      </c>
      <c r="N392" s="272" t="str">
        <f t="shared" si="56"/>
        <v>OK</v>
      </c>
      <c r="O392" s="23" t="s">
        <v>777</v>
      </c>
      <c r="P392" s="23"/>
      <c r="Q392" s="23"/>
      <c r="R392" s="23"/>
    </row>
    <row r="393" spans="1:16384">
      <c r="A393" s="22">
        <v>23359500</v>
      </c>
      <c r="B393" s="23" t="s">
        <v>36</v>
      </c>
      <c r="C393" s="34" t="s">
        <v>1008</v>
      </c>
      <c r="D393" s="34"/>
      <c r="E393" s="49" t="s">
        <v>505</v>
      </c>
      <c r="F393" s="36" t="s">
        <v>481</v>
      </c>
      <c r="G393" s="23">
        <v>35000</v>
      </c>
      <c r="H393" s="23">
        <v>35000</v>
      </c>
      <c r="I393" s="37">
        <v>44561</v>
      </c>
      <c r="J393" s="37">
        <f t="shared" si="52"/>
        <v>44591</v>
      </c>
      <c r="K393" s="38">
        <f t="shared" si="53"/>
        <v>30</v>
      </c>
      <c r="L393" s="38" t="str">
        <f t="shared" si="54"/>
        <v>Dejar al valor nominal</v>
      </c>
      <c r="M393" s="38">
        <f t="shared" si="55"/>
        <v>0</v>
      </c>
      <c r="N393" s="272" t="str">
        <f t="shared" si="56"/>
        <v>OK</v>
      </c>
      <c r="O393" s="23" t="s">
        <v>777</v>
      </c>
      <c r="P393" s="23"/>
      <c r="Q393" s="23"/>
      <c r="R393" s="23"/>
    </row>
    <row r="394" spans="1:16384">
      <c r="A394" s="22">
        <v>23359500</v>
      </c>
      <c r="B394" s="23" t="s">
        <v>36</v>
      </c>
      <c r="C394" s="34" t="s">
        <v>1008</v>
      </c>
      <c r="D394" s="34"/>
      <c r="E394" s="49" t="s">
        <v>505</v>
      </c>
      <c r="F394" s="36" t="s">
        <v>481</v>
      </c>
      <c r="G394" s="23">
        <v>189760</v>
      </c>
      <c r="H394" s="23">
        <v>189760</v>
      </c>
      <c r="I394" s="37">
        <v>44561</v>
      </c>
      <c r="J394" s="37">
        <f t="shared" si="52"/>
        <v>44591</v>
      </c>
      <c r="K394" s="38">
        <f t="shared" si="53"/>
        <v>30</v>
      </c>
      <c r="L394" s="38" t="str">
        <f t="shared" si="54"/>
        <v>Dejar al valor nominal</v>
      </c>
      <c r="M394" s="38">
        <f t="shared" si="55"/>
        <v>0</v>
      </c>
      <c r="N394" s="272" t="str">
        <f t="shared" si="56"/>
        <v>OK</v>
      </c>
      <c r="O394" s="23" t="s">
        <v>777</v>
      </c>
      <c r="P394" s="23"/>
      <c r="Q394" s="23"/>
      <c r="R394" s="23"/>
    </row>
    <row r="395" spans="1:16384">
      <c r="A395" s="22">
        <v>23359500</v>
      </c>
      <c r="B395" s="23" t="s">
        <v>36</v>
      </c>
      <c r="C395" s="34" t="s">
        <v>1008</v>
      </c>
      <c r="D395" s="34"/>
      <c r="E395" s="49" t="s">
        <v>505</v>
      </c>
      <c r="F395" s="36" t="s">
        <v>481</v>
      </c>
      <c r="G395" s="23">
        <v>3059999.5</v>
      </c>
      <c r="H395" s="23">
        <v>3059999.5</v>
      </c>
      <c r="I395" s="37">
        <v>44561</v>
      </c>
      <c r="J395" s="37">
        <f t="shared" si="52"/>
        <v>44591</v>
      </c>
      <c r="K395" s="38">
        <f t="shared" si="53"/>
        <v>30</v>
      </c>
      <c r="L395" s="38" t="str">
        <f t="shared" si="54"/>
        <v>Dejar al valor nominal</v>
      </c>
      <c r="M395" s="38">
        <f t="shared" si="55"/>
        <v>0</v>
      </c>
      <c r="N395" s="272" t="str">
        <f t="shared" si="56"/>
        <v>OK</v>
      </c>
      <c r="O395" s="23" t="s">
        <v>777</v>
      </c>
      <c r="P395" s="23"/>
      <c r="Q395" s="23"/>
      <c r="R395" s="23"/>
    </row>
    <row r="396" spans="1:16384">
      <c r="A396" s="22">
        <v>23359500</v>
      </c>
      <c r="B396" s="23" t="s">
        <v>36</v>
      </c>
      <c r="C396" s="34" t="s">
        <v>1008</v>
      </c>
      <c r="D396" s="34"/>
      <c r="E396" s="49" t="s">
        <v>505</v>
      </c>
      <c r="F396" s="36" t="s">
        <v>481</v>
      </c>
      <c r="G396" s="23">
        <v>1170000</v>
      </c>
      <c r="H396" s="23">
        <v>1170000</v>
      </c>
      <c r="I396" s="37">
        <v>44561</v>
      </c>
      <c r="J396" s="37">
        <f t="shared" si="52"/>
        <v>44591</v>
      </c>
      <c r="K396" s="38">
        <f t="shared" si="53"/>
        <v>30</v>
      </c>
      <c r="L396" s="38" t="str">
        <f t="shared" si="54"/>
        <v>Dejar al valor nominal</v>
      </c>
      <c r="M396" s="38">
        <f t="shared" si="55"/>
        <v>0</v>
      </c>
      <c r="N396" s="272" t="str">
        <f t="shared" si="56"/>
        <v>OK</v>
      </c>
      <c r="O396" s="23" t="s">
        <v>777</v>
      </c>
      <c r="P396" s="23"/>
      <c r="Q396" s="23"/>
      <c r="R396" s="23"/>
    </row>
    <row r="397" spans="1:16384">
      <c r="A397" s="22">
        <v>23359500</v>
      </c>
      <c r="B397" s="23" t="s">
        <v>36</v>
      </c>
      <c r="C397" s="34" t="s">
        <v>1008</v>
      </c>
      <c r="D397" s="34"/>
      <c r="E397" s="49" t="s">
        <v>505</v>
      </c>
      <c r="F397" s="36" t="s">
        <v>481</v>
      </c>
      <c r="G397" s="23">
        <v>2097500</v>
      </c>
      <c r="H397" s="23">
        <v>2097500</v>
      </c>
      <c r="I397" s="37">
        <v>44561</v>
      </c>
      <c r="J397" s="37">
        <f t="shared" si="52"/>
        <v>44591</v>
      </c>
      <c r="K397" s="38">
        <f t="shared" si="53"/>
        <v>30</v>
      </c>
      <c r="L397" s="38" t="str">
        <f t="shared" si="54"/>
        <v>Dejar al valor nominal</v>
      </c>
      <c r="M397" s="38">
        <f t="shared" si="55"/>
        <v>0</v>
      </c>
      <c r="N397" s="272" t="str">
        <f t="shared" si="56"/>
        <v>OK</v>
      </c>
      <c r="O397" s="23" t="s">
        <v>777</v>
      </c>
      <c r="P397" s="23"/>
      <c r="Q397" s="23"/>
      <c r="R397" s="23"/>
    </row>
    <row r="398" spans="1:16384">
      <c r="A398" s="22">
        <v>23359500</v>
      </c>
      <c r="B398" s="23" t="s">
        <v>36</v>
      </c>
      <c r="C398" s="34" t="s">
        <v>1008</v>
      </c>
      <c r="D398" s="34"/>
      <c r="E398" s="49" t="s">
        <v>505</v>
      </c>
      <c r="F398" s="36" t="s">
        <v>481</v>
      </c>
      <c r="G398" s="23">
        <v>820000</v>
      </c>
      <c r="H398" s="23">
        <v>820000</v>
      </c>
      <c r="I398" s="37">
        <v>44561</v>
      </c>
      <c r="J398" s="37">
        <f t="shared" si="52"/>
        <v>44591</v>
      </c>
      <c r="K398" s="38">
        <f t="shared" si="53"/>
        <v>30</v>
      </c>
      <c r="L398" s="38" t="str">
        <f t="shared" si="54"/>
        <v>Dejar al valor nominal</v>
      </c>
      <c r="M398" s="38">
        <f t="shared" si="55"/>
        <v>0</v>
      </c>
      <c r="N398" s="272" t="str">
        <f t="shared" si="56"/>
        <v>OK</v>
      </c>
      <c r="O398" s="23" t="s">
        <v>777</v>
      </c>
      <c r="P398" s="23"/>
      <c r="Q398" s="23"/>
      <c r="R398" s="23"/>
    </row>
    <row r="399" spans="1:16384">
      <c r="A399" s="22">
        <v>23359500</v>
      </c>
      <c r="B399" s="23" t="s">
        <v>36</v>
      </c>
      <c r="C399" s="34" t="s">
        <v>1008</v>
      </c>
      <c r="D399" s="34"/>
      <c r="E399" s="49" t="s">
        <v>505</v>
      </c>
      <c r="F399" s="36" t="s">
        <v>481</v>
      </c>
      <c r="G399" s="23">
        <v>8461088.9800000004</v>
      </c>
      <c r="H399" s="23">
        <v>8461088.9800000004</v>
      </c>
      <c r="I399" s="37">
        <v>44561</v>
      </c>
      <c r="J399" s="37">
        <f t="shared" si="52"/>
        <v>44591</v>
      </c>
      <c r="K399" s="38">
        <f t="shared" si="53"/>
        <v>30</v>
      </c>
      <c r="L399" s="38" t="str">
        <f t="shared" si="54"/>
        <v>Dejar al valor nominal</v>
      </c>
      <c r="M399" s="38">
        <f t="shared" si="55"/>
        <v>0</v>
      </c>
      <c r="N399" s="272" t="str">
        <f t="shared" si="56"/>
        <v>OK</v>
      </c>
      <c r="O399" s="23" t="s">
        <v>777</v>
      </c>
      <c r="P399" s="23"/>
      <c r="Q399" s="23"/>
      <c r="R399" s="23"/>
    </row>
    <row r="400" spans="1:16384">
      <c r="A400" s="22">
        <v>23359500</v>
      </c>
      <c r="B400" s="23" t="s">
        <v>36</v>
      </c>
      <c r="C400" s="34" t="s">
        <v>1008</v>
      </c>
      <c r="D400" s="34"/>
      <c r="E400" s="49" t="s">
        <v>505</v>
      </c>
      <c r="F400" s="36" t="s">
        <v>481</v>
      </c>
      <c r="G400" s="23">
        <v>2717640</v>
      </c>
      <c r="H400" s="23">
        <v>2717640</v>
      </c>
      <c r="I400" s="37">
        <v>44561</v>
      </c>
      <c r="J400" s="37">
        <f t="shared" si="52"/>
        <v>44591</v>
      </c>
      <c r="K400" s="38">
        <f t="shared" si="53"/>
        <v>30</v>
      </c>
      <c r="L400" s="38" t="str">
        <f t="shared" si="54"/>
        <v>Dejar al valor nominal</v>
      </c>
      <c r="M400" s="38">
        <f t="shared" si="55"/>
        <v>0</v>
      </c>
      <c r="N400" s="272" t="str">
        <f t="shared" si="56"/>
        <v>OK</v>
      </c>
      <c r="O400" s="23" t="s">
        <v>777</v>
      </c>
      <c r="P400" s="23"/>
      <c r="Q400" s="23"/>
      <c r="R400" s="23"/>
    </row>
    <row r="401" spans="1:18 16384:16384">
      <c r="A401" s="22">
        <v>23359500</v>
      </c>
      <c r="B401" s="23" t="s">
        <v>36</v>
      </c>
      <c r="C401" s="34" t="s">
        <v>1008</v>
      </c>
      <c r="D401" s="34"/>
      <c r="E401" s="49" t="s">
        <v>505</v>
      </c>
      <c r="F401" s="36" t="s">
        <v>481</v>
      </c>
      <c r="G401" s="23">
        <v>1178100</v>
      </c>
      <c r="H401" s="23">
        <v>1178100</v>
      </c>
      <c r="I401" s="37">
        <v>44561</v>
      </c>
      <c r="J401" s="37">
        <f t="shared" si="52"/>
        <v>44591</v>
      </c>
      <c r="K401" s="38">
        <f t="shared" si="53"/>
        <v>30</v>
      </c>
      <c r="L401" s="38" t="str">
        <f t="shared" si="54"/>
        <v>Dejar al valor nominal</v>
      </c>
      <c r="M401" s="38">
        <f t="shared" si="55"/>
        <v>0</v>
      </c>
      <c r="N401" s="272" t="str">
        <f t="shared" si="56"/>
        <v>OK</v>
      </c>
      <c r="O401" s="23" t="s">
        <v>777</v>
      </c>
      <c r="P401" s="23"/>
      <c r="Q401" s="23"/>
      <c r="R401" s="23"/>
    </row>
    <row r="402" spans="1:18 16384:16384">
      <c r="A402" s="22">
        <v>23359500</v>
      </c>
      <c r="B402" s="23" t="s">
        <v>36</v>
      </c>
      <c r="C402" s="34" t="s">
        <v>1008</v>
      </c>
      <c r="D402" s="34"/>
      <c r="E402" s="49" t="s">
        <v>505</v>
      </c>
      <c r="F402" s="36" t="s">
        <v>481</v>
      </c>
      <c r="G402" s="23">
        <v>628320</v>
      </c>
      <c r="H402" s="23">
        <v>628320</v>
      </c>
      <c r="I402" s="37">
        <v>44561</v>
      </c>
      <c r="J402" s="37">
        <f t="shared" ref="J402:J416" si="57">I402+30</f>
        <v>44591</v>
      </c>
      <c r="K402" s="38">
        <f t="shared" ref="K402:K416" si="58">IF(J402-I402&lt;0,"Error",J402-I402)</f>
        <v>30</v>
      </c>
      <c r="L402" s="38" t="str">
        <f t="shared" ref="L402:L416" si="59">IF(K402&gt;365,"Medir al costo amortizado","Dejar al valor nominal")</f>
        <v>Dejar al valor nominal</v>
      </c>
      <c r="M402" s="38">
        <f t="shared" ref="M402:M416" si="60">H402-G402</f>
        <v>0</v>
      </c>
      <c r="N402" s="272" t="str">
        <f t="shared" ref="N402:N416" si="61">IF($N$18-J402&gt;K402,"Revisar","OK")</f>
        <v>OK</v>
      </c>
      <c r="O402" s="23" t="s">
        <v>777</v>
      </c>
      <c r="P402" s="23"/>
      <c r="Q402" s="23"/>
      <c r="R402" s="23"/>
      <c r="XFD402" s="22"/>
    </row>
    <row r="403" spans="1:18 16384:16384">
      <c r="A403" s="22">
        <v>23359500</v>
      </c>
      <c r="B403" s="23" t="s">
        <v>36</v>
      </c>
      <c r="C403" s="34" t="s">
        <v>1008</v>
      </c>
      <c r="D403" s="34"/>
      <c r="E403" s="49" t="s">
        <v>505</v>
      </c>
      <c r="F403" s="36" t="s">
        <v>481</v>
      </c>
      <c r="G403" s="23">
        <v>274176</v>
      </c>
      <c r="H403" s="23">
        <v>274176</v>
      </c>
      <c r="I403" s="37">
        <v>44561</v>
      </c>
      <c r="J403" s="37">
        <f t="shared" si="57"/>
        <v>44591</v>
      </c>
      <c r="K403" s="38">
        <f t="shared" si="58"/>
        <v>30</v>
      </c>
      <c r="L403" s="38" t="str">
        <f t="shared" si="59"/>
        <v>Dejar al valor nominal</v>
      </c>
      <c r="M403" s="38">
        <f t="shared" si="60"/>
        <v>0</v>
      </c>
      <c r="N403" s="272" t="str">
        <f t="shared" si="61"/>
        <v>OK</v>
      </c>
      <c r="O403" s="23" t="s">
        <v>777</v>
      </c>
      <c r="P403" s="23"/>
      <c r="Q403" s="23"/>
      <c r="R403" s="23"/>
    </row>
    <row r="404" spans="1:18 16384:16384">
      <c r="A404" s="22">
        <v>23359500</v>
      </c>
      <c r="B404" s="23" t="s">
        <v>36</v>
      </c>
      <c r="C404" s="34" t="s">
        <v>1008</v>
      </c>
      <c r="D404" s="34"/>
      <c r="E404" s="49" t="s">
        <v>505</v>
      </c>
      <c r="F404" s="36" t="s">
        <v>481</v>
      </c>
      <c r="G404" s="23">
        <v>29155</v>
      </c>
      <c r="H404" s="23">
        <v>29155</v>
      </c>
      <c r="I404" s="37">
        <v>44561</v>
      </c>
      <c r="J404" s="37">
        <f t="shared" si="57"/>
        <v>44591</v>
      </c>
      <c r="K404" s="38">
        <f t="shared" si="58"/>
        <v>30</v>
      </c>
      <c r="L404" s="38" t="str">
        <f t="shared" si="59"/>
        <v>Dejar al valor nominal</v>
      </c>
      <c r="M404" s="38">
        <f t="shared" si="60"/>
        <v>0</v>
      </c>
      <c r="N404" s="272" t="str">
        <f t="shared" si="61"/>
        <v>OK</v>
      </c>
      <c r="O404" s="23" t="s">
        <v>777</v>
      </c>
      <c r="P404" s="23"/>
      <c r="Q404" s="23"/>
      <c r="R404" s="23"/>
    </row>
    <row r="405" spans="1:18 16384:16384">
      <c r="A405" s="22">
        <v>23359500</v>
      </c>
      <c r="B405" s="23" t="s">
        <v>36</v>
      </c>
      <c r="C405" s="34" t="s">
        <v>1008</v>
      </c>
      <c r="D405" s="34"/>
      <c r="E405" s="49" t="s">
        <v>505</v>
      </c>
      <c r="F405" s="36" t="s">
        <v>481</v>
      </c>
      <c r="G405" s="23">
        <v>28560</v>
      </c>
      <c r="H405" s="23">
        <v>28560</v>
      </c>
      <c r="I405" s="37">
        <v>44561</v>
      </c>
      <c r="J405" s="37">
        <f t="shared" si="57"/>
        <v>44591</v>
      </c>
      <c r="K405" s="38">
        <f t="shared" si="58"/>
        <v>30</v>
      </c>
      <c r="L405" s="38" t="str">
        <f t="shared" si="59"/>
        <v>Dejar al valor nominal</v>
      </c>
      <c r="M405" s="38">
        <f t="shared" si="60"/>
        <v>0</v>
      </c>
      <c r="N405" s="272" t="str">
        <f t="shared" si="61"/>
        <v>OK</v>
      </c>
      <c r="O405" s="23" t="s">
        <v>777</v>
      </c>
      <c r="P405" s="23"/>
      <c r="Q405" s="23"/>
      <c r="R405" s="23"/>
    </row>
    <row r="406" spans="1:18 16384:16384">
      <c r="A406" s="22">
        <v>23359500</v>
      </c>
      <c r="B406" s="23" t="s">
        <v>36</v>
      </c>
      <c r="C406" s="34" t="s">
        <v>1008</v>
      </c>
      <c r="D406" s="34"/>
      <c r="E406" s="49" t="s">
        <v>505</v>
      </c>
      <c r="F406" s="36" t="s">
        <v>481</v>
      </c>
      <c r="G406" s="23">
        <v>886000</v>
      </c>
      <c r="H406" s="23">
        <v>886000</v>
      </c>
      <c r="I406" s="37">
        <v>44561</v>
      </c>
      <c r="J406" s="37">
        <f t="shared" si="57"/>
        <v>44591</v>
      </c>
      <c r="K406" s="38">
        <f t="shared" si="58"/>
        <v>30</v>
      </c>
      <c r="L406" s="38" t="str">
        <f t="shared" si="59"/>
        <v>Dejar al valor nominal</v>
      </c>
      <c r="M406" s="38">
        <f t="shared" si="60"/>
        <v>0</v>
      </c>
      <c r="N406" s="272" t="str">
        <f t="shared" si="61"/>
        <v>OK</v>
      </c>
      <c r="O406" s="23" t="s">
        <v>777</v>
      </c>
      <c r="P406" s="23"/>
      <c r="Q406" s="23"/>
      <c r="R406" s="23"/>
    </row>
    <row r="407" spans="1:18 16384:16384">
      <c r="A407" s="22">
        <v>23359500</v>
      </c>
      <c r="B407" s="23" t="s">
        <v>36</v>
      </c>
      <c r="C407" s="34" t="s">
        <v>1008</v>
      </c>
      <c r="D407" s="34"/>
      <c r="E407" s="49" t="s">
        <v>505</v>
      </c>
      <c r="F407" s="36" t="s">
        <v>481</v>
      </c>
      <c r="G407" s="23">
        <v>886000</v>
      </c>
      <c r="H407" s="23">
        <v>886000</v>
      </c>
      <c r="I407" s="37">
        <v>44561</v>
      </c>
      <c r="J407" s="37">
        <f t="shared" si="57"/>
        <v>44591</v>
      </c>
      <c r="K407" s="38">
        <f t="shared" si="58"/>
        <v>30</v>
      </c>
      <c r="L407" s="38" t="str">
        <f t="shared" si="59"/>
        <v>Dejar al valor nominal</v>
      </c>
      <c r="M407" s="38">
        <f t="shared" si="60"/>
        <v>0</v>
      </c>
      <c r="N407" s="272" t="str">
        <f t="shared" si="61"/>
        <v>OK</v>
      </c>
      <c r="O407" s="23" t="s">
        <v>777</v>
      </c>
      <c r="P407" s="23"/>
      <c r="Q407" s="23"/>
      <c r="R407" s="23"/>
    </row>
    <row r="408" spans="1:18 16384:16384">
      <c r="A408" s="22">
        <v>23359500</v>
      </c>
      <c r="B408" s="23" t="s">
        <v>36</v>
      </c>
      <c r="C408" s="34" t="s">
        <v>1008</v>
      </c>
      <c r="D408" s="34"/>
      <c r="E408" s="49" t="s">
        <v>505</v>
      </c>
      <c r="F408" s="36" t="s">
        <v>481</v>
      </c>
      <c r="G408" s="23">
        <v>1785000</v>
      </c>
      <c r="H408" s="23">
        <v>1785000</v>
      </c>
      <c r="I408" s="37">
        <v>44561</v>
      </c>
      <c r="J408" s="37">
        <f t="shared" si="57"/>
        <v>44591</v>
      </c>
      <c r="K408" s="38">
        <f t="shared" si="58"/>
        <v>30</v>
      </c>
      <c r="L408" s="38" t="str">
        <f t="shared" si="59"/>
        <v>Dejar al valor nominal</v>
      </c>
      <c r="M408" s="38">
        <f t="shared" si="60"/>
        <v>0</v>
      </c>
      <c r="N408" s="272" t="str">
        <f t="shared" si="61"/>
        <v>OK</v>
      </c>
      <c r="O408" s="23" t="s">
        <v>777</v>
      </c>
      <c r="P408" s="23"/>
      <c r="Q408" s="23"/>
      <c r="R408" s="23"/>
    </row>
    <row r="409" spans="1:18 16384:16384">
      <c r="A409" s="22">
        <v>23359500</v>
      </c>
      <c r="B409" s="23" t="s">
        <v>36</v>
      </c>
      <c r="C409" s="34" t="s">
        <v>1008</v>
      </c>
      <c r="D409" s="34"/>
      <c r="E409" s="49" t="s">
        <v>505</v>
      </c>
      <c r="F409" s="36" t="s">
        <v>481</v>
      </c>
      <c r="G409" s="23">
        <v>886000</v>
      </c>
      <c r="H409" s="23">
        <v>886000</v>
      </c>
      <c r="I409" s="37">
        <v>44561</v>
      </c>
      <c r="J409" s="37">
        <f t="shared" si="57"/>
        <v>44591</v>
      </c>
      <c r="K409" s="38">
        <f t="shared" si="58"/>
        <v>30</v>
      </c>
      <c r="L409" s="38" t="str">
        <f t="shared" si="59"/>
        <v>Dejar al valor nominal</v>
      </c>
      <c r="M409" s="38">
        <f t="shared" si="60"/>
        <v>0</v>
      </c>
      <c r="N409" s="272" t="str">
        <f t="shared" si="61"/>
        <v>OK</v>
      </c>
      <c r="O409" s="23" t="s">
        <v>777</v>
      </c>
      <c r="P409" s="23"/>
      <c r="Q409" s="23"/>
      <c r="R409" s="23"/>
    </row>
    <row r="410" spans="1:18 16384:16384">
      <c r="A410" s="22">
        <v>23359500</v>
      </c>
      <c r="B410" s="23" t="s">
        <v>36</v>
      </c>
      <c r="C410" s="34" t="s">
        <v>1008</v>
      </c>
      <c r="D410" s="34"/>
      <c r="E410" s="49" t="s">
        <v>505</v>
      </c>
      <c r="F410" s="36" t="s">
        <v>481</v>
      </c>
      <c r="G410" s="23">
        <v>95200</v>
      </c>
      <c r="H410" s="23">
        <v>95200</v>
      </c>
      <c r="I410" s="37">
        <v>44561</v>
      </c>
      <c r="J410" s="37">
        <f t="shared" si="57"/>
        <v>44591</v>
      </c>
      <c r="K410" s="38">
        <f t="shared" si="58"/>
        <v>30</v>
      </c>
      <c r="L410" s="38" t="str">
        <f t="shared" si="59"/>
        <v>Dejar al valor nominal</v>
      </c>
      <c r="M410" s="38">
        <f t="shared" si="60"/>
        <v>0</v>
      </c>
      <c r="N410" s="272" t="str">
        <f t="shared" si="61"/>
        <v>OK</v>
      </c>
      <c r="O410" s="23" t="s">
        <v>777</v>
      </c>
      <c r="P410" s="23"/>
      <c r="Q410" s="23"/>
      <c r="R410" s="23"/>
    </row>
    <row r="411" spans="1:18 16384:16384">
      <c r="A411" s="22">
        <v>23359500</v>
      </c>
      <c r="B411" s="23" t="s">
        <v>36</v>
      </c>
      <c r="C411" s="34" t="s">
        <v>1008</v>
      </c>
      <c r="D411" s="34"/>
      <c r="E411" s="49" t="s">
        <v>505</v>
      </c>
      <c r="F411" s="36" t="s">
        <v>481</v>
      </c>
      <c r="G411" s="23">
        <v>214200</v>
      </c>
      <c r="H411" s="23">
        <v>214200</v>
      </c>
      <c r="I411" s="37">
        <v>44561</v>
      </c>
      <c r="J411" s="37">
        <f t="shared" ref="J411:J414" si="62">I411+30</f>
        <v>44591</v>
      </c>
      <c r="K411" s="38">
        <f t="shared" ref="K411:K414" si="63">IF(J411-I411&lt;0,"Error",J411-I411)</f>
        <v>30</v>
      </c>
      <c r="L411" s="38" t="str">
        <f t="shared" ref="L411:L414" si="64">IF(K411&gt;365,"Medir al costo amortizado","Dejar al valor nominal")</f>
        <v>Dejar al valor nominal</v>
      </c>
      <c r="M411" s="38">
        <f t="shared" ref="M411:M414" si="65">H411-G411</f>
        <v>0</v>
      </c>
      <c r="N411" s="272" t="str">
        <f t="shared" ref="N411:N414" si="66">IF($N$18-J411&gt;K411,"Revisar","OK")</f>
        <v>OK</v>
      </c>
      <c r="O411" s="23" t="s">
        <v>777</v>
      </c>
      <c r="P411" s="23"/>
      <c r="Q411" s="23"/>
      <c r="R411" s="23"/>
    </row>
    <row r="412" spans="1:18 16384:16384">
      <c r="A412" s="22">
        <v>23359500</v>
      </c>
      <c r="B412" s="23" t="s">
        <v>36</v>
      </c>
      <c r="C412" s="34" t="s">
        <v>1008</v>
      </c>
      <c r="D412" s="34"/>
      <c r="E412" s="49" t="s">
        <v>505</v>
      </c>
      <c r="F412" s="36" t="s">
        <v>481</v>
      </c>
      <c r="G412" s="23">
        <v>1178100</v>
      </c>
      <c r="H412" s="23">
        <v>1178100</v>
      </c>
      <c r="I412" s="37">
        <v>44561</v>
      </c>
      <c r="J412" s="37">
        <f t="shared" si="62"/>
        <v>44591</v>
      </c>
      <c r="K412" s="38">
        <f t="shared" si="63"/>
        <v>30</v>
      </c>
      <c r="L412" s="38" t="str">
        <f t="shared" si="64"/>
        <v>Dejar al valor nominal</v>
      </c>
      <c r="M412" s="38">
        <f t="shared" si="65"/>
        <v>0</v>
      </c>
      <c r="N412" s="272" t="str">
        <f t="shared" si="66"/>
        <v>OK</v>
      </c>
      <c r="O412" s="23" t="s">
        <v>777</v>
      </c>
      <c r="P412" s="23"/>
      <c r="Q412" s="23"/>
      <c r="R412" s="23"/>
    </row>
    <row r="413" spans="1:18 16384:16384">
      <c r="A413" s="22">
        <v>23359500</v>
      </c>
      <c r="B413" s="23" t="s">
        <v>36</v>
      </c>
      <c r="C413" s="34" t="s">
        <v>1008</v>
      </c>
      <c r="D413" s="34"/>
      <c r="E413" s="49" t="s">
        <v>505</v>
      </c>
      <c r="F413" s="36" t="s">
        <v>481</v>
      </c>
      <c r="G413" s="23">
        <v>471240</v>
      </c>
      <c r="H413" s="23">
        <v>471240</v>
      </c>
      <c r="I413" s="37">
        <v>44561</v>
      </c>
      <c r="J413" s="37">
        <f t="shared" si="62"/>
        <v>44591</v>
      </c>
      <c r="K413" s="38">
        <f t="shared" si="63"/>
        <v>30</v>
      </c>
      <c r="L413" s="38" t="str">
        <f t="shared" si="64"/>
        <v>Dejar al valor nominal</v>
      </c>
      <c r="M413" s="38">
        <f t="shared" si="65"/>
        <v>0</v>
      </c>
      <c r="N413" s="272" t="str">
        <f t="shared" si="66"/>
        <v>OK</v>
      </c>
      <c r="O413" s="23" t="s">
        <v>777</v>
      </c>
      <c r="P413" s="23"/>
      <c r="Q413" s="23"/>
      <c r="R413" s="23"/>
    </row>
    <row r="414" spans="1:18 16384:16384">
      <c r="A414" s="22">
        <v>23359500</v>
      </c>
      <c r="B414" s="23" t="s">
        <v>36</v>
      </c>
      <c r="C414" s="34" t="s">
        <v>1008</v>
      </c>
      <c r="D414" s="34"/>
      <c r="E414" s="49" t="s">
        <v>505</v>
      </c>
      <c r="F414" s="36" t="s">
        <v>481</v>
      </c>
      <c r="G414" s="23">
        <v>274176</v>
      </c>
      <c r="H414" s="23">
        <v>274176</v>
      </c>
      <c r="I414" s="37">
        <v>44561</v>
      </c>
      <c r="J414" s="37">
        <f t="shared" si="62"/>
        <v>44591</v>
      </c>
      <c r="K414" s="38">
        <f t="shared" si="63"/>
        <v>30</v>
      </c>
      <c r="L414" s="38" t="str">
        <f t="shared" si="64"/>
        <v>Dejar al valor nominal</v>
      </c>
      <c r="M414" s="38">
        <f t="shared" si="65"/>
        <v>0</v>
      </c>
      <c r="N414" s="272" t="str">
        <f t="shared" si="66"/>
        <v>OK</v>
      </c>
      <c r="O414" s="23" t="s">
        <v>777</v>
      </c>
      <c r="P414" s="23"/>
      <c r="Q414" s="23"/>
      <c r="R414" s="23"/>
    </row>
    <row r="415" spans="1:18 16384:16384">
      <c r="A415" s="22">
        <v>23359500</v>
      </c>
      <c r="B415" s="23" t="s">
        <v>36</v>
      </c>
      <c r="C415" s="34" t="s">
        <v>1008</v>
      </c>
      <c r="D415" s="34"/>
      <c r="E415" s="49" t="s">
        <v>505</v>
      </c>
      <c r="F415" s="36" t="s">
        <v>481</v>
      </c>
      <c r="G415" s="23">
        <v>29155</v>
      </c>
      <c r="H415" s="23">
        <v>29155</v>
      </c>
      <c r="I415" s="37">
        <v>44561</v>
      </c>
      <c r="J415" s="37">
        <f t="shared" si="57"/>
        <v>44591</v>
      </c>
      <c r="K415" s="38">
        <f t="shared" si="58"/>
        <v>30</v>
      </c>
      <c r="L415" s="38" t="str">
        <f t="shared" si="59"/>
        <v>Dejar al valor nominal</v>
      </c>
      <c r="M415" s="38">
        <f t="shared" si="60"/>
        <v>0</v>
      </c>
      <c r="N415" s="272" t="str">
        <f t="shared" si="61"/>
        <v>OK</v>
      </c>
      <c r="O415" s="23" t="s">
        <v>777</v>
      </c>
      <c r="P415" s="23"/>
      <c r="Q415" s="23"/>
      <c r="R415" s="23"/>
    </row>
    <row r="416" spans="1:18 16384:16384">
      <c r="A416" s="22">
        <v>23359500</v>
      </c>
      <c r="B416" s="23" t="s">
        <v>36</v>
      </c>
      <c r="C416" s="34" t="s">
        <v>1008</v>
      </c>
      <c r="D416" s="34"/>
      <c r="E416" s="49" t="s">
        <v>505</v>
      </c>
      <c r="F416" s="36" t="s">
        <v>481</v>
      </c>
      <c r="G416" s="23">
        <v>28560</v>
      </c>
      <c r="H416" s="23">
        <v>28560</v>
      </c>
      <c r="I416" s="37">
        <v>44561</v>
      </c>
      <c r="J416" s="37">
        <f t="shared" si="57"/>
        <v>44591</v>
      </c>
      <c r="K416" s="38">
        <f t="shared" si="58"/>
        <v>30</v>
      </c>
      <c r="L416" s="38" t="str">
        <f t="shared" si="59"/>
        <v>Dejar al valor nominal</v>
      </c>
      <c r="M416" s="38">
        <f t="shared" si="60"/>
        <v>0</v>
      </c>
      <c r="N416" s="272" t="str">
        <f t="shared" si="61"/>
        <v>OK</v>
      </c>
      <c r="O416" s="23" t="s">
        <v>777</v>
      </c>
      <c r="P416" s="23"/>
      <c r="Q416" s="23"/>
      <c r="R416" s="23"/>
    </row>
    <row r="417" spans="1:16384"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80"/>
      <c r="Q417" s="23"/>
      <c r="R417" s="23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U417" s="22"/>
      <c r="BV417" s="22"/>
      <c r="BW417" s="22"/>
      <c r="BX417" s="22"/>
      <c r="BY417" s="22"/>
      <c r="BZ417" s="22"/>
      <c r="CA417" s="22"/>
      <c r="CB417" s="22"/>
      <c r="CC417" s="22"/>
      <c r="CD417" s="22"/>
      <c r="CE417" s="22"/>
      <c r="CF417" s="22"/>
      <c r="CG417" s="22"/>
      <c r="CH417" s="22"/>
      <c r="CI417" s="22"/>
      <c r="CJ417" s="22"/>
      <c r="CK417" s="22"/>
      <c r="CL417" s="22"/>
      <c r="CM417" s="22"/>
      <c r="CN417" s="22"/>
      <c r="CO417" s="22"/>
      <c r="CP417" s="22"/>
      <c r="CQ417" s="22"/>
      <c r="CR417" s="22"/>
      <c r="CS417" s="22"/>
      <c r="CT417" s="22"/>
      <c r="CU417" s="22"/>
      <c r="CV417" s="22"/>
      <c r="CW417" s="22"/>
      <c r="CX417" s="22"/>
      <c r="CY417" s="22"/>
      <c r="CZ417" s="22"/>
      <c r="DA417" s="22"/>
      <c r="DB417" s="22"/>
      <c r="DC417" s="22"/>
      <c r="DD417" s="22"/>
      <c r="DE417" s="22"/>
      <c r="DF417" s="22"/>
      <c r="DG417" s="22"/>
      <c r="DH417" s="22"/>
      <c r="DI417" s="22"/>
      <c r="DJ417" s="22"/>
      <c r="DK417" s="22"/>
      <c r="DL417" s="22"/>
      <c r="DM417" s="22"/>
      <c r="DN417" s="22"/>
      <c r="DO417" s="22"/>
      <c r="DP417" s="22"/>
      <c r="DQ417" s="22"/>
      <c r="DR417" s="22"/>
      <c r="DS417" s="22"/>
      <c r="DT417" s="22"/>
      <c r="DU417" s="22"/>
      <c r="DV417" s="22"/>
      <c r="DW417" s="22"/>
      <c r="DX417" s="22"/>
      <c r="DY417" s="22"/>
      <c r="DZ417" s="22"/>
      <c r="EA417" s="22"/>
      <c r="EB417" s="22"/>
      <c r="EC417" s="22"/>
      <c r="ED417" s="22"/>
      <c r="EE417" s="22"/>
      <c r="EF417" s="22"/>
      <c r="EG417" s="22"/>
      <c r="EH417" s="22"/>
      <c r="EI417" s="22"/>
      <c r="EJ417" s="22"/>
      <c r="EK417" s="22"/>
      <c r="EL417" s="22"/>
      <c r="EM417" s="22"/>
      <c r="EN417" s="22"/>
      <c r="EO417" s="22"/>
      <c r="EP417" s="22"/>
      <c r="EQ417" s="22"/>
      <c r="ER417" s="22"/>
      <c r="ES417" s="22"/>
      <c r="ET417" s="22"/>
      <c r="EU417" s="22"/>
      <c r="EV417" s="22"/>
      <c r="EW417" s="22"/>
      <c r="EX417" s="22"/>
      <c r="EY417" s="22"/>
      <c r="EZ417" s="22"/>
      <c r="FA417" s="22"/>
      <c r="FB417" s="22"/>
      <c r="FC417" s="22"/>
      <c r="FD417" s="22"/>
      <c r="FE417" s="22"/>
      <c r="FF417" s="22"/>
      <c r="FG417" s="22"/>
      <c r="FH417" s="22"/>
      <c r="FI417" s="22"/>
      <c r="FJ417" s="22"/>
      <c r="FK417" s="22"/>
      <c r="FL417" s="22"/>
      <c r="FM417" s="22"/>
      <c r="FN417" s="22"/>
      <c r="FO417" s="22"/>
      <c r="FP417" s="22"/>
      <c r="FQ417" s="22"/>
      <c r="FR417" s="22"/>
      <c r="FS417" s="22"/>
      <c r="FT417" s="22"/>
      <c r="FU417" s="22"/>
      <c r="FV417" s="22"/>
      <c r="FW417" s="22"/>
      <c r="FX417" s="22"/>
      <c r="FY417" s="22"/>
      <c r="FZ417" s="22"/>
      <c r="GA417" s="22"/>
      <c r="GB417" s="22"/>
      <c r="GC417" s="22"/>
      <c r="GD417" s="22"/>
      <c r="GE417" s="22"/>
      <c r="GF417" s="22"/>
      <c r="GG417" s="22"/>
      <c r="GH417" s="22"/>
      <c r="GI417" s="22"/>
      <c r="GJ417" s="22"/>
      <c r="GK417" s="22"/>
      <c r="GL417" s="22"/>
      <c r="GM417" s="22"/>
      <c r="GN417" s="22"/>
      <c r="GO417" s="22"/>
      <c r="GP417" s="22"/>
      <c r="GQ417" s="22"/>
      <c r="GR417" s="22"/>
      <c r="GS417" s="22"/>
      <c r="GT417" s="22"/>
      <c r="GU417" s="22"/>
      <c r="GV417" s="22"/>
      <c r="GW417" s="22"/>
      <c r="GX417" s="22"/>
      <c r="GY417" s="22"/>
      <c r="GZ417" s="22"/>
      <c r="HA417" s="22"/>
      <c r="HB417" s="22"/>
      <c r="HC417" s="22"/>
      <c r="HD417" s="22"/>
      <c r="HE417" s="22"/>
      <c r="HF417" s="22"/>
      <c r="HG417" s="22"/>
      <c r="HH417" s="22"/>
      <c r="HI417" s="22"/>
      <c r="HJ417" s="22"/>
      <c r="HK417" s="22"/>
      <c r="HL417" s="22"/>
      <c r="HM417" s="22"/>
      <c r="HN417" s="22"/>
      <c r="HO417" s="22"/>
      <c r="HP417" s="22"/>
      <c r="HQ417" s="22"/>
      <c r="HR417" s="22"/>
      <c r="HS417" s="22"/>
      <c r="HT417" s="22"/>
      <c r="HU417" s="22"/>
      <c r="HV417" s="22"/>
      <c r="HW417" s="22"/>
      <c r="HX417" s="22"/>
      <c r="HY417" s="22"/>
      <c r="HZ417" s="22"/>
      <c r="IA417" s="22"/>
      <c r="IB417" s="22"/>
      <c r="IC417" s="22"/>
      <c r="ID417" s="22"/>
      <c r="IE417" s="22"/>
      <c r="IF417" s="22"/>
      <c r="IG417" s="22"/>
      <c r="IH417" s="22"/>
      <c r="II417" s="22"/>
      <c r="IJ417" s="22"/>
      <c r="IK417" s="22"/>
      <c r="IL417" s="22"/>
      <c r="IM417" s="22"/>
      <c r="IN417" s="22"/>
      <c r="IO417" s="22"/>
      <c r="IP417" s="22"/>
      <c r="IQ417" s="22"/>
      <c r="IR417" s="22"/>
      <c r="IS417" s="22"/>
      <c r="IT417" s="22"/>
      <c r="IU417" s="22"/>
      <c r="IV417" s="22"/>
      <c r="IW417" s="22"/>
      <c r="IX417" s="22"/>
      <c r="IY417" s="22"/>
      <c r="IZ417" s="22"/>
      <c r="JA417" s="22"/>
      <c r="JB417" s="22"/>
      <c r="JC417" s="22"/>
      <c r="JD417" s="22"/>
      <c r="JE417" s="22"/>
      <c r="JF417" s="22"/>
      <c r="JG417" s="22"/>
      <c r="JH417" s="22"/>
      <c r="JI417" s="22"/>
      <c r="JJ417" s="22"/>
      <c r="JK417" s="22"/>
      <c r="JL417" s="22"/>
      <c r="JM417" s="22"/>
      <c r="JN417" s="22"/>
      <c r="JO417" s="22"/>
      <c r="JP417" s="22"/>
      <c r="JQ417" s="22"/>
      <c r="JR417" s="22"/>
      <c r="JS417" s="22"/>
      <c r="JT417" s="22"/>
      <c r="JU417" s="22"/>
      <c r="JV417" s="22"/>
      <c r="JW417" s="22"/>
      <c r="JX417" s="22"/>
      <c r="JY417" s="22"/>
      <c r="JZ417" s="22"/>
      <c r="KA417" s="22"/>
      <c r="KB417" s="22"/>
      <c r="KC417" s="22"/>
      <c r="KD417" s="22"/>
      <c r="KE417" s="22"/>
      <c r="KF417" s="22"/>
      <c r="KG417" s="22"/>
      <c r="KH417" s="22"/>
      <c r="KI417" s="22"/>
      <c r="KJ417" s="22"/>
      <c r="KK417" s="22"/>
      <c r="KL417" s="22"/>
      <c r="KM417" s="22"/>
      <c r="KN417" s="22"/>
      <c r="KO417" s="22"/>
      <c r="KP417" s="22"/>
      <c r="KQ417" s="22"/>
      <c r="KR417" s="22"/>
      <c r="KS417" s="22"/>
      <c r="KT417" s="22"/>
      <c r="KU417" s="22"/>
      <c r="KV417" s="22"/>
      <c r="KW417" s="22"/>
      <c r="KX417" s="22"/>
      <c r="KY417" s="22"/>
      <c r="KZ417" s="22"/>
      <c r="LA417" s="22"/>
      <c r="LB417" s="22"/>
      <c r="LC417" s="22"/>
      <c r="LD417" s="22"/>
      <c r="LE417" s="22"/>
      <c r="LF417" s="22"/>
      <c r="LG417" s="22"/>
      <c r="LH417" s="22"/>
      <c r="LI417" s="22"/>
      <c r="LJ417" s="22"/>
      <c r="LK417" s="22"/>
      <c r="LL417" s="22"/>
      <c r="LM417" s="22"/>
      <c r="LN417" s="22"/>
      <c r="LO417" s="22"/>
      <c r="LP417" s="22"/>
      <c r="LQ417" s="22"/>
      <c r="LR417" s="22"/>
      <c r="LS417" s="22"/>
      <c r="LT417" s="22"/>
      <c r="LU417" s="22"/>
      <c r="LV417" s="22"/>
      <c r="LW417" s="22"/>
      <c r="LX417" s="22"/>
      <c r="LY417" s="22"/>
      <c r="LZ417" s="22"/>
      <c r="MA417" s="22"/>
      <c r="MB417" s="22"/>
      <c r="MC417" s="22"/>
      <c r="MD417" s="22"/>
      <c r="ME417" s="22"/>
      <c r="MF417" s="22"/>
      <c r="MG417" s="22"/>
      <c r="MH417" s="22"/>
      <c r="MI417" s="22"/>
      <c r="MJ417" s="22"/>
      <c r="MK417" s="22"/>
      <c r="ML417" s="22"/>
      <c r="MM417" s="22"/>
      <c r="MN417" s="22"/>
      <c r="MO417" s="22"/>
      <c r="MP417" s="22"/>
      <c r="MQ417" s="22"/>
      <c r="MR417" s="22"/>
      <c r="MS417" s="22"/>
      <c r="MT417" s="22"/>
      <c r="MU417" s="22"/>
      <c r="MV417" s="22"/>
      <c r="MW417" s="22"/>
      <c r="MX417" s="22"/>
      <c r="MY417" s="22"/>
      <c r="MZ417" s="22"/>
      <c r="NA417" s="22"/>
      <c r="NB417" s="22"/>
      <c r="NC417" s="22"/>
      <c r="ND417" s="22"/>
      <c r="NE417" s="22"/>
      <c r="NF417" s="22"/>
      <c r="NG417" s="22"/>
      <c r="NH417" s="22"/>
      <c r="NI417" s="22"/>
      <c r="NJ417" s="22"/>
      <c r="NK417" s="22"/>
      <c r="NL417" s="22"/>
      <c r="NM417" s="22"/>
      <c r="NN417" s="22"/>
      <c r="NO417" s="22"/>
      <c r="NP417" s="22"/>
      <c r="NQ417" s="22"/>
      <c r="NR417" s="22"/>
      <c r="NS417" s="22"/>
      <c r="NT417" s="22"/>
      <c r="NU417" s="22"/>
      <c r="NV417" s="22"/>
      <c r="NW417" s="22"/>
      <c r="NX417" s="22"/>
      <c r="NY417" s="22"/>
      <c r="NZ417" s="22"/>
      <c r="OA417" s="22"/>
      <c r="OB417" s="22"/>
      <c r="OC417" s="22"/>
      <c r="OD417" s="22"/>
      <c r="OE417" s="22"/>
      <c r="OF417" s="22"/>
      <c r="OG417" s="22"/>
      <c r="OH417" s="22"/>
      <c r="OI417" s="22"/>
      <c r="OJ417" s="22"/>
      <c r="OK417" s="22"/>
      <c r="OL417" s="22"/>
      <c r="OM417" s="22"/>
      <c r="ON417" s="22"/>
      <c r="OO417" s="22"/>
      <c r="OP417" s="22"/>
      <c r="OQ417" s="22"/>
      <c r="OR417" s="22"/>
      <c r="OS417" s="22"/>
      <c r="OT417" s="22"/>
      <c r="OU417" s="22"/>
      <c r="OV417" s="22"/>
      <c r="OW417" s="22"/>
      <c r="OX417" s="22"/>
      <c r="OY417" s="22"/>
      <c r="OZ417" s="22"/>
      <c r="PA417" s="22"/>
      <c r="PB417" s="22"/>
      <c r="PC417" s="22"/>
      <c r="PD417" s="22"/>
      <c r="PE417" s="22"/>
      <c r="PF417" s="22"/>
      <c r="PG417" s="22"/>
      <c r="PH417" s="22"/>
      <c r="PI417" s="22"/>
      <c r="PJ417" s="22"/>
      <c r="PK417" s="22"/>
      <c r="PL417" s="22"/>
      <c r="PM417" s="22"/>
      <c r="PN417" s="22"/>
      <c r="PO417" s="22"/>
      <c r="PP417" s="22"/>
      <c r="PQ417" s="22"/>
      <c r="PR417" s="22"/>
      <c r="PS417" s="22"/>
      <c r="PT417" s="22"/>
      <c r="PU417" s="22"/>
      <c r="PV417" s="22"/>
      <c r="PW417" s="22"/>
      <c r="PX417" s="22"/>
      <c r="PY417" s="22"/>
      <c r="PZ417" s="22"/>
      <c r="QA417" s="22"/>
      <c r="QB417" s="22"/>
      <c r="QC417" s="22"/>
      <c r="QD417" s="22"/>
      <c r="QE417" s="22"/>
      <c r="QF417" s="22"/>
      <c r="QG417" s="22"/>
      <c r="QH417" s="22"/>
      <c r="QI417" s="22"/>
      <c r="QJ417" s="22"/>
      <c r="QK417" s="22"/>
      <c r="QL417" s="22"/>
      <c r="QM417" s="22"/>
      <c r="QN417" s="22"/>
      <c r="QO417" s="22"/>
      <c r="QP417" s="22"/>
      <c r="QQ417" s="22"/>
      <c r="QR417" s="22"/>
      <c r="QS417" s="22"/>
      <c r="QT417" s="22"/>
      <c r="QU417" s="22"/>
      <c r="QV417" s="22"/>
      <c r="QW417" s="22"/>
      <c r="QX417" s="22"/>
      <c r="QY417" s="22"/>
      <c r="QZ417" s="22"/>
      <c r="RA417" s="22"/>
      <c r="RB417" s="22"/>
      <c r="RC417" s="22"/>
      <c r="RD417" s="22"/>
      <c r="RE417" s="22"/>
      <c r="RF417" s="22"/>
      <c r="RG417" s="22"/>
      <c r="RH417" s="22"/>
      <c r="RI417" s="22"/>
      <c r="RJ417" s="22"/>
      <c r="RK417" s="22"/>
      <c r="RL417" s="22"/>
      <c r="RM417" s="22"/>
      <c r="RN417" s="22"/>
      <c r="RO417" s="22"/>
      <c r="RP417" s="22"/>
      <c r="RQ417" s="22"/>
      <c r="RR417" s="22"/>
      <c r="RS417" s="22"/>
      <c r="RT417" s="22"/>
      <c r="RU417" s="22"/>
      <c r="RV417" s="22"/>
      <c r="RW417" s="22"/>
      <c r="RX417" s="22"/>
      <c r="RY417" s="22"/>
      <c r="RZ417" s="22"/>
      <c r="SA417" s="22"/>
      <c r="SB417" s="22"/>
      <c r="SC417" s="22"/>
      <c r="SD417" s="22"/>
      <c r="SE417" s="22"/>
      <c r="SF417" s="22"/>
      <c r="SG417" s="22"/>
      <c r="SH417" s="22"/>
      <c r="SI417" s="22"/>
      <c r="SJ417" s="22"/>
      <c r="SK417" s="22"/>
      <c r="SL417" s="22"/>
      <c r="SM417" s="22"/>
      <c r="SN417" s="22"/>
      <c r="SO417" s="22"/>
      <c r="SP417" s="22"/>
      <c r="SQ417" s="22"/>
      <c r="SR417" s="22"/>
      <c r="SS417" s="22"/>
      <c r="ST417" s="22"/>
      <c r="SU417" s="22"/>
      <c r="SV417" s="22"/>
      <c r="SW417" s="22"/>
      <c r="SX417" s="22"/>
      <c r="SY417" s="22"/>
      <c r="SZ417" s="22"/>
      <c r="TA417" s="22"/>
      <c r="TB417" s="22"/>
      <c r="TC417" s="22"/>
      <c r="TD417" s="22"/>
      <c r="TE417" s="22"/>
      <c r="TF417" s="22"/>
      <c r="TG417" s="22"/>
      <c r="TH417" s="22"/>
      <c r="TI417" s="22"/>
      <c r="TJ417" s="22"/>
      <c r="TK417" s="22"/>
      <c r="TL417" s="22"/>
      <c r="TM417" s="22"/>
      <c r="TN417" s="22"/>
      <c r="TO417" s="22"/>
      <c r="TP417" s="22"/>
      <c r="TQ417" s="22"/>
      <c r="TR417" s="22"/>
      <c r="TS417" s="22"/>
      <c r="TT417" s="22"/>
      <c r="TU417" s="22"/>
      <c r="TV417" s="22"/>
      <c r="TW417" s="22"/>
      <c r="TX417" s="22"/>
      <c r="TY417" s="22"/>
      <c r="TZ417" s="22"/>
      <c r="UA417" s="22"/>
      <c r="UB417" s="22"/>
      <c r="UC417" s="22"/>
      <c r="UD417" s="22"/>
      <c r="UE417" s="22"/>
      <c r="UF417" s="22"/>
      <c r="UG417" s="22"/>
      <c r="UH417" s="22"/>
      <c r="UI417" s="22"/>
      <c r="UJ417" s="22"/>
      <c r="UK417" s="22"/>
      <c r="UL417" s="22"/>
      <c r="UM417" s="22"/>
      <c r="UN417" s="22"/>
      <c r="UO417" s="22"/>
      <c r="UP417" s="22"/>
      <c r="UQ417" s="22"/>
      <c r="UR417" s="22"/>
      <c r="US417" s="22"/>
      <c r="UT417" s="22"/>
      <c r="UU417" s="22"/>
      <c r="UV417" s="22"/>
      <c r="UW417" s="22"/>
      <c r="UX417" s="22"/>
      <c r="UY417" s="22"/>
      <c r="UZ417" s="22"/>
      <c r="VA417" s="22"/>
      <c r="VB417" s="22"/>
      <c r="VC417" s="22"/>
      <c r="VD417" s="22"/>
      <c r="VE417" s="22"/>
      <c r="VF417" s="22"/>
      <c r="VG417" s="22"/>
      <c r="VH417" s="22"/>
      <c r="VI417" s="22"/>
      <c r="VJ417" s="22"/>
      <c r="VK417" s="22"/>
      <c r="VL417" s="22"/>
      <c r="VM417" s="22"/>
      <c r="VN417" s="22"/>
      <c r="VO417" s="22"/>
      <c r="VP417" s="22"/>
      <c r="VQ417" s="22"/>
      <c r="VR417" s="22"/>
      <c r="VS417" s="22"/>
      <c r="VT417" s="22"/>
      <c r="VU417" s="22"/>
      <c r="VV417" s="22"/>
      <c r="VW417" s="22"/>
      <c r="VX417" s="22"/>
      <c r="VY417" s="22"/>
      <c r="VZ417" s="22"/>
      <c r="WA417" s="22"/>
      <c r="WB417" s="22"/>
      <c r="WC417" s="22"/>
      <c r="WD417" s="22"/>
      <c r="WE417" s="22"/>
      <c r="WF417" s="22"/>
      <c r="WG417" s="22"/>
      <c r="WH417" s="22"/>
      <c r="WI417" s="22"/>
      <c r="WJ417" s="22"/>
      <c r="WK417" s="22"/>
      <c r="WL417" s="22"/>
      <c r="WM417" s="22"/>
      <c r="WN417" s="22"/>
      <c r="WO417" s="22"/>
      <c r="WP417" s="22"/>
      <c r="WQ417" s="22"/>
      <c r="WR417" s="22"/>
      <c r="WS417" s="22"/>
      <c r="WT417" s="22"/>
      <c r="WU417" s="22"/>
      <c r="WV417" s="22"/>
      <c r="WW417" s="22"/>
      <c r="WX417" s="22"/>
      <c r="WY417" s="22"/>
      <c r="WZ417" s="22"/>
      <c r="XA417" s="22"/>
      <c r="XB417" s="22"/>
      <c r="XC417" s="22"/>
      <c r="XD417" s="22"/>
      <c r="XE417" s="22"/>
      <c r="XF417" s="22"/>
      <c r="XG417" s="22"/>
      <c r="XH417" s="22"/>
      <c r="XI417" s="22"/>
      <c r="XJ417" s="22"/>
      <c r="XK417" s="22"/>
      <c r="XL417" s="22"/>
      <c r="XM417" s="22"/>
      <c r="XN417" s="22"/>
      <c r="XO417" s="22"/>
      <c r="XP417" s="22"/>
      <c r="XQ417" s="22"/>
      <c r="XR417" s="22"/>
      <c r="XS417" s="22"/>
      <c r="XT417" s="22"/>
      <c r="XU417" s="22"/>
      <c r="XV417" s="22"/>
      <c r="XW417" s="22"/>
      <c r="XX417" s="22"/>
      <c r="XY417" s="22"/>
      <c r="XZ417" s="22"/>
      <c r="YA417" s="22"/>
      <c r="YB417" s="22"/>
      <c r="YC417" s="22"/>
      <c r="YD417" s="22"/>
      <c r="YE417" s="22"/>
      <c r="YF417" s="22"/>
      <c r="YG417" s="22"/>
      <c r="YH417" s="22"/>
      <c r="YI417" s="22"/>
      <c r="YJ417" s="22"/>
      <c r="YK417" s="22"/>
      <c r="YL417" s="22"/>
      <c r="YM417" s="22"/>
      <c r="YN417" s="22"/>
      <c r="YO417" s="22"/>
      <c r="YP417" s="22"/>
      <c r="YQ417" s="22"/>
      <c r="YR417" s="22"/>
      <c r="YS417" s="22"/>
      <c r="YT417" s="22"/>
      <c r="YU417" s="22"/>
      <c r="YV417" s="22"/>
      <c r="YW417" s="22"/>
      <c r="YX417" s="22"/>
      <c r="YY417" s="22"/>
      <c r="YZ417" s="22"/>
      <c r="ZA417" s="22"/>
      <c r="ZB417" s="22"/>
      <c r="ZC417" s="22"/>
      <c r="ZD417" s="22"/>
      <c r="ZE417" s="22"/>
      <c r="ZF417" s="22"/>
      <c r="ZG417" s="22"/>
      <c r="ZH417" s="22"/>
      <c r="ZI417" s="22"/>
      <c r="ZJ417" s="22"/>
      <c r="ZK417" s="22"/>
      <c r="ZL417" s="22"/>
      <c r="ZM417" s="22"/>
      <c r="ZN417" s="22"/>
      <c r="ZO417" s="22"/>
      <c r="ZP417" s="22"/>
      <c r="ZQ417" s="22"/>
      <c r="ZR417" s="22"/>
      <c r="ZS417" s="22"/>
      <c r="ZT417" s="22"/>
      <c r="ZU417" s="22"/>
      <c r="ZV417" s="22"/>
      <c r="ZW417" s="22"/>
      <c r="ZX417" s="22"/>
      <c r="ZY417" s="22"/>
      <c r="ZZ417" s="22"/>
      <c r="AAA417" s="22"/>
      <c r="AAB417" s="22"/>
      <c r="AAC417" s="22"/>
      <c r="AAD417" s="22"/>
      <c r="AAE417" s="22"/>
      <c r="AAF417" s="22"/>
      <c r="AAG417" s="22"/>
      <c r="AAH417" s="22"/>
      <c r="AAI417" s="22"/>
      <c r="AAJ417" s="22"/>
      <c r="AAK417" s="22"/>
      <c r="AAL417" s="22"/>
      <c r="AAM417" s="22"/>
      <c r="AAN417" s="22"/>
      <c r="AAO417" s="22"/>
      <c r="AAP417" s="22"/>
      <c r="AAQ417" s="22"/>
      <c r="AAR417" s="22"/>
      <c r="AAS417" s="22"/>
      <c r="AAT417" s="22"/>
      <c r="AAU417" s="22"/>
      <c r="AAV417" s="22"/>
      <c r="AAW417" s="22"/>
      <c r="AAX417" s="22"/>
      <c r="AAY417" s="22"/>
      <c r="AAZ417" s="22"/>
      <c r="ABA417" s="22"/>
      <c r="ABB417" s="22"/>
      <c r="ABC417" s="22"/>
      <c r="ABD417" s="22"/>
      <c r="ABE417" s="22"/>
      <c r="ABF417" s="22"/>
      <c r="ABG417" s="22"/>
      <c r="ABH417" s="22"/>
      <c r="ABI417" s="22"/>
      <c r="ABJ417" s="22"/>
      <c r="ABK417" s="22"/>
      <c r="ABL417" s="22"/>
      <c r="ABM417" s="22"/>
      <c r="ABN417" s="22"/>
      <c r="ABO417" s="22"/>
      <c r="ABP417" s="22"/>
      <c r="ABQ417" s="22"/>
      <c r="ABR417" s="22"/>
      <c r="ABS417" s="22"/>
      <c r="ABT417" s="22"/>
      <c r="ABU417" s="22"/>
      <c r="ABV417" s="22"/>
      <c r="ABW417" s="22"/>
      <c r="ABX417" s="22"/>
      <c r="ABY417" s="22"/>
      <c r="ABZ417" s="22"/>
      <c r="ACA417" s="22"/>
      <c r="ACB417" s="22"/>
      <c r="ACC417" s="22"/>
      <c r="ACD417" s="22"/>
      <c r="ACE417" s="22"/>
      <c r="ACF417" s="22"/>
      <c r="ACG417" s="22"/>
      <c r="ACH417" s="22"/>
      <c r="ACI417" s="22"/>
      <c r="ACJ417" s="22"/>
      <c r="ACK417" s="22"/>
      <c r="ACL417" s="22"/>
      <c r="ACM417" s="22"/>
      <c r="ACN417" s="22"/>
      <c r="ACO417" s="22"/>
      <c r="ACP417" s="22"/>
      <c r="ACQ417" s="22"/>
      <c r="ACR417" s="22"/>
      <c r="ACS417" s="22"/>
      <c r="ACT417" s="22"/>
      <c r="ACU417" s="22"/>
      <c r="ACV417" s="22"/>
      <c r="ACW417" s="22"/>
      <c r="ACX417" s="22"/>
      <c r="ACY417" s="22"/>
      <c r="ACZ417" s="22"/>
      <c r="ADA417" s="22"/>
      <c r="ADB417" s="22"/>
      <c r="ADC417" s="22"/>
      <c r="ADD417" s="22"/>
      <c r="ADE417" s="22"/>
      <c r="ADF417" s="22"/>
      <c r="ADG417" s="22"/>
      <c r="ADH417" s="22"/>
      <c r="ADI417" s="22"/>
      <c r="ADJ417" s="22"/>
      <c r="ADK417" s="22"/>
      <c r="ADL417" s="22"/>
      <c r="ADM417" s="22"/>
      <c r="ADN417" s="22"/>
      <c r="ADO417" s="22"/>
      <c r="ADP417" s="22"/>
      <c r="ADQ417" s="22"/>
      <c r="ADR417" s="22"/>
      <c r="ADS417" s="22"/>
      <c r="ADT417" s="22"/>
      <c r="ADU417" s="22"/>
      <c r="ADV417" s="22"/>
      <c r="ADW417" s="22"/>
      <c r="ADX417" s="22"/>
      <c r="ADY417" s="22"/>
      <c r="ADZ417" s="22"/>
      <c r="AEA417" s="22"/>
      <c r="AEB417" s="22"/>
      <c r="AEC417" s="22"/>
      <c r="AED417" s="22"/>
      <c r="AEE417" s="22"/>
      <c r="AEF417" s="22"/>
      <c r="AEG417" s="22"/>
      <c r="AEH417" s="22"/>
      <c r="AEI417" s="22"/>
      <c r="AEJ417" s="22"/>
      <c r="AEK417" s="22"/>
      <c r="AEL417" s="22"/>
      <c r="AEM417" s="22"/>
      <c r="AEN417" s="22"/>
      <c r="AEO417" s="22"/>
      <c r="AEP417" s="22"/>
      <c r="AEQ417" s="22"/>
      <c r="AER417" s="22"/>
      <c r="AES417" s="22"/>
      <c r="AET417" s="22"/>
      <c r="AEU417" s="22"/>
      <c r="AEV417" s="22"/>
      <c r="AEW417" s="22"/>
      <c r="AEX417" s="22"/>
      <c r="AEY417" s="22"/>
      <c r="AEZ417" s="22"/>
      <c r="AFA417" s="22"/>
      <c r="AFB417" s="22"/>
      <c r="AFC417" s="22"/>
      <c r="AFD417" s="22"/>
      <c r="AFE417" s="22"/>
      <c r="AFF417" s="22"/>
      <c r="AFG417" s="22"/>
      <c r="AFH417" s="22"/>
      <c r="AFI417" s="22"/>
      <c r="AFJ417" s="22"/>
      <c r="AFK417" s="22"/>
      <c r="AFL417" s="22"/>
      <c r="AFM417" s="22"/>
      <c r="AFN417" s="22"/>
      <c r="AFO417" s="22"/>
      <c r="AFP417" s="22"/>
      <c r="AFQ417" s="22"/>
      <c r="AFR417" s="22"/>
      <c r="AFS417" s="22"/>
      <c r="AFT417" s="22"/>
      <c r="AFU417" s="22"/>
      <c r="AFV417" s="22"/>
      <c r="AFW417" s="22"/>
      <c r="AFX417" s="22"/>
      <c r="AFY417" s="22"/>
      <c r="AFZ417" s="22"/>
      <c r="AGA417" s="22"/>
      <c r="AGB417" s="22"/>
      <c r="AGC417" s="22"/>
      <c r="AGD417" s="22"/>
      <c r="AGE417" s="22"/>
      <c r="AGF417" s="22"/>
      <c r="AGG417" s="22"/>
      <c r="AGH417" s="22"/>
      <c r="AGI417" s="22"/>
      <c r="AGJ417" s="22"/>
      <c r="AGK417" s="22"/>
      <c r="AGL417" s="22"/>
      <c r="AGM417" s="22"/>
      <c r="AGN417" s="22"/>
      <c r="AGO417" s="22"/>
      <c r="AGP417" s="22"/>
      <c r="AGQ417" s="22"/>
      <c r="AGR417" s="22"/>
      <c r="AGS417" s="22"/>
      <c r="AGT417" s="22"/>
      <c r="AGU417" s="22"/>
      <c r="AGV417" s="22"/>
      <c r="AGW417" s="22"/>
      <c r="AGX417" s="22"/>
      <c r="AGY417" s="22"/>
      <c r="AGZ417" s="22"/>
      <c r="AHA417" s="22"/>
      <c r="AHB417" s="22"/>
      <c r="AHC417" s="22"/>
      <c r="AHD417" s="22"/>
      <c r="AHE417" s="22"/>
      <c r="AHF417" s="22"/>
      <c r="AHG417" s="22"/>
      <c r="AHH417" s="22"/>
      <c r="AHI417" s="22"/>
      <c r="AHJ417" s="22"/>
      <c r="AHK417" s="22"/>
      <c r="AHL417" s="22"/>
      <c r="AHM417" s="22"/>
      <c r="AHN417" s="22"/>
      <c r="AHO417" s="22"/>
      <c r="AHP417" s="22"/>
      <c r="AHQ417" s="22"/>
      <c r="AHR417" s="22"/>
      <c r="AHS417" s="22"/>
      <c r="AHT417" s="22"/>
      <c r="AHU417" s="22"/>
      <c r="AHV417" s="22"/>
      <c r="AHW417" s="22"/>
      <c r="AHX417" s="22"/>
      <c r="AHY417" s="22"/>
      <c r="AHZ417" s="22"/>
      <c r="AIA417" s="22"/>
      <c r="AIB417" s="22"/>
      <c r="AIC417" s="22"/>
      <c r="AID417" s="22"/>
      <c r="AIE417" s="22"/>
      <c r="AIF417" s="22"/>
      <c r="AIG417" s="22"/>
      <c r="AIH417" s="22"/>
      <c r="AII417" s="22"/>
      <c r="AIJ417" s="22"/>
      <c r="AIK417" s="22"/>
      <c r="AIL417" s="22"/>
      <c r="AIM417" s="22"/>
      <c r="AIN417" s="22"/>
      <c r="AIO417" s="22"/>
      <c r="AIP417" s="22"/>
      <c r="AIQ417" s="22"/>
      <c r="AIR417" s="22"/>
      <c r="AIS417" s="22"/>
      <c r="AIT417" s="22"/>
      <c r="AIU417" s="22"/>
      <c r="AIV417" s="22"/>
      <c r="AIW417" s="22"/>
      <c r="AIX417" s="22"/>
      <c r="AIY417" s="22"/>
      <c r="AIZ417" s="22"/>
      <c r="AJA417" s="22"/>
      <c r="AJB417" s="22"/>
      <c r="AJC417" s="22"/>
      <c r="AJD417" s="22"/>
      <c r="AJE417" s="22"/>
      <c r="AJF417" s="22"/>
      <c r="AJG417" s="22"/>
      <c r="AJH417" s="22"/>
      <c r="AJI417" s="22"/>
      <c r="AJJ417" s="22"/>
      <c r="AJK417" s="22"/>
      <c r="AJL417" s="22"/>
      <c r="AJM417" s="22"/>
      <c r="AJN417" s="22"/>
      <c r="AJO417" s="22"/>
      <c r="AJP417" s="22"/>
      <c r="AJQ417" s="22"/>
      <c r="AJR417" s="22"/>
      <c r="AJS417" s="22"/>
      <c r="AJT417" s="22"/>
      <c r="AJU417" s="22"/>
      <c r="AJV417" s="22"/>
      <c r="AJW417" s="22"/>
      <c r="AJX417" s="22"/>
      <c r="AJY417" s="22"/>
      <c r="AJZ417" s="22"/>
      <c r="AKA417" s="22"/>
      <c r="AKB417" s="22"/>
      <c r="AKC417" s="22"/>
      <c r="AKD417" s="22"/>
      <c r="AKE417" s="22"/>
      <c r="AKF417" s="22"/>
      <c r="AKG417" s="22"/>
      <c r="AKH417" s="22"/>
      <c r="AKI417" s="22"/>
      <c r="AKJ417" s="22"/>
      <c r="AKK417" s="22"/>
      <c r="AKL417" s="22"/>
      <c r="AKM417" s="22"/>
      <c r="AKN417" s="22"/>
      <c r="AKO417" s="22"/>
      <c r="AKP417" s="22"/>
      <c r="AKQ417" s="22"/>
      <c r="AKR417" s="22"/>
      <c r="AKS417" s="22"/>
      <c r="AKT417" s="22"/>
      <c r="AKU417" s="22"/>
      <c r="AKV417" s="22"/>
      <c r="AKW417" s="22"/>
      <c r="AKX417" s="22"/>
      <c r="AKY417" s="22"/>
      <c r="AKZ417" s="22"/>
      <c r="ALA417" s="22"/>
      <c r="ALB417" s="22"/>
      <c r="ALC417" s="22"/>
      <c r="ALD417" s="22"/>
      <c r="ALE417" s="22"/>
      <c r="ALF417" s="22"/>
      <c r="ALG417" s="22"/>
      <c r="ALH417" s="22"/>
      <c r="ALI417" s="22"/>
      <c r="ALJ417" s="22"/>
      <c r="ALK417" s="22"/>
      <c r="ALL417" s="22"/>
      <c r="ALM417" s="22"/>
      <c r="ALN417" s="22"/>
      <c r="ALO417" s="22"/>
      <c r="ALP417" s="22"/>
      <c r="ALQ417" s="22"/>
      <c r="ALR417" s="22"/>
      <c r="ALS417" s="22"/>
      <c r="ALT417" s="22"/>
      <c r="ALU417" s="22"/>
      <c r="ALV417" s="22"/>
      <c r="ALW417" s="22"/>
      <c r="ALX417" s="22"/>
      <c r="ALY417" s="22"/>
      <c r="ALZ417" s="22"/>
      <c r="AMA417" s="22"/>
      <c r="AMB417" s="22"/>
      <c r="AMC417" s="22"/>
      <c r="AMD417" s="22"/>
      <c r="AME417" s="22"/>
      <c r="AMF417" s="22"/>
      <c r="AMG417" s="22"/>
      <c r="AMH417" s="22"/>
      <c r="AMI417" s="22"/>
      <c r="AMJ417" s="22"/>
      <c r="AMK417" s="22"/>
      <c r="AML417" s="22"/>
      <c r="AMM417" s="22"/>
      <c r="AMN417" s="22"/>
      <c r="AMO417" s="22"/>
      <c r="AMP417" s="22"/>
      <c r="AMQ417" s="22"/>
      <c r="AMR417" s="22"/>
      <c r="AMS417" s="22"/>
      <c r="AMT417" s="22"/>
      <c r="AMU417" s="22"/>
      <c r="AMV417" s="22"/>
      <c r="AMW417" s="22"/>
      <c r="AMX417" s="22"/>
      <c r="AMY417" s="22"/>
      <c r="AMZ417" s="22"/>
      <c r="ANA417" s="22"/>
      <c r="ANB417" s="22"/>
      <c r="ANC417" s="22"/>
      <c r="AND417" s="22"/>
      <c r="ANE417" s="22"/>
      <c r="ANF417" s="22"/>
      <c r="ANG417" s="22"/>
      <c r="ANH417" s="22"/>
      <c r="ANI417" s="22"/>
      <c r="ANJ417" s="22"/>
      <c r="ANK417" s="22"/>
      <c r="ANL417" s="22"/>
      <c r="ANM417" s="22"/>
      <c r="ANN417" s="22"/>
      <c r="ANO417" s="22"/>
      <c r="ANP417" s="22"/>
      <c r="ANQ417" s="22"/>
      <c r="ANR417" s="22"/>
      <c r="ANS417" s="22"/>
      <c r="ANT417" s="22"/>
      <c r="ANU417" s="22"/>
      <c r="ANV417" s="22"/>
      <c r="ANW417" s="22"/>
      <c r="ANX417" s="22"/>
      <c r="ANY417" s="22"/>
      <c r="ANZ417" s="22"/>
      <c r="AOA417" s="22"/>
      <c r="AOB417" s="22"/>
      <c r="AOC417" s="22"/>
      <c r="AOD417" s="22"/>
      <c r="AOE417" s="22"/>
      <c r="AOF417" s="22"/>
      <c r="AOG417" s="22"/>
      <c r="AOH417" s="22"/>
      <c r="AOI417" s="22"/>
      <c r="AOJ417" s="22"/>
      <c r="AOK417" s="22"/>
      <c r="AOL417" s="22"/>
      <c r="AOM417" s="22"/>
      <c r="AON417" s="22"/>
      <c r="AOO417" s="22"/>
      <c r="AOP417" s="22"/>
      <c r="AOQ417" s="22"/>
      <c r="AOR417" s="22"/>
      <c r="AOS417" s="22"/>
      <c r="AOT417" s="22"/>
      <c r="AOU417" s="22"/>
      <c r="AOV417" s="22"/>
      <c r="AOW417" s="22"/>
      <c r="AOX417" s="22"/>
      <c r="AOY417" s="22"/>
      <c r="AOZ417" s="22"/>
      <c r="APA417" s="22"/>
      <c r="APB417" s="22"/>
      <c r="APC417" s="22"/>
      <c r="APD417" s="22"/>
      <c r="APE417" s="22"/>
      <c r="APF417" s="22"/>
      <c r="APG417" s="22"/>
      <c r="APH417" s="22"/>
      <c r="API417" s="22"/>
      <c r="APJ417" s="22"/>
      <c r="APK417" s="22"/>
      <c r="APL417" s="22"/>
      <c r="APM417" s="22"/>
      <c r="APN417" s="22"/>
      <c r="APO417" s="22"/>
      <c r="APP417" s="22"/>
      <c r="APQ417" s="22"/>
      <c r="APR417" s="22"/>
      <c r="APS417" s="22"/>
      <c r="APT417" s="22"/>
      <c r="APU417" s="22"/>
      <c r="APV417" s="22"/>
      <c r="APW417" s="22"/>
      <c r="APX417" s="22"/>
      <c r="APY417" s="22"/>
      <c r="APZ417" s="22"/>
      <c r="AQA417" s="22"/>
      <c r="AQB417" s="22"/>
      <c r="AQC417" s="22"/>
      <c r="AQD417" s="22"/>
      <c r="AQE417" s="22"/>
      <c r="AQF417" s="22"/>
      <c r="AQG417" s="22"/>
      <c r="AQH417" s="22"/>
      <c r="AQI417" s="22"/>
      <c r="AQJ417" s="22"/>
      <c r="AQK417" s="22"/>
      <c r="AQL417" s="22"/>
      <c r="AQM417" s="22"/>
      <c r="AQN417" s="22"/>
      <c r="AQO417" s="22"/>
      <c r="AQP417" s="22"/>
      <c r="AQQ417" s="22"/>
      <c r="AQR417" s="22"/>
      <c r="AQS417" s="22"/>
      <c r="AQT417" s="22"/>
      <c r="AQU417" s="22"/>
      <c r="AQV417" s="22"/>
      <c r="AQW417" s="22"/>
      <c r="AQX417" s="22"/>
      <c r="AQY417" s="22"/>
      <c r="AQZ417" s="22"/>
      <c r="ARA417" s="22"/>
      <c r="ARB417" s="22"/>
      <c r="ARC417" s="22"/>
      <c r="ARD417" s="22"/>
      <c r="ARE417" s="22"/>
      <c r="ARF417" s="22"/>
      <c r="ARG417" s="22"/>
      <c r="ARH417" s="22"/>
      <c r="ARI417" s="22"/>
      <c r="ARJ417" s="22"/>
      <c r="ARK417" s="22"/>
      <c r="ARL417" s="22"/>
      <c r="ARM417" s="22"/>
      <c r="ARN417" s="22"/>
      <c r="ARO417" s="22"/>
      <c r="ARP417" s="22"/>
      <c r="ARQ417" s="22"/>
      <c r="ARR417" s="22"/>
      <c r="ARS417" s="22"/>
      <c r="ART417" s="22"/>
      <c r="ARU417" s="22"/>
      <c r="ARV417" s="22"/>
      <c r="ARW417" s="22"/>
      <c r="ARX417" s="22"/>
      <c r="ARY417" s="22"/>
      <c r="ARZ417" s="22"/>
      <c r="ASA417" s="22"/>
      <c r="ASB417" s="22"/>
      <c r="ASC417" s="22"/>
      <c r="ASD417" s="22"/>
      <c r="ASE417" s="22"/>
      <c r="ASF417" s="22"/>
      <c r="ASG417" s="22"/>
      <c r="ASH417" s="22"/>
      <c r="ASI417" s="22"/>
      <c r="ASJ417" s="22"/>
      <c r="ASK417" s="22"/>
      <c r="ASL417" s="22"/>
      <c r="ASM417" s="22"/>
      <c r="ASN417" s="22"/>
      <c r="ASO417" s="22"/>
      <c r="ASP417" s="22"/>
      <c r="ASQ417" s="22"/>
      <c r="ASR417" s="22"/>
      <c r="ASS417" s="22"/>
      <c r="AST417" s="22"/>
      <c r="ASU417" s="22"/>
      <c r="ASV417" s="22"/>
      <c r="ASW417" s="22"/>
      <c r="ASX417" s="22"/>
      <c r="ASY417" s="22"/>
      <c r="ASZ417" s="22"/>
      <c r="ATA417" s="22"/>
      <c r="ATB417" s="22"/>
      <c r="ATC417" s="22"/>
      <c r="ATD417" s="22"/>
      <c r="ATE417" s="22"/>
      <c r="ATF417" s="22"/>
      <c r="ATG417" s="22"/>
      <c r="ATH417" s="22"/>
      <c r="ATI417" s="22"/>
      <c r="ATJ417" s="22"/>
      <c r="ATK417" s="22"/>
      <c r="ATL417" s="22"/>
      <c r="ATM417" s="22"/>
      <c r="ATN417" s="22"/>
      <c r="ATO417" s="22"/>
      <c r="ATP417" s="22"/>
      <c r="ATQ417" s="22"/>
      <c r="ATR417" s="22"/>
      <c r="ATS417" s="22"/>
      <c r="ATT417" s="22"/>
      <c r="ATU417" s="22"/>
      <c r="ATV417" s="22"/>
      <c r="ATW417" s="22"/>
      <c r="ATX417" s="22"/>
      <c r="ATY417" s="22"/>
      <c r="ATZ417" s="22"/>
      <c r="AUA417" s="22"/>
      <c r="AUB417" s="22"/>
      <c r="AUC417" s="22"/>
      <c r="AUD417" s="22"/>
      <c r="AUE417" s="22"/>
      <c r="AUF417" s="22"/>
      <c r="AUG417" s="22"/>
      <c r="AUH417" s="22"/>
      <c r="AUI417" s="22"/>
      <c r="AUJ417" s="22"/>
      <c r="AUK417" s="22"/>
      <c r="AUL417" s="22"/>
      <c r="AUM417" s="22"/>
      <c r="AUN417" s="22"/>
      <c r="AUO417" s="22"/>
      <c r="AUP417" s="22"/>
      <c r="AUQ417" s="22"/>
      <c r="AUR417" s="22"/>
      <c r="AUS417" s="22"/>
      <c r="AUT417" s="22"/>
      <c r="AUU417" s="22"/>
      <c r="AUV417" s="22"/>
      <c r="AUW417" s="22"/>
      <c r="AUX417" s="22"/>
      <c r="AUY417" s="22"/>
      <c r="AUZ417" s="22"/>
      <c r="AVA417" s="22"/>
      <c r="AVB417" s="22"/>
      <c r="AVC417" s="22"/>
      <c r="AVD417" s="22"/>
      <c r="AVE417" s="22"/>
      <c r="AVF417" s="22"/>
      <c r="AVG417" s="22"/>
      <c r="AVH417" s="22"/>
      <c r="AVI417" s="22"/>
      <c r="AVJ417" s="22"/>
      <c r="AVK417" s="22"/>
      <c r="AVL417" s="22"/>
      <c r="AVM417" s="22"/>
      <c r="AVN417" s="22"/>
      <c r="AVO417" s="22"/>
      <c r="AVP417" s="22"/>
      <c r="AVQ417" s="22"/>
      <c r="AVR417" s="22"/>
      <c r="AVS417" s="22"/>
      <c r="AVT417" s="22"/>
      <c r="AVU417" s="22"/>
      <c r="AVV417" s="22"/>
      <c r="AVW417" s="22"/>
      <c r="AVX417" s="22"/>
      <c r="AVY417" s="22"/>
      <c r="AVZ417" s="22"/>
      <c r="AWA417" s="22"/>
      <c r="AWB417" s="22"/>
      <c r="AWC417" s="22"/>
      <c r="AWD417" s="22"/>
      <c r="AWE417" s="22"/>
      <c r="AWF417" s="22"/>
      <c r="AWG417" s="22"/>
      <c r="AWH417" s="22"/>
      <c r="AWI417" s="22"/>
      <c r="AWJ417" s="22"/>
      <c r="AWK417" s="22"/>
      <c r="AWL417" s="22"/>
      <c r="AWM417" s="22"/>
      <c r="AWN417" s="22"/>
      <c r="AWO417" s="22"/>
      <c r="AWP417" s="22"/>
      <c r="AWQ417" s="22"/>
      <c r="AWR417" s="22"/>
      <c r="AWS417" s="22"/>
      <c r="AWT417" s="22"/>
      <c r="AWU417" s="22"/>
      <c r="AWV417" s="22"/>
      <c r="AWW417" s="22"/>
      <c r="AWX417" s="22"/>
      <c r="AWY417" s="22"/>
      <c r="AWZ417" s="22"/>
      <c r="AXA417" s="22"/>
      <c r="AXB417" s="22"/>
      <c r="AXC417" s="22"/>
      <c r="AXD417" s="22"/>
      <c r="AXE417" s="22"/>
      <c r="AXF417" s="22"/>
      <c r="AXG417" s="22"/>
      <c r="AXH417" s="22"/>
      <c r="AXI417" s="22"/>
      <c r="AXJ417" s="22"/>
      <c r="AXK417" s="22"/>
      <c r="AXL417" s="22"/>
      <c r="AXM417" s="22"/>
      <c r="AXN417" s="22"/>
      <c r="AXO417" s="22"/>
      <c r="AXP417" s="22"/>
      <c r="AXQ417" s="22"/>
      <c r="AXR417" s="22"/>
      <c r="AXS417" s="22"/>
      <c r="AXT417" s="22"/>
      <c r="AXU417" s="22"/>
      <c r="AXV417" s="22"/>
      <c r="AXW417" s="22"/>
      <c r="AXX417" s="22"/>
      <c r="AXY417" s="22"/>
      <c r="AXZ417" s="22"/>
      <c r="AYA417" s="22"/>
      <c r="AYB417" s="22"/>
      <c r="AYC417" s="22"/>
      <c r="AYD417" s="22"/>
      <c r="AYE417" s="22"/>
      <c r="AYF417" s="22"/>
      <c r="AYG417" s="22"/>
      <c r="AYH417" s="22"/>
      <c r="AYI417" s="22"/>
      <c r="AYJ417" s="22"/>
      <c r="AYK417" s="22"/>
      <c r="AYL417" s="22"/>
      <c r="AYM417" s="22"/>
      <c r="AYN417" s="22"/>
      <c r="AYO417" s="22"/>
      <c r="AYP417" s="22"/>
      <c r="AYQ417" s="22"/>
      <c r="AYR417" s="22"/>
      <c r="AYS417" s="22"/>
      <c r="AYT417" s="22"/>
      <c r="AYU417" s="22"/>
      <c r="AYV417" s="22"/>
      <c r="AYW417" s="22"/>
      <c r="AYX417" s="22"/>
      <c r="AYY417" s="22"/>
      <c r="AYZ417" s="22"/>
      <c r="AZA417" s="22"/>
      <c r="AZB417" s="22"/>
      <c r="AZC417" s="22"/>
      <c r="AZD417" s="22"/>
      <c r="AZE417" s="22"/>
      <c r="AZF417" s="22"/>
      <c r="AZG417" s="22"/>
      <c r="AZH417" s="22"/>
      <c r="AZI417" s="22"/>
      <c r="AZJ417" s="22"/>
      <c r="AZK417" s="22"/>
      <c r="AZL417" s="22"/>
      <c r="AZM417" s="22"/>
      <c r="AZN417" s="22"/>
      <c r="AZO417" s="22"/>
      <c r="AZP417" s="22"/>
      <c r="AZQ417" s="22"/>
      <c r="AZR417" s="22"/>
      <c r="AZS417" s="22"/>
      <c r="AZT417" s="22"/>
      <c r="AZU417" s="22"/>
      <c r="AZV417" s="22"/>
      <c r="AZW417" s="22"/>
      <c r="AZX417" s="22"/>
      <c r="AZY417" s="22"/>
      <c r="AZZ417" s="22"/>
      <c r="BAA417" s="22"/>
      <c r="BAB417" s="22"/>
      <c r="BAC417" s="22"/>
      <c r="BAD417" s="22"/>
      <c r="BAE417" s="22"/>
      <c r="BAF417" s="22"/>
      <c r="BAG417" s="22"/>
      <c r="BAH417" s="22"/>
      <c r="BAI417" s="22"/>
      <c r="BAJ417" s="22"/>
      <c r="BAK417" s="22"/>
      <c r="BAL417" s="22"/>
      <c r="BAM417" s="22"/>
      <c r="BAN417" s="22"/>
      <c r="BAO417" s="22"/>
      <c r="BAP417" s="22"/>
      <c r="BAQ417" s="22"/>
      <c r="BAR417" s="22"/>
      <c r="BAS417" s="22"/>
      <c r="BAT417" s="22"/>
      <c r="BAU417" s="22"/>
      <c r="BAV417" s="22"/>
      <c r="BAW417" s="22"/>
      <c r="BAX417" s="22"/>
      <c r="BAY417" s="22"/>
      <c r="BAZ417" s="22"/>
      <c r="BBA417" s="22"/>
      <c r="BBB417" s="22"/>
      <c r="BBC417" s="22"/>
      <c r="BBD417" s="22"/>
      <c r="BBE417" s="22"/>
      <c r="BBF417" s="22"/>
      <c r="BBG417" s="22"/>
      <c r="BBH417" s="22"/>
      <c r="BBI417" s="22"/>
      <c r="BBJ417" s="22"/>
      <c r="BBK417" s="22"/>
      <c r="BBL417" s="22"/>
      <c r="BBM417" s="22"/>
      <c r="BBN417" s="22"/>
      <c r="BBO417" s="22"/>
      <c r="BBP417" s="22"/>
      <c r="BBQ417" s="22"/>
      <c r="BBR417" s="22"/>
      <c r="BBS417" s="22"/>
      <c r="BBT417" s="22"/>
      <c r="BBU417" s="22"/>
      <c r="BBV417" s="22"/>
      <c r="BBW417" s="22"/>
      <c r="BBX417" s="22"/>
      <c r="BBY417" s="22"/>
      <c r="BBZ417" s="22"/>
      <c r="BCA417" s="22"/>
      <c r="BCB417" s="22"/>
      <c r="BCC417" s="22"/>
      <c r="BCD417" s="22"/>
      <c r="BCE417" s="22"/>
      <c r="BCF417" s="22"/>
      <c r="BCG417" s="22"/>
      <c r="BCH417" s="22"/>
      <c r="BCI417" s="22"/>
      <c r="BCJ417" s="22"/>
      <c r="BCK417" s="22"/>
      <c r="BCL417" s="22"/>
      <c r="BCM417" s="22"/>
      <c r="BCN417" s="22"/>
      <c r="BCO417" s="22"/>
      <c r="BCP417" s="22"/>
      <c r="BCQ417" s="22"/>
      <c r="BCR417" s="22"/>
      <c r="BCS417" s="22"/>
      <c r="BCT417" s="22"/>
      <c r="BCU417" s="22"/>
      <c r="BCV417" s="22"/>
      <c r="BCW417" s="22"/>
      <c r="BCX417" s="22"/>
      <c r="BCY417" s="22"/>
      <c r="BCZ417" s="22"/>
      <c r="BDA417" s="22"/>
      <c r="BDB417" s="22"/>
      <c r="BDC417" s="22"/>
      <c r="BDD417" s="22"/>
      <c r="BDE417" s="22"/>
      <c r="BDF417" s="22"/>
      <c r="BDG417" s="22"/>
      <c r="BDH417" s="22"/>
      <c r="BDI417" s="22"/>
      <c r="BDJ417" s="22"/>
      <c r="BDK417" s="22"/>
      <c r="BDL417" s="22"/>
      <c r="BDM417" s="22"/>
      <c r="BDN417" s="22"/>
      <c r="BDO417" s="22"/>
      <c r="BDP417" s="22"/>
      <c r="BDQ417" s="22"/>
      <c r="BDR417" s="22"/>
      <c r="BDS417" s="22"/>
      <c r="BDT417" s="22"/>
      <c r="BDU417" s="22"/>
      <c r="BDV417" s="22"/>
      <c r="BDW417" s="22"/>
      <c r="BDX417" s="22"/>
      <c r="BDY417" s="22"/>
      <c r="BDZ417" s="22"/>
      <c r="BEA417" s="22"/>
      <c r="BEB417" s="22"/>
      <c r="BEC417" s="22"/>
      <c r="BED417" s="22"/>
      <c r="BEE417" s="22"/>
      <c r="BEF417" s="22"/>
      <c r="BEG417" s="22"/>
      <c r="BEH417" s="22"/>
      <c r="BEI417" s="22"/>
      <c r="BEJ417" s="22"/>
      <c r="BEK417" s="22"/>
      <c r="BEL417" s="22"/>
      <c r="BEM417" s="22"/>
      <c r="BEN417" s="22"/>
      <c r="BEO417" s="22"/>
      <c r="BEP417" s="22"/>
      <c r="BEQ417" s="22"/>
      <c r="BER417" s="22"/>
      <c r="BES417" s="22"/>
      <c r="BET417" s="22"/>
      <c r="BEU417" s="22"/>
      <c r="BEV417" s="22"/>
      <c r="BEW417" s="22"/>
      <c r="BEX417" s="22"/>
      <c r="BEY417" s="22"/>
      <c r="BEZ417" s="22"/>
      <c r="BFA417" s="22"/>
      <c r="BFB417" s="22"/>
      <c r="BFC417" s="22"/>
      <c r="BFD417" s="22"/>
      <c r="BFE417" s="22"/>
      <c r="BFF417" s="22"/>
      <c r="BFG417" s="22"/>
      <c r="BFH417" s="22"/>
      <c r="BFI417" s="22"/>
      <c r="BFJ417" s="22"/>
      <c r="BFK417" s="22"/>
      <c r="BFL417" s="22"/>
      <c r="BFM417" s="22"/>
      <c r="BFN417" s="22"/>
      <c r="BFO417" s="22"/>
      <c r="BFP417" s="22"/>
      <c r="BFQ417" s="22"/>
      <c r="BFR417" s="22"/>
      <c r="BFS417" s="22"/>
      <c r="BFT417" s="22"/>
      <c r="BFU417" s="22"/>
      <c r="BFV417" s="22"/>
      <c r="BFW417" s="22"/>
      <c r="BFX417" s="22"/>
      <c r="BFY417" s="22"/>
      <c r="BFZ417" s="22"/>
      <c r="BGA417" s="22"/>
      <c r="BGB417" s="22"/>
      <c r="BGC417" s="22"/>
      <c r="BGD417" s="22"/>
      <c r="BGE417" s="22"/>
      <c r="BGF417" s="22"/>
      <c r="BGG417" s="22"/>
      <c r="BGH417" s="22"/>
      <c r="BGI417" s="22"/>
      <c r="BGJ417" s="22"/>
      <c r="BGK417" s="22"/>
      <c r="BGL417" s="22"/>
      <c r="BGM417" s="22"/>
      <c r="BGN417" s="22"/>
      <c r="BGO417" s="22"/>
      <c r="BGP417" s="22"/>
      <c r="BGQ417" s="22"/>
      <c r="BGR417" s="22"/>
      <c r="BGS417" s="22"/>
      <c r="BGT417" s="22"/>
      <c r="BGU417" s="22"/>
      <c r="BGV417" s="22"/>
      <c r="BGW417" s="22"/>
      <c r="BGX417" s="22"/>
      <c r="BGY417" s="22"/>
      <c r="BGZ417" s="22"/>
      <c r="BHA417" s="22"/>
      <c r="BHB417" s="22"/>
      <c r="BHC417" s="22"/>
      <c r="BHD417" s="22"/>
      <c r="BHE417" s="22"/>
      <c r="BHF417" s="22"/>
      <c r="BHG417" s="22"/>
      <c r="BHH417" s="22"/>
      <c r="BHI417" s="22"/>
      <c r="BHJ417" s="22"/>
      <c r="BHK417" s="22"/>
      <c r="BHL417" s="22"/>
      <c r="BHM417" s="22"/>
      <c r="BHN417" s="22"/>
      <c r="BHO417" s="22"/>
      <c r="BHP417" s="22"/>
      <c r="BHQ417" s="22"/>
      <c r="BHR417" s="22"/>
      <c r="BHS417" s="22"/>
      <c r="BHT417" s="22"/>
      <c r="BHU417" s="22"/>
      <c r="BHV417" s="22"/>
      <c r="BHW417" s="22"/>
      <c r="BHX417" s="22"/>
      <c r="BHY417" s="22"/>
      <c r="BHZ417" s="22"/>
      <c r="BIA417" s="22"/>
      <c r="BIB417" s="22"/>
      <c r="BIC417" s="22"/>
      <c r="BID417" s="22"/>
      <c r="BIE417" s="22"/>
      <c r="BIF417" s="22"/>
      <c r="BIG417" s="22"/>
      <c r="BIH417" s="22"/>
      <c r="BII417" s="22"/>
      <c r="BIJ417" s="22"/>
      <c r="BIK417" s="22"/>
      <c r="BIL417" s="22"/>
      <c r="BIM417" s="22"/>
      <c r="BIN417" s="22"/>
      <c r="BIO417" s="22"/>
      <c r="BIP417" s="22"/>
      <c r="BIQ417" s="22"/>
      <c r="BIR417" s="22"/>
      <c r="BIS417" s="22"/>
      <c r="BIT417" s="22"/>
      <c r="BIU417" s="22"/>
      <c r="BIV417" s="22"/>
      <c r="BIW417" s="22"/>
      <c r="BIX417" s="22"/>
      <c r="BIY417" s="22"/>
      <c r="BIZ417" s="22"/>
      <c r="BJA417" s="22"/>
      <c r="BJB417" s="22"/>
      <c r="BJC417" s="22"/>
      <c r="BJD417" s="22"/>
      <c r="BJE417" s="22"/>
      <c r="BJF417" s="22"/>
      <c r="BJG417" s="22"/>
      <c r="BJH417" s="22"/>
      <c r="BJI417" s="22"/>
      <c r="BJJ417" s="22"/>
      <c r="BJK417" s="22"/>
      <c r="BJL417" s="22"/>
      <c r="BJM417" s="22"/>
      <c r="BJN417" s="22"/>
      <c r="BJO417" s="22"/>
      <c r="BJP417" s="22"/>
      <c r="BJQ417" s="22"/>
      <c r="BJR417" s="22"/>
      <c r="BJS417" s="22"/>
      <c r="BJT417" s="22"/>
      <c r="BJU417" s="22"/>
      <c r="BJV417" s="22"/>
      <c r="BJW417" s="22"/>
      <c r="BJX417" s="22"/>
      <c r="BJY417" s="22"/>
      <c r="BJZ417" s="22"/>
      <c r="BKA417" s="22"/>
      <c r="BKB417" s="22"/>
      <c r="BKC417" s="22"/>
      <c r="BKD417" s="22"/>
      <c r="BKE417" s="22"/>
      <c r="BKF417" s="22"/>
      <c r="BKG417" s="22"/>
      <c r="BKH417" s="22"/>
      <c r="BKI417" s="22"/>
      <c r="BKJ417" s="22"/>
      <c r="BKK417" s="22"/>
      <c r="BKL417" s="22"/>
      <c r="BKM417" s="22"/>
      <c r="BKN417" s="22"/>
      <c r="BKO417" s="22"/>
      <c r="BKP417" s="22"/>
      <c r="BKQ417" s="22"/>
      <c r="BKR417" s="22"/>
      <c r="BKS417" s="22"/>
      <c r="BKT417" s="22"/>
      <c r="BKU417" s="22"/>
      <c r="BKV417" s="22"/>
      <c r="BKW417" s="22"/>
      <c r="BKX417" s="22"/>
      <c r="BKY417" s="22"/>
      <c r="BKZ417" s="22"/>
      <c r="BLA417" s="22"/>
      <c r="BLB417" s="22"/>
      <c r="BLC417" s="22"/>
      <c r="BLD417" s="22"/>
      <c r="BLE417" s="22"/>
      <c r="BLF417" s="22"/>
      <c r="BLG417" s="22"/>
      <c r="BLH417" s="22"/>
      <c r="BLI417" s="22"/>
      <c r="BLJ417" s="22"/>
      <c r="BLK417" s="22"/>
      <c r="BLL417" s="22"/>
      <c r="BLM417" s="22"/>
      <c r="BLN417" s="22"/>
      <c r="BLO417" s="22"/>
      <c r="BLP417" s="22"/>
      <c r="BLQ417" s="22"/>
      <c r="BLR417" s="22"/>
      <c r="BLS417" s="22"/>
      <c r="BLT417" s="22"/>
      <c r="BLU417" s="22"/>
      <c r="BLV417" s="22"/>
      <c r="BLW417" s="22"/>
      <c r="BLX417" s="22"/>
      <c r="BLY417" s="22"/>
      <c r="BLZ417" s="22"/>
      <c r="BMA417" s="22"/>
      <c r="BMB417" s="22"/>
      <c r="BMC417" s="22"/>
      <c r="BMD417" s="22"/>
      <c r="BME417" s="22"/>
      <c r="BMF417" s="22"/>
      <c r="BMG417" s="22"/>
      <c r="BMH417" s="22"/>
      <c r="BMI417" s="22"/>
      <c r="BMJ417" s="22"/>
      <c r="BMK417" s="22"/>
      <c r="BML417" s="22"/>
      <c r="BMM417" s="22"/>
      <c r="BMN417" s="22"/>
      <c r="BMO417" s="22"/>
      <c r="BMP417" s="22"/>
      <c r="BMQ417" s="22"/>
      <c r="BMR417" s="22"/>
      <c r="BMS417" s="22"/>
      <c r="BMT417" s="22"/>
      <c r="BMU417" s="22"/>
      <c r="BMV417" s="22"/>
      <c r="BMW417" s="22"/>
      <c r="BMX417" s="22"/>
      <c r="BMY417" s="22"/>
      <c r="BMZ417" s="22"/>
      <c r="BNA417" s="22"/>
      <c r="BNB417" s="22"/>
      <c r="BNC417" s="22"/>
      <c r="BND417" s="22"/>
      <c r="BNE417" s="22"/>
      <c r="BNF417" s="22"/>
      <c r="BNG417" s="22"/>
      <c r="BNH417" s="22"/>
      <c r="BNI417" s="22"/>
      <c r="BNJ417" s="22"/>
      <c r="BNK417" s="22"/>
      <c r="BNL417" s="22"/>
      <c r="BNM417" s="22"/>
      <c r="BNN417" s="22"/>
      <c r="BNO417" s="22"/>
      <c r="BNP417" s="22"/>
      <c r="BNQ417" s="22"/>
      <c r="BNR417" s="22"/>
      <c r="BNS417" s="22"/>
      <c r="BNT417" s="22"/>
      <c r="BNU417" s="22"/>
      <c r="BNV417" s="22"/>
      <c r="BNW417" s="22"/>
      <c r="BNX417" s="22"/>
      <c r="BNY417" s="22"/>
      <c r="BNZ417" s="22"/>
      <c r="BOA417" s="22"/>
      <c r="BOB417" s="22"/>
      <c r="BOC417" s="22"/>
      <c r="BOD417" s="22"/>
      <c r="BOE417" s="22"/>
      <c r="BOF417" s="22"/>
      <c r="BOG417" s="22"/>
      <c r="BOH417" s="22"/>
      <c r="BOI417" s="22"/>
      <c r="BOJ417" s="22"/>
      <c r="BOK417" s="22"/>
      <c r="BOL417" s="22"/>
      <c r="BOM417" s="22"/>
      <c r="BON417" s="22"/>
      <c r="BOO417" s="22"/>
      <c r="BOP417" s="22"/>
      <c r="BOQ417" s="22"/>
      <c r="BOR417" s="22"/>
      <c r="BOS417" s="22"/>
      <c r="BOT417" s="22"/>
      <c r="BOU417" s="22"/>
      <c r="BOV417" s="22"/>
      <c r="BOW417" s="22"/>
      <c r="BOX417" s="22"/>
      <c r="BOY417" s="22"/>
      <c r="BOZ417" s="22"/>
      <c r="BPA417" s="22"/>
      <c r="BPB417" s="22"/>
      <c r="BPC417" s="22"/>
      <c r="BPD417" s="22"/>
      <c r="BPE417" s="22"/>
      <c r="BPF417" s="22"/>
      <c r="BPG417" s="22"/>
      <c r="BPH417" s="22"/>
      <c r="BPI417" s="22"/>
      <c r="BPJ417" s="22"/>
      <c r="BPK417" s="22"/>
      <c r="BPL417" s="22"/>
      <c r="BPM417" s="22"/>
      <c r="BPN417" s="22"/>
      <c r="BPO417" s="22"/>
      <c r="BPP417" s="22"/>
      <c r="BPQ417" s="22"/>
      <c r="BPR417" s="22"/>
      <c r="BPS417" s="22"/>
      <c r="BPT417" s="22"/>
      <c r="BPU417" s="22"/>
      <c r="BPV417" s="22"/>
      <c r="BPW417" s="22"/>
      <c r="BPX417" s="22"/>
      <c r="BPY417" s="22"/>
      <c r="BPZ417" s="22"/>
      <c r="BQA417" s="22"/>
      <c r="BQB417" s="22"/>
      <c r="BQC417" s="22"/>
      <c r="BQD417" s="22"/>
      <c r="BQE417" s="22"/>
      <c r="BQF417" s="22"/>
      <c r="BQG417" s="22"/>
      <c r="BQH417" s="22"/>
      <c r="BQI417" s="22"/>
      <c r="BQJ417" s="22"/>
      <c r="BQK417" s="22"/>
      <c r="BQL417" s="22"/>
      <c r="BQM417" s="22"/>
      <c r="BQN417" s="22"/>
      <c r="BQO417" s="22"/>
      <c r="BQP417" s="22"/>
      <c r="BQQ417" s="22"/>
      <c r="BQR417" s="22"/>
      <c r="BQS417" s="22"/>
      <c r="BQT417" s="22"/>
      <c r="BQU417" s="22"/>
      <c r="BQV417" s="22"/>
      <c r="BQW417" s="22"/>
      <c r="BQX417" s="22"/>
      <c r="BQY417" s="22"/>
      <c r="BQZ417" s="22"/>
      <c r="BRA417" s="22"/>
      <c r="BRB417" s="22"/>
      <c r="BRC417" s="22"/>
      <c r="BRD417" s="22"/>
      <c r="BRE417" s="22"/>
      <c r="BRF417" s="22"/>
      <c r="BRG417" s="22"/>
      <c r="BRH417" s="22"/>
      <c r="BRI417" s="22"/>
      <c r="BRJ417" s="22"/>
      <c r="BRK417" s="22"/>
      <c r="BRL417" s="22"/>
      <c r="BRM417" s="22"/>
      <c r="BRN417" s="22"/>
      <c r="BRO417" s="22"/>
      <c r="BRP417" s="22"/>
      <c r="BRQ417" s="22"/>
      <c r="BRR417" s="22"/>
      <c r="BRS417" s="22"/>
      <c r="BRT417" s="22"/>
      <c r="BRU417" s="22"/>
      <c r="BRV417" s="22"/>
      <c r="BRW417" s="22"/>
      <c r="BRX417" s="22"/>
      <c r="BRY417" s="22"/>
      <c r="BRZ417" s="22"/>
      <c r="BSA417" s="22"/>
      <c r="BSB417" s="22"/>
      <c r="BSC417" s="22"/>
      <c r="BSD417" s="22"/>
      <c r="BSE417" s="22"/>
      <c r="BSF417" s="22"/>
      <c r="BSG417" s="22"/>
      <c r="BSH417" s="22"/>
      <c r="BSI417" s="22"/>
      <c r="BSJ417" s="22"/>
      <c r="BSK417" s="22"/>
      <c r="BSL417" s="22"/>
      <c r="BSM417" s="22"/>
      <c r="BSN417" s="22"/>
      <c r="BSO417" s="22"/>
      <c r="BSP417" s="22"/>
      <c r="BSQ417" s="22"/>
      <c r="BSR417" s="22"/>
      <c r="BSS417" s="22"/>
      <c r="BST417" s="22"/>
      <c r="BSU417" s="22"/>
      <c r="BSV417" s="22"/>
      <c r="BSW417" s="22"/>
      <c r="BSX417" s="22"/>
      <c r="BSY417" s="22"/>
      <c r="BSZ417" s="22"/>
      <c r="BTA417" s="22"/>
      <c r="BTB417" s="22"/>
      <c r="BTC417" s="22"/>
      <c r="BTD417" s="22"/>
      <c r="BTE417" s="22"/>
      <c r="BTF417" s="22"/>
      <c r="BTG417" s="22"/>
      <c r="BTH417" s="22"/>
      <c r="BTI417" s="22"/>
      <c r="BTJ417" s="22"/>
      <c r="BTK417" s="22"/>
      <c r="BTL417" s="22"/>
      <c r="BTM417" s="22"/>
      <c r="BTN417" s="22"/>
      <c r="BTO417" s="22"/>
      <c r="BTP417" s="22"/>
      <c r="BTQ417" s="22"/>
      <c r="BTR417" s="22"/>
      <c r="BTS417" s="22"/>
      <c r="BTT417" s="22"/>
      <c r="BTU417" s="22"/>
      <c r="BTV417" s="22"/>
      <c r="BTW417" s="22"/>
      <c r="BTX417" s="22"/>
      <c r="BTY417" s="22"/>
      <c r="BTZ417" s="22"/>
      <c r="BUA417" s="22"/>
      <c r="BUB417" s="22"/>
      <c r="BUC417" s="22"/>
      <c r="BUD417" s="22"/>
      <c r="BUE417" s="22"/>
      <c r="BUF417" s="22"/>
      <c r="BUG417" s="22"/>
      <c r="BUH417" s="22"/>
      <c r="BUI417" s="22"/>
      <c r="BUJ417" s="22"/>
      <c r="BUK417" s="22"/>
      <c r="BUL417" s="22"/>
      <c r="BUM417" s="22"/>
      <c r="BUN417" s="22"/>
      <c r="BUO417" s="22"/>
      <c r="BUP417" s="22"/>
      <c r="BUQ417" s="22"/>
      <c r="BUR417" s="22"/>
      <c r="BUS417" s="22"/>
      <c r="BUT417" s="22"/>
      <c r="BUU417" s="22"/>
      <c r="BUV417" s="22"/>
      <c r="BUW417" s="22"/>
      <c r="BUX417" s="22"/>
      <c r="BUY417" s="22"/>
      <c r="BUZ417" s="22"/>
      <c r="BVA417" s="22"/>
      <c r="BVB417" s="22"/>
      <c r="BVC417" s="22"/>
      <c r="BVD417" s="22"/>
      <c r="BVE417" s="22"/>
      <c r="BVF417" s="22"/>
      <c r="BVG417" s="22"/>
      <c r="BVH417" s="22"/>
      <c r="BVI417" s="22"/>
      <c r="BVJ417" s="22"/>
      <c r="BVK417" s="22"/>
      <c r="BVL417" s="22"/>
      <c r="BVM417" s="22"/>
      <c r="BVN417" s="22"/>
      <c r="BVO417" s="22"/>
      <c r="BVP417" s="22"/>
      <c r="BVQ417" s="22"/>
      <c r="BVR417" s="22"/>
      <c r="BVS417" s="22"/>
      <c r="BVT417" s="22"/>
      <c r="BVU417" s="22"/>
      <c r="BVV417" s="22"/>
      <c r="BVW417" s="22"/>
      <c r="BVX417" s="22"/>
      <c r="BVY417" s="22"/>
      <c r="BVZ417" s="22"/>
      <c r="BWA417" s="22"/>
      <c r="BWB417" s="22"/>
      <c r="BWC417" s="22"/>
      <c r="BWD417" s="22"/>
      <c r="BWE417" s="22"/>
      <c r="BWF417" s="22"/>
      <c r="BWG417" s="22"/>
      <c r="BWH417" s="22"/>
      <c r="BWI417" s="22"/>
      <c r="BWJ417" s="22"/>
      <c r="BWK417" s="22"/>
      <c r="BWL417" s="22"/>
      <c r="BWM417" s="22"/>
      <c r="BWN417" s="22"/>
      <c r="BWO417" s="22"/>
      <c r="BWP417" s="22"/>
      <c r="BWQ417" s="22"/>
      <c r="BWR417" s="22"/>
      <c r="BWS417" s="22"/>
      <c r="BWT417" s="22"/>
      <c r="BWU417" s="22"/>
      <c r="BWV417" s="22"/>
      <c r="BWW417" s="22"/>
      <c r="BWX417" s="22"/>
      <c r="BWY417" s="22"/>
      <c r="BWZ417" s="22"/>
      <c r="BXA417" s="22"/>
      <c r="BXB417" s="22"/>
      <c r="BXC417" s="22"/>
      <c r="BXD417" s="22"/>
      <c r="BXE417" s="22"/>
      <c r="BXF417" s="22"/>
      <c r="BXG417" s="22"/>
      <c r="BXH417" s="22"/>
      <c r="BXI417" s="22"/>
      <c r="BXJ417" s="22"/>
      <c r="BXK417" s="22"/>
      <c r="BXL417" s="22"/>
      <c r="BXM417" s="22"/>
      <c r="BXN417" s="22"/>
      <c r="BXO417" s="22"/>
      <c r="BXP417" s="22"/>
      <c r="BXQ417" s="22"/>
      <c r="BXR417" s="22"/>
      <c r="BXS417" s="22"/>
      <c r="BXT417" s="22"/>
      <c r="BXU417" s="22"/>
      <c r="BXV417" s="22"/>
      <c r="BXW417" s="22"/>
      <c r="BXX417" s="22"/>
      <c r="BXY417" s="22"/>
      <c r="BXZ417" s="22"/>
      <c r="BYA417" s="22"/>
      <c r="BYB417" s="22"/>
      <c r="BYC417" s="22"/>
      <c r="BYD417" s="22"/>
      <c r="BYE417" s="22"/>
      <c r="BYF417" s="22"/>
      <c r="BYG417" s="22"/>
      <c r="BYH417" s="22"/>
      <c r="BYI417" s="22"/>
      <c r="BYJ417" s="22"/>
      <c r="BYK417" s="22"/>
      <c r="BYL417" s="22"/>
      <c r="BYM417" s="22"/>
      <c r="BYN417" s="22"/>
      <c r="BYO417" s="22"/>
      <c r="BYP417" s="22"/>
      <c r="BYQ417" s="22"/>
      <c r="BYR417" s="22"/>
      <c r="BYS417" s="22"/>
      <c r="BYT417" s="22"/>
      <c r="BYU417" s="22"/>
      <c r="BYV417" s="22"/>
      <c r="BYW417" s="22"/>
      <c r="BYX417" s="22"/>
      <c r="BYY417" s="22"/>
      <c r="BYZ417" s="22"/>
      <c r="BZA417" s="22"/>
      <c r="BZB417" s="22"/>
      <c r="BZC417" s="22"/>
      <c r="BZD417" s="22"/>
      <c r="BZE417" s="22"/>
      <c r="BZF417" s="22"/>
      <c r="BZG417" s="22"/>
      <c r="BZH417" s="22"/>
      <c r="BZI417" s="22"/>
      <c r="BZJ417" s="22"/>
      <c r="BZK417" s="22"/>
      <c r="BZL417" s="22"/>
      <c r="BZM417" s="22"/>
      <c r="BZN417" s="22"/>
      <c r="BZO417" s="22"/>
      <c r="BZP417" s="22"/>
      <c r="BZQ417" s="22"/>
      <c r="BZR417" s="22"/>
      <c r="BZS417" s="22"/>
      <c r="BZT417" s="22"/>
      <c r="BZU417" s="22"/>
      <c r="BZV417" s="22"/>
      <c r="BZW417" s="22"/>
      <c r="BZX417" s="22"/>
      <c r="BZY417" s="22"/>
      <c r="BZZ417" s="22"/>
      <c r="CAA417" s="22"/>
      <c r="CAB417" s="22"/>
      <c r="CAC417" s="22"/>
      <c r="CAD417" s="22"/>
      <c r="CAE417" s="22"/>
      <c r="CAF417" s="22"/>
      <c r="CAG417" s="22"/>
      <c r="CAH417" s="22"/>
      <c r="CAI417" s="22"/>
      <c r="CAJ417" s="22"/>
      <c r="CAK417" s="22"/>
      <c r="CAL417" s="22"/>
      <c r="CAM417" s="22"/>
      <c r="CAN417" s="22"/>
      <c r="CAO417" s="22"/>
      <c r="CAP417" s="22"/>
      <c r="CAQ417" s="22"/>
      <c r="CAR417" s="22"/>
      <c r="CAS417" s="22"/>
      <c r="CAT417" s="22"/>
      <c r="CAU417" s="22"/>
      <c r="CAV417" s="22"/>
      <c r="CAW417" s="22"/>
      <c r="CAX417" s="22"/>
      <c r="CAY417" s="22"/>
      <c r="CAZ417" s="22"/>
      <c r="CBA417" s="22"/>
      <c r="CBB417" s="22"/>
      <c r="CBC417" s="22"/>
      <c r="CBD417" s="22"/>
      <c r="CBE417" s="22"/>
      <c r="CBF417" s="22"/>
      <c r="CBG417" s="22"/>
      <c r="CBH417" s="22"/>
      <c r="CBI417" s="22"/>
      <c r="CBJ417" s="22"/>
      <c r="CBK417" s="22"/>
      <c r="CBL417" s="22"/>
      <c r="CBM417" s="22"/>
      <c r="CBN417" s="22"/>
      <c r="CBO417" s="22"/>
      <c r="CBP417" s="22"/>
      <c r="CBQ417" s="22"/>
      <c r="CBR417" s="22"/>
      <c r="CBS417" s="22"/>
      <c r="CBT417" s="22"/>
      <c r="CBU417" s="22"/>
      <c r="CBV417" s="22"/>
      <c r="CBW417" s="22"/>
      <c r="CBX417" s="22"/>
      <c r="CBY417" s="22"/>
      <c r="CBZ417" s="22"/>
      <c r="CCA417" s="22"/>
      <c r="CCB417" s="22"/>
      <c r="CCC417" s="22"/>
      <c r="CCD417" s="22"/>
      <c r="CCE417" s="22"/>
      <c r="CCF417" s="22"/>
      <c r="CCG417" s="22"/>
      <c r="CCH417" s="22"/>
      <c r="CCI417" s="22"/>
      <c r="CCJ417" s="22"/>
      <c r="CCK417" s="22"/>
      <c r="CCL417" s="22"/>
      <c r="CCM417" s="22"/>
      <c r="CCN417" s="22"/>
      <c r="CCO417" s="22"/>
      <c r="CCP417" s="22"/>
      <c r="CCQ417" s="22"/>
      <c r="CCR417" s="22"/>
      <c r="CCS417" s="22"/>
      <c r="CCT417" s="22"/>
      <c r="CCU417" s="22"/>
      <c r="CCV417" s="22"/>
      <c r="CCW417" s="22"/>
      <c r="CCX417" s="22"/>
      <c r="CCY417" s="22"/>
      <c r="CCZ417" s="22"/>
      <c r="CDA417" s="22"/>
      <c r="CDB417" s="22"/>
      <c r="CDC417" s="22"/>
      <c r="CDD417" s="22"/>
      <c r="CDE417" s="22"/>
      <c r="CDF417" s="22"/>
      <c r="CDG417" s="22"/>
      <c r="CDH417" s="22"/>
      <c r="CDI417" s="22"/>
      <c r="CDJ417" s="22"/>
      <c r="CDK417" s="22"/>
      <c r="CDL417" s="22"/>
      <c r="CDM417" s="22"/>
      <c r="CDN417" s="22"/>
      <c r="CDO417" s="22"/>
      <c r="CDP417" s="22"/>
      <c r="CDQ417" s="22"/>
      <c r="CDR417" s="22"/>
      <c r="CDS417" s="22"/>
      <c r="CDT417" s="22"/>
      <c r="CDU417" s="22"/>
      <c r="CDV417" s="22"/>
      <c r="CDW417" s="22"/>
      <c r="CDX417" s="22"/>
      <c r="CDY417" s="22"/>
      <c r="CDZ417" s="22"/>
      <c r="CEA417" s="22"/>
      <c r="CEB417" s="22"/>
      <c r="CEC417" s="22"/>
      <c r="CED417" s="22"/>
      <c r="CEE417" s="22"/>
      <c r="CEF417" s="22"/>
      <c r="CEG417" s="22"/>
      <c r="CEH417" s="22"/>
      <c r="CEI417" s="22"/>
      <c r="CEJ417" s="22"/>
      <c r="CEK417" s="22"/>
      <c r="CEL417" s="22"/>
      <c r="CEM417" s="22"/>
      <c r="CEN417" s="22"/>
      <c r="CEO417" s="22"/>
      <c r="CEP417" s="22"/>
      <c r="CEQ417" s="22"/>
      <c r="CER417" s="22"/>
      <c r="CES417" s="22"/>
      <c r="CET417" s="22"/>
      <c r="CEU417" s="22"/>
      <c r="CEV417" s="22"/>
      <c r="CEW417" s="22"/>
      <c r="CEX417" s="22"/>
      <c r="CEY417" s="22"/>
      <c r="CEZ417" s="22"/>
      <c r="CFA417" s="22"/>
      <c r="CFB417" s="22"/>
      <c r="CFC417" s="22"/>
      <c r="CFD417" s="22"/>
      <c r="CFE417" s="22"/>
      <c r="CFF417" s="22"/>
      <c r="CFG417" s="22"/>
      <c r="CFH417" s="22"/>
      <c r="CFI417" s="22"/>
      <c r="CFJ417" s="22"/>
      <c r="CFK417" s="22"/>
      <c r="CFL417" s="22"/>
      <c r="CFM417" s="22"/>
      <c r="CFN417" s="22"/>
      <c r="CFO417" s="22"/>
      <c r="CFP417" s="22"/>
      <c r="CFQ417" s="22"/>
      <c r="CFR417" s="22"/>
      <c r="CFS417" s="22"/>
      <c r="CFT417" s="22"/>
      <c r="CFU417" s="22"/>
      <c r="CFV417" s="22"/>
      <c r="CFW417" s="22"/>
      <c r="CFX417" s="22"/>
      <c r="CFY417" s="22"/>
      <c r="CFZ417" s="22"/>
      <c r="CGA417" s="22"/>
      <c r="CGB417" s="22"/>
      <c r="CGC417" s="22"/>
      <c r="CGD417" s="22"/>
      <c r="CGE417" s="22"/>
      <c r="CGF417" s="22"/>
      <c r="CGG417" s="22"/>
      <c r="CGH417" s="22"/>
      <c r="CGI417" s="22"/>
      <c r="CGJ417" s="22"/>
      <c r="CGK417" s="22"/>
      <c r="CGL417" s="22"/>
      <c r="CGM417" s="22"/>
      <c r="CGN417" s="22"/>
      <c r="CGO417" s="22"/>
      <c r="CGP417" s="22"/>
      <c r="CGQ417" s="22"/>
      <c r="CGR417" s="22"/>
      <c r="CGS417" s="22"/>
      <c r="CGT417" s="22"/>
      <c r="CGU417" s="22"/>
      <c r="CGV417" s="22"/>
      <c r="CGW417" s="22"/>
      <c r="CGX417" s="22"/>
      <c r="CGY417" s="22"/>
      <c r="CGZ417" s="22"/>
      <c r="CHA417" s="22"/>
      <c r="CHB417" s="22"/>
      <c r="CHC417" s="22"/>
      <c r="CHD417" s="22"/>
      <c r="CHE417" s="22"/>
      <c r="CHF417" s="22"/>
      <c r="CHG417" s="22"/>
      <c r="CHH417" s="22"/>
      <c r="CHI417" s="22"/>
      <c r="CHJ417" s="22"/>
      <c r="CHK417" s="22"/>
      <c r="CHL417" s="22"/>
      <c r="CHM417" s="22"/>
      <c r="CHN417" s="22"/>
      <c r="CHO417" s="22"/>
      <c r="CHP417" s="22"/>
      <c r="CHQ417" s="22"/>
      <c r="CHR417" s="22"/>
      <c r="CHS417" s="22"/>
      <c r="CHT417" s="22"/>
      <c r="CHU417" s="22"/>
      <c r="CHV417" s="22"/>
      <c r="CHW417" s="22"/>
      <c r="CHX417" s="22"/>
      <c r="CHY417" s="22"/>
      <c r="CHZ417" s="22"/>
      <c r="CIA417" s="22"/>
      <c r="CIB417" s="22"/>
      <c r="CIC417" s="22"/>
      <c r="CID417" s="22"/>
      <c r="CIE417" s="22"/>
      <c r="CIF417" s="22"/>
      <c r="CIG417" s="22"/>
      <c r="CIH417" s="22"/>
      <c r="CII417" s="22"/>
      <c r="CIJ417" s="22"/>
      <c r="CIK417" s="22"/>
      <c r="CIL417" s="22"/>
      <c r="CIM417" s="22"/>
      <c r="CIN417" s="22"/>
      <c r="CIO417" s="22"/>
      <c r="CIP417" s="22"/>
      <c r="CIQ417" s="22"/>
      <c r="CIR417" s="22"/>
      <c r="CIS417" s="22"/>
      <c r="CIT417" s="22"/>
      <c r="CIU417" s="22"/>
      <c r="CIV417" s="22"/>
      <c r="CIW417" s="22"/>
      <c r="CIX417" s="22"/>
      <c r="CIY417" s="22"/>
      <c r="CIZ417" s="22"/>
      <c r="CJA417" s="22"/>
      <c r="CJB417" s="22"/>
      <c r="CJC417" s="22"/>
      <c r="CJD417" s="22"/>
      <c r="CJE417" s="22"/>
      <c r="CJF417" s="22"/>
      <c r="CJG417" s="22"/>
      <c r="CJH417" s="22"/>
      <c r="CJI417" s="22"/>
      <c r="CJJ417" s="22"/>
      <c r="CJK417" s="22"/>
      <c r="CJL417" s="22"/>
      <c r="CJM417" s="22"/>
      <c r="CJN417" s="22"/>
      <c r="CJO417" s="22"/>
      <c r="CJP417" s="22"/>
      <c r="CJQ417" s="22"/>
      <c r="CJR417" s="22"/>
      <c r="CJS417" s="22"/>
      <c r="CJT417" s="22"/>
      <c r="CJU417" s="22"/>
      <c r="CJV417" s="22"/>
      <c r="CJW417" s="22"/>
      <c r="CJX417" s="22"/>
      <c r="CJY417" s="22"/>
      <c r="CJZ417" s="22"/>
      <c r="CKA417" s="22"/>
      <c r="CKB417" s="22"/>
      <c r="CKC417" s="22"/>
      <c r="CKD417" s="22"/>
      <c r="CKE417" s="22"/>
      <c r="CKF417" s="22"/>
      <c r="CKG417" s="22"/>
      <c r="CKH417" s="22"/>
      <c r="CKI417" s="22"/>
      <c r="CKJ417" s="22"/>
      <c r="CKK417" s="22"/>
      <c r="CKL417" s="22"/>
      <c r="CKM417" s="22"/>
      <c r="CKN417" s="22"/>
      <c r="CKO417" s="22"/>
      <c r="CKP417" s="22"/>
      <c r="CKQ417" s="22"/>
      <c r="CKR417" s="22"/>
      <c r="CKS417" s="22"/>
      <c r="CKT417" s="22"/>
      <c r="CKU417" s="22"/>
      <c r="CKV417" s="22"/>
      <c r="CKW417" s="22"/>
      <c r="CKX417" s="22"/>
      <c r="CKY417" s="22"/>
      <c r="CKZ417" s="22"/>
      <c r="CLA417" s="22"/>
      <c r="CLB417" s="22"/>
      <c r="CLC417" s="22"/>
      <c r="CLD417" s="22"/>
      <c r="CLE417" s="22"/>
      <c r="CLF417" s="22"/>
      <c r="CLG417" s="22"/>
      <c r="CLH417" s="22"/>
      <c r="CLI417" s="22"/>
      <c r="CLJ417" s="22"/>
      <c r="CLK417" s="22"/>
      <c r="CLL417" s="22"/>
      <c r="CLM417" s="22"/>
      <c r="CLN417" s="22"/>
      <c r="CLO417" s="22"/>
      <c r="CLP417" s="22"/>
      <c r="CLQ417" s="22"/>
      <c r="CLR417" s="22"/>
      <c r="CLS417" s="22"/>
      <c r="CLT417" s="22"/>
      <c r="CLU417" s="22"/>
      <c r="CLV417" s="22"/>
      <c r="CLW417" s="22"/>
      <c r="CLX417" s="22"/>
      <c r="CLY417" s="22"/>
      <c r="CLZ417" s="22"/>
      <c r="CMA417" s="22"/>
      <c r="CMB417" s="22"/>
      <c r="CMC417" s="22"/>
      <c r="CMD417" s="22"/>
      <c r="CME417" s="22"/>
      <c r="CMF417" s="22"/>
      <c r="CMG417" s="22"/>
      <c r="CMH417" s="22"/>
      <c r="CMI417" s="22"/>
      <c r="CMJ417" s="22"/>
      <c r="CMK417" s="22"/>
      <c r="CML417" s="22"/>
      <c r="CMM417" s="22"/>
      <c r="CMN417" s="22"/>
      <c r="CMO417" s="22"/>
      <c r="CMP417" s="22"/>
      <c r="CMQ417" s="22"/>
      <c r="CMR417" s="22"/>
      <c r="CMS417" s="22"/>
      <c r="CMT417" s="22"/>
      <c r="CMU417" s="22"/>
      <c r="CMV417" s="22"/>
      <c r="CMW417" s="22"/>
      <c r="CMX417" s="22"/>
      <c r="CMY417" s="22"/>
      <c r="CMZ417" s="22"/>
      <c r="CNA417" s="22"/>
      <c r="CNB417" s="22"/>
      <c r="CNC417" s="22"/>
      <c r="CND417" s="22"/>
      <c r="CNE417" s="22"/>
      <c r="CNF417" s="22"/>
      <c r="CNG417" s="22"/>
      <c r="CNH417" s="22"/>
      <c r="CNI417" s="22"/>
      <c r="CNJ417" s="22"/>
      <c r="CNK417" s="22"/>
      <c r="CNL417" s="22"/>
      <c r="CNM417" s="22"/>
      <c r="CNN417" s="22"/>
      <c r="CNO417" s="22"/>
      <c r="CNP417" s="22"/>
      <c r="CNQ417" s="22"/>
      <c r="CNR417" s="22"/>
      <c r="CNS417" s="22"/>
      <c r="CNT417" s="22"/>
      <c r="CNU417" s="22"/>
      <c r="CNV417" s="22"/>
      <c r="CNW417" s="22"/>
      <c r="CNX417" s="22"/>
      <c r="CNY417" s="22"/>
      <c r="CNZ417" s="22"/>
      <c r="COA417" s="22"/>
      <c r="COB417" s="22"/>
      <c r="COC417" s="22"/>
      <c r="COD417" s="22"/>
      <c r="COE417" s="22"/>
      <c r="COF417" s="22"/>
      <c r="COG417" s="22"/>
      <c r="COH417" s="22"/>
      <c r="COI417" s="22"/>
      <c r="COJ417" s="22"/>
      <c r="COK417" s="22"/>
      <c r="COL417" s="22"/>
      <c r="COM417" s="22"/>
      <c r="CON417" s="22"/>
      <c r="COO417" s="22"/>
      <c r="COP417" s="22"/>
      <c r="COQ417" s="22"/>
      <c r="COR417" s="22"/>
      <c r="COS417" s="22"/>
      <c r="COT417" s="22"/>
      <c r="COU417" s="22"/>
      <c r="COV417" s="22"/>
      <c r="COW417" s="22"/>
      <c r="COX417" s="22"/>
      <c r="COY417" s="22"/>
      <c r="COZ417" s="22"/>
      <c r="CPA417" s="22"/>
      <c r="CPB417" s="22"/>
      <c r="CPC417" s="22"/>
      <c r="CPD417" s="22"/>
      <c r="CPE417" s="22"/>
      <c r="CPF417" s="22"/>
      <c r="CPG417" s="22"/>
      <c r="CPH417" s="22"/>
      <c r="CPI417" s="22"/>
      <c r="CPJ417" s="22"/>
      <c r="CPK417" s="22"/>
      <c r="CPL417" s="22"/>
      <c r="CPM417" s="22"/>
      <c r="CPN417" s="22"/>
      <c r="CPO417" s="22"/>
      <c r="CPP417" s="22"/>
      <c r="CPQ417" s="22"/>
      <c r="CPR417" s="22"/>
      <c r="CPS417" s="22"/>
      <c r="CPT417" s="22"/>
      <c r="CPU417" s="22"/>
      <c r="CPV417" s="22"/>
      <c r="CPW417" s="22"/>
      <c r="CPX417" s="22"/>
      <c r="CPY417" s="22"/>
      <c r="CPZ417" s="22"/>
      <c r="CQA417" s="22"/>
      <c r="CQB417" s="22"/>
      <c r="CQC417" s="22"/>
      <c r="CQD417" s="22"/>
      <c r="CQE417" s="22"/>
      <c r="CQF417" s="22"/>
      <c r="CQG417" s="22"/>
      <c r="CQH417" s="22"/>
      <c r="CQI417" s="22"/>
      <c r="CQJ417" s="22"/>
      <c r="CQK417" s="22"/>
      <c r="CQL417" s="22"/>
      <c r="CQM417" s="22"/>
      <c r="CQN417" s="22"/>
      <c r="CQO417" s="22"/>
      <c r="CQP417" s="22"/>
      <c r="CQQ417" s="22"/>
      <c r="CQR417" s="22"/>
      <c r="CQS417" s="22"/>
      <c r="CQT417" s="22"/>
      <c r="CQU417" s="22"/>
      <c r="CQV417" s="22"/>
      <c r="CQW417" s="22"/>
      <c r="CQX417" s="22"/>
      <c r="CQY417" s="22"/>
      <c r="CQZ417" s="22"/>
      <c r="CRA417" s="22"/>
      <c r="CRB417" s="22"/>
      <c r="CRC417" s="22"/>
      <c r="CRD417" s="22"/>
      <c r="CRE417" s="22"/>
      <c r="CRF417" s="22"/>
      <c r="CRG417" s="22"/>
      <c r="CRH417" s="22"/>
      <c r="CRI417" s="22"/>
      <c r="CRJ417" s="22"/>
      <c r="CRK417" s="22"/>
      <c r="CRL417" s="22"/>
      <c r="CRM417" s="22"/>
      <c r="CRN417" s="22"/>
      <c r="CRO417" s="22"/>
      <c r="CRP417" s="22"/>
      <c r="CRQ417" s="22"/>
      <c r="CRR417" s="22"/>
      <c r="CRS417" s="22"/>
      <c r="CRT417" s="22"/>
      <c r="CRU417" s="22"/>
      <c r="CRV417" s="22"/>
      <c r="CRW417" s="22"/>
      <c r="CRX417" s="22"/>
      <c r="CRY417" s="22"/>
      <c r="CRZ417" s="22"/>
      <c r="CSA417" s="22"/>
      <c r="CSB417" s="22"/>
      <c r="CSC417" s="22"/>
      <c r="CSD417" s="22"/>
      <c r="CSE417" s="22"/>
      <c r="CSF417" s="22"/>
      <c r="CSG417" s="22"/>
      <c r="CSH417" s="22"/>
      <c r="CSI417" s="22"/>
      <c r="CSJ417" s="22"/>
      <c r="CSK417" s="22"/>
      <c r="CSL417" s="22"/>
      <c r="CSM417" s="22"/>
      <c r="CSN417" s="22"/>
      <c r="CSO417" s="22"/>
      <c r="CSP417" s="22"/>
      <c r="CSQ417" s="22"/>
      <c r="CSR417" s="22"/>
      <c r="CSS417" s="22"/>
      <c r="CST417" s="22"/>
      <c r="CSU417" s="22"/>
      <c r="CSV417" s="22"/>
      <c r="CSW417" s="22"/>
      <c r="CSX417" s="22"/>
      <c r="CSY417" s="22"/>
      <c r="CSZ417" s="22"/>
      <c r="CTA417" s="22"/>
      <c r="CTB417" s="22"/>
      <c r="CTC417" s="22"/>
      <c r="CTD417" s="22"/>
      <c r="CTE417" s="22"/>
      <c r="CTF417" s="22"/>
      <c r="CTG417" s="22"/>
      <c r="CTH417" s="22"/>
      <c r="CTI417" s="22"/>
      <c r="CTJ417" s="22"/>
      <c r="CTK417" s="22"/>
      <c r="CTL417" s="22"/>
      <c r="CTM417" s="22"/>
      <c r="CTN417" s="22"/>
      <c r="CTO417" s="22"/>
      <c r="CTP417" s="22"/>
      <c r="CTQ417" s="22"/>
      <c r="CTR417" s="22"/>
      <c r="CTS417" s="22"/>
      <c r="CTT417" s="22"/>
      <c r="CTU417" s="22"/>
      <c r="CTV417" s="22"/>
      <c r="CTW417" s="22"/>
      <c r="CTX417" s="22"/>
      <c r="CTY417" s="22"/>
      <c r="CTZ417" s="22"/>
      <c r="CUA417" s="22"/>
      <c r="CUB417" s="22"/>
      <c r="CUC417" s="22"/>
      <c r="CUD417" s="22"/>
      <c r="CUE417" s="22"/>
      <c r="CUF417" s="22"/>
      <c r="CUG417" s="22"/>
      <c r="CUH417" s="22"/>
      <c r="CUI417" s="22"/>
      <c r="CUJ417" s="22"/>
      <c r="CUK417" s="22"/>
      <c r="CUL417" s="22"/>
      <c r="CUM417" s="22"/>
      <c r="CUN417" s="22"/>
      <c r="CUO417" s="22"/>
      <c r="CUP417" s="22"/>
      <c r="CUQ417" s="22"/>
      <c r="CUR417" s="22"/>
      <c r="CUS417" s="22"/>
      <c r="CUT417" s="22"/>
      <c r="CUU417" s="22"/>
      <c r="CUV417" s="22"/>
      <c r="CUW417" s="22"/>
      <c r="CUX417" s="22"/>
      <c r="CUY417" s="22"/>
      <c r="CUZ417" s="22"/>
      <c r="CVA417" s="22"/>
      <c r="CVB417" s="22"/>
      <c r="CVC417" s="22"/>
      <c r="CVD417" s="22"/>
      <c r="CVE417" s="22"/>
      <c r="CVF417" s="22"/>
      <c r="CVG417" s="22"/>
      <c r="CVH417" s="22"/>
      <c r="CVI417" s="22"/>
      <c r="CVJ417" s="22"/>
      <c r="CVK417" s="22"/>
      <c r="CVL417" s="22"/>
      <c r="CVM417" s="22"/>
      <c r="CVN417" s="22"/>
      <c r="CVO417" s="22"/>
      <c r="CVP417" s="22"/>
      <c r="CVQ417" s="22"/>
      <c r="CVR417" s="22"/>
      <c r="CVS417" s="22"/>
      <c r="CVT417" s="22"/>
      <c r="CVU417" s="22"/>
      <c r="CVV417" s="22"/>
      <c r="CVW417" s="22"/>
      <c r="CVX417" s="22"/>
      <c r="CVY417" s="22"/>
      <c r="CVZ417" s="22"/>
      <c r="CWA417" s="22"/>
      <c r="CWB417" s="22"/>
      <c r="CWC417" s="22"/>
      <c r="CWD417" s="22"/>
      <c r="CWE417" s="22"/>
      <c r="CWF417" s="22"/>
      <c r="CWG417" s="22"/>
      <c r="CWH417" s="22"/>
      <c r="CWI417" s="22"/>
      <c r="CWJ417" s="22"/>
      <c r="CWK417" s="22"/>
      <c r="CWL417" s="22"/>
      <c r="CWM417" s="22"/>
      <c r="CWN417" s="22"/>
      <c r="CWO417" s="22"/>
      <c r="CWP417" s="22"/>
      <c r="CWQ417" s="22"/>
      <c r="CWR417" s="22"/>
      <c r="CWS417" s="22"/>
      <c r="CWT417" s="22"/>
      <c r="CWU417" s="22"/>
      <c r="CWV417" s="22"/>
      <c r="CWW417" s="22"/>
      <c r="CWX417" s="22"/>
      <c r="CWY417" s="22"/>
      <c r="CWZ417" s="22"/>
      <c r="CXA417" s="22"/>
      <c r="CXB417" s="22"/>
      <c r="CXC417" s="22"/>
      <c r="CXD417" s="22"/>
      <c r="CXE417" s="22"/>
      <c r="CXF417" s="22"/>
      <c r="CXG417" s="22"/>
      <c r="CXH417" s="22"/>
      <c r="CXI417" s="22"/>
      <c r="CXJ417" s="22"/>
      <c r="CXK417" s="22"/>
      <c r="CXL417" s="22"/>
      <c r="CXM417" s="22"/>
      <c r="CXN417" s="22"/>
      <c r="CXO417" s="22"/>
      <c r="CXP417" s="22"/>
      <c r="CXQ417" s="22"/>
      <c r="CXR417" s="22"/>
      <c r="CXS417" s="22"/>
      <c r="CXT417" s="22"/>
      <c r="CXU417" s="22"/>
      <c r="CXV417" s="22"/>
      <c r="CXW417" s="22"/>
      <c r="CXX417" s="22"/>
      <c r="CXY417" s="22"/>
      <c r="CXZ417" s="22"/>
      <c r="CYA417" s="22"/>
      <c r="CYB417" s="22"/>
      <c r="CYC417" s="22"/>
      <c r="CYD417" s="22"/>
      <c r="CYE417" s="22"/>
      <c r="CYF417" s="22"/>
      <c r="CYG417" s="22"/>
      <c r="CYH417" s="22"/>
      <c r="CYI417" s="22"/>
      <c r="CYJ417" s="22"/>
      <c r="CYK417" s="22"/>
      <c r="CYL417" s="22"/>
      <c r="CYM417" s="22"/>
      <c r="CYN417" s="22"/>
      <c r="CYO417" s="22"/>
      <c r="CYP417" s="22"/>
      <c r="CYQ417" s="22"/>
      <c r="CYR417" s="22"/>
      <c r="CYS417" s="22"/>
      <c r="CYT417" s="22"/>
      <c r="CYU417" s="22"/>
      <c r="CYV417" s="22"/>
      <c r="CYW417" s="22"/>
      <c r="CYX417" s="22"/>
      <c r="CYY417" s="22"/>
      <c r="CYZ417" s="22"/>
      <c r="CZA417" s="22"/>
      <c r="CZB417" s="22"/>
      <c r="CZC417" s="22"/>
      <c r="CZD417" s="22"/>
      <c r="CZE417" s="22"/>
      <c r="CZF417" s="22"/>
      <c r="CZG417" s="22"/>
      <c r="CZH417" s="22"/>
      <c r="CZI417" s="22"/>
      <c r="CZJ417" s="22"/>
      <c r="CZK417" s="22"/>
      <c r="CZL417" s="22"/>
      <c r="CZM417" s="22"/>
      <c r="CZN417" s="22"/>
      <c r="CZO417" s="22"/>
      <c r="CZP417" s="22"/>
      <c r="CZQ417" s="22"/>
      <c r="CZR417" s="22"/>
      <c r="CZS417" s="22"/>
      <c r="CZT417" s="22"/>
      <c r="CZU417" s="22"/>
      <c r="CZV417" s="22"/>
      <c r="CZW417" s="22"/>
      <c r="CZX417" s="22"/>
      <c r="CZY417" s="22"/>
      <c r="CZZ417" s="22"/>
      <c r="DAA417" s="22"/>
      <c r="DAB417" s="22"/>
      <c r="DAC417" s="22"/>
      <c r="DAD417" s="22"/>
      <c r="DAE417" s="22"/>
      <c r="DAF417" s="22"/>
      <c r="DAG417" s="22"/>
      <c r="DAH417" s="22"/>
      <c r="DAI417" s="22"/>
      <c r="DAJ417" s="22"/>
      <c r="DAK417" s="22"/>
      <c r="DAL417" s="22"/>
      <c r="DAM417" s="22"/>
      <c r="DAN417" s="22"/>
      <c r="DAO417" s="22"/>
      <c r="DAP417" s="22"/>
      <c r="DAQ417" s="22"/>
      <c r="DAR417" s="22"/>
      <c r="DAS417" s="22"/>
      <c r="DAT417" s="22"/>
      <c r="DAU417" s="22"/>
      <c r="DAV417" s="22"/>
      <c r="DAW417" s="22"/>
      <c r="DAX417" s="22"/>
      <c r="DAY417" s="22"/>
      <c r="DAZ417" s="22"/>
      <c r="DBA417" s="22"/>
      <c r="DBB417" s="22"/>
      <c r="DBC417" s="22"/>
      <c r="DBD417" s="22"/>
      <c r="DBE417" s="22"/>
      <c r="DBF417" s="22"/>
      <c r="DBG417" s="22"/>
      <c r="DBH417" s="22"/>
      <c r="DBI417" s="22"/>
      <c r="DBJ417" s="22"/>
      <c r="DBK417" s="22"/>
      <c r="DBL417" s="22"/>
      <c r="DBM417" s="22"/>
      <c r="DBN417" s="22"/>
      <c r="DBO417" s="22"/>
      <c r="DBP417" s="22"/>
      <c r="DBQ417" s="22"/>
      <c r="DBR417" s="22"/>
      <c r="DBS417" s="22"/>
      <c r="DBT417" s="22"/>
      <c r="DBU417" s="22"/>
      <c r="DBV417" s="22"/>
      <c r="DBW417" s="22"/>
      <c r="DBX417" s="22"/>
      <c r="DBY417" s="22"/>
      <c r="DBZ417" s="22"/>
      <c r="DCA417" s="22"/>
      <c r="DCB417" s="22"/>
      <c r="DCC417" s="22"/>
      <c r="DCD417" s="22"/>
      <c r="DCE417" s="22"/>
      <c r="DCF417" s="22"/>
      <c r="DCG417" s="22"/>
      <c r="DCH417" s="22"/>
      <c r="DCI417" s="22"/>
      <c r="DCJ417" s="22"/>
      <c r="DCK417" s="22"/>
      <c r="DCL417" s="22"/>
      <c r="DCM417" s="22"/>
      <c r="DCN417" s="22"/>
      <c r="DCO417" s="22"/>
      <c r="DCP417" s="22"/>
      <c r="DCQ417" s="22"/>
      <c r="DCR417" s="22"/>
      <c r="DCS417" s="22"/>
      <c r="DCT417" s="22"/>
      <c r="DCU417" s="22"/>
      <c r="DCV417" s="22"/>
      <c r="DCW417" s="22"/>
      <c r="DCX417" s="22"/>
      <c r="DCY417" s="22"/>
      <c r="DCZ417" s="22"/>
      <c r="DDA417" s="22"/>
      <c r="DDB417" s="22"/>
      <c r="DDC417" s="22"/>
      <c r="DDD417" s="22"/>
      <c r="DDE417" s="22"/>
      <c r="DDF417" s="22"/>
      <c r="DDG417" s="22"/>
      <c r="DDH417" s="22"/>
      <c r="DDI417" s="22"/>
      <c r="DDJ417" s="22"/>
      <c r="DDK417" s="22"/>
      <c r="DDL417" s="22"/>
      <c r="DDM417" s="22"/>
      <c r="DDN417" s="22"/>
      <c r="DDO417" s="22"/>
      <c r="DDP417" s="22"/>
      <c r="DDQ417" s="22"/>
      <c r="DDR417" s="22"/>
      <c r="DDS417" s="22"/>
      <c r="DDT417" s="22"/>
      <c r="DDU417" s="22"/>
      <c r="DDV417" s="22"/>
      <c r="DDW417" s="22"/>
      <c r="DDX417" s="22"/>
      <c r="DDY417" s="22"/>
      <c r="DDZ417" s="22"/>
      <c r="DEA417" s="22"/>
      <c r="DEB417" s="22"/>
      <c r="DEC417" s="22"/>
      <c r="DED417" s="22"/>
      <c r="DEE417" s="22"/>
      <c r="DEF417" s="22"/>
      <c r="DEG417" s="22"/>
      <c r="DEH417" s="22"/>
      <c r="DEI417" s="22"/>
      <c r="DEJ417" s="22"/>
      <c r="DEK417" s="22"/>
      <c r="DEL417" s="22"/>
      <c r="DEM417" s="22"/>
      <c r="DEN417" s="22"/>
      <c r="DEO417" s="22"/>
      <c r="DEP417" s="22"/>
      <c r="DEQ417" s="22"/>
      <c r="DER417" s="22"/>
      <c r="DES417" s="22"/>
      <c r="DET417" s="22"/>
      <c r="DEU417" s="22"/>
      <c r="DEV417" s="22"/>
      <c r="DEW417" s="22"/>
      <c r="DEX417" s="22"/>
      <c r="DEY417" s="22"/>
      <c r="DEZ417" s="22"/>
      <c r="DFA417" s="22"/>
      <c r="DFB417" s="22"/>
      <c r="DFC417" s="22"/>
      <c r="DFD417" s="22"/>
      <c r="DFE417" s="22"/>
      <c r="DFF417" s="22"/>
      <c r="DFG417" s="22"/>
      <c r="DFH417" s="22"/>
      <c r="DFI417" s="22"/>
      <c r="DFJ417" s="22"/>
      <c r="DFK417" s="22"/>
      <c r="DFL417" s="22"/>
      <c r="DFM417" s="22"/>
      <c r="DFN417" s="22"/>
      <c r="DFO417" s="22"/>
      <c r="DFP417" s="22"/>
      <c r="DFQ417" s="22"/>
      <c r="DFR417" s="22"/>
      <c r="DFS417" s="22"/>
      <c r="DFT417" s="22"/>
      <c r="DFU417" s="22"/>
      <c r="DFV417" s="22"/>
      <c r="DFW417" s="22"/>
      <c r="DFX417" s="22"/>
      <c r="DFY417" s="22"/>
      <c r="DFZ417" s="22"/>
      <c r="DGA417" s="22"/>
      <c r="DGB417" s="22"/>
      <c r="DGC417" s="22"/>
      <c r="DGD417" s="22"/>
      <c r="DGE417" s="22"/>
      <c r="DGF417" s="22"/>
      <c r="DGG417" s="22"/>
      <c r="DGH417" s="22"/>
      <c r="DGI417" s="22"/>
      <c r="DGJ417" s="22"/>
      <c r="DGK417" s="22"/>
      <c r="DGL417" s="22"/>
      <c r="DGM417" s="22"/>
      <c r="DGN417" s="22"/>
      <c r="DGO417" s="22"/>
      <c r="DGP417" s="22"/>
      <c r="DGQ417" s="22"/>
      <c r="DGR417" s="22"/>
      <c r="DGS417" s="22"/>
      <c r="DGT417" s="22"/>
      <c r="DGU417" s="22"/>
      <c r="DGV417" s="22"/>
      <c r="DGW417" s="22"/>
      <c r="DGX417" s="22"/>
      <c r="DGY417" s="22"/>
      <c r="DGZ417" s="22"/>
      <c r="DHA417" s="22"/>
      <c r="DHB417" s="22"/>
      <c r="DHC417" s="22"/>
      <c r="DHD417" s="22"/>
      <c r="DHE417" s="22"/>
      <c r="DHF417" s="22"/>
      <c r="DHG417" s="22"/>
      <c r="DHH417" s="22"/>
      <c r="DHI417" s="22"/>
      <c r="DHJ417" s="22"/>
      <c r="DHK417" s="22"/>
      <c r="DHL417" s="22"/>
      <c r="DHM417" s="22"/>
      <c r="DHN417" s="22"/>
      <c r="DHO417" s="22"/>
      <c r="DHP417" s="22"/>
      <c r="DHQ417" s="22"/>
      <c r="DHR417" s="22"/>
      <c r="DHS417" s="22"/>
      <c r="DHT417" s="22"/>
      <c r="DHU417" s="22"/>
      <c r="DHV417" s="22"/>
      <c r="DHW417" s="22"/>
      <c r="DHX417" s="22"/>
      <c r="DHY417" s="22"/>
      <c r="DHZ417" s="22"/>
      <c r="DIA417" s="22"/>
      <c r="DIB417" s="22"/>
      <c r="DIC417" s="22"/>
      <c r="DID417" s="22"/>
      <c r="DIE417" s="22"/>
      <c r="DIF417" s="22"/>
      <c r="DIG417" s="22"/>
      <c r="DIH417" s="22"/>
      <c r="DII417" s="22"/>
      <c r="DIJ417" s="22"/>
      <c r="DIK417" s="22"/>
      <c r="DIL417" s="22"/>
      <c r="DIM417" s="22"/>
      <c r="DIN417" s="22"/>
      <c r="DIO417" s="22"/>
      <c r="DIP417" s="22"/>
      <c r="DIQ417" s="22"/>
      <c r="DIR417" s="22"/>
      <c r="DIS417" s="22"/>
      <c r="DIT417" s="22"/>
      <c r="DIU417" s="22"/>
      <c r="DIV417" s="22"/>
      <c r="DIW417" s="22"/>
      <c r="DIX417" s="22"/>
      <c r="DIY417" s="22"/>
      <c r="DIZ417" s="22"/>
      <c r="DJA417" s="22"/>
      <c r="DJB417" s="22"/>
      <c r="DJC417" s="22"/>
      <c r="DJD417" s="22"/>
      <c r="DJE417" s="22"/>
      <c r="DJF417" s="22"/>
      <c r="DJG417" s="22"/>
      <c r="DJH417" s="22"/>
      <c r="DJI417" s="22"/>
      <c r="DJJ417" s="22"/>
      <c r="DJK417" s="22"/>
      <c r="DJL417" s="22"/>
      <c r="DJM417" s="22"/>
      <c r="DJN417" s="22"/>
      <c r="DJO417" s="22"/>
      <c r="DJP417" s="22"/>
      <c r="DJQ417" s="22"/>
      <c r="DJR417" s="22"/>
      <c r="DJS417" s="22"/>
      <c r="DJT417" s="22"/>
      <c r="DJU417" s="22"/>
      <c r="DJV417" s="22"/>
      <c r="DJW417" s="22"/>
      <c r="DJX417" s="22"/>
      <c r="DJY417" s="22"/>
      <c r="DJZ417" s="22"/>
      <c r="DKA417" s="22"/>
      <c r="DKB417" s="22"/>
      <c r="DKC417" s="22"/>
      <c r="DKD417" s="22"/>
      <c r="DKE417" s="22"/>
      <c r="DKF417" s="22"/>
      <c r="DKG417" s="22"/>
      <c r="DKH417" s="22"/>
      <c r="DKI417" s="22"/>
      <c r="DKJ417" s="22"/>
      <c r="DKK417" s="22"/>
      <c r="DKL417" s="22"/>
      <c r="DKM417" s="22"/>
      <c r="DKN417" s="22"/>
      <c r="DKO417" s="22"/>
      <c r="DKP417" s="22"/>
      <c r="DKQ417" s="22"/>
      <c r="DKR417" s="22"/>
      <c r="DKS417" s="22"/>
      <c r="DKT417" s="22"/>
      <c r="DKU417" s="22"/>
      <c r="DKV417" s="22"/>
      <c r="DKW417" s="22"/>
      <c r="DKX417" s="22"/>
      <c r="DKY417" s="22"/>
      <c r="DKZ417" s="22"/>
      <c r="DLA417" s="22"/>
      <c r="DLB417" s="22"/>
      <c r="DLC417" s="22"/>
      <c r="DLD417" s="22"/>
      <c r="DLE417" s="22"/>
      <c r="DLF417" s="22"/>
      <c r="DLG417" s="22"/>
      <c r="DLH417" s="22"/>
      <c r="DLI417" s="22"/>
      <c r="DLJ417" s="22"/>
      <c r="DLK417" s="22"/>
      <c r="DLL417" s="22"/>
      <c r="DLM417" s="22"/>
      <c r="DLN417" s="22"/>
      <c r="DLO417" s="22"/>
      <c r="DLP417" s="22"/>
      <c r="DLQ417" s="22"/>
      <c r="DLR417" s="22"/>
      <c r="DLS417" s="22"/>
      <c r="DLT417" s="22"/>
      <c r="DLU417" s="22"/>
      <c r="DLV417" s="22"/>
      <c r="DLW417" s="22"/>
      <c r="DLX417" s="22"/>
      <c r="DLY417" s="22"/>
      <c r="DLZ417" s="22"/>
      <c r="DMA417" s="22"/>
      <c r="DMB417" s="22"/>
      <c r="DMC417" s="22"/>
      <c r="DMD417" s="22"/>
      <c r="DME417" s="22"/>
      <c r="DMF417" s="22"/>
      <c r="DMG417" s="22"/>
      <c r="DMH417" s="22"/>
      <c r="DMI417" s="22"/>
      <c r="DMJ417" s="22"/>
      <c r="DMK417" s="22"/>
      <c r="DML417" s="22"/>
      <c r="DMM417" s="22"/>
      <c r="DMN417" s="22"/>
      <c r="DMO417" s="22"/>
      <c r="DMP417" s="22"/>
      <c r="DMQ417" s="22"/>
      <c r="DMR417" s="22"/>
      <c r="DMS417" s="22"/>
      <c r="DMT417" s="22"/>
      <c r="DMU417" s="22"/>
      <c r="DMV417" s="22"/>
      <c r="DMW417" s="22"/>
      <c r="DMX417" s="22"/>
      <c r="DMY417" s="22"/>
      <c r="DMZ417" s="22"/>
      <c r="DNA417" s="22"/>
      <c r="DNB417" s="22"/>
      <c r="DNC417" s="22"/>
      <c r="DND417" s="22"/>
      <c r="DNE417" s="22"/>
      <c r="DNF417" s="22"/>
      <c r="DNG417" s="22"/>
      <c r="DNH417" s="22"/>
      <c r="DNI417" s="22"/>
      <c r="DNJ417" s="22"/>
      <c r="DNK417" s="22"/>
      <c r="DNL417" s="22"/>
      <c r="DNM417" s="22"/>
      <c r="DNN417" s="22"/>
      <c r="DNO417" s="22"/>
      <c r="DNP417" s="22"/>
      <c r="DNQ417" s="22"/>
      <c r="DNR417" s="22"/>
      <c r="DNS417" s="22"/>
      <c r="DNT417" s="22"/>
      <c r="DNU417" s="22"/>
      <c r="DNV417" s="22"/>
      <c r="DNW417" s="22"/>
      <c r="DNX417" s="22"/>
      <c r="DNY417" s="22"/>
      <c r="DNZ417" s="22"/>
      <c r="DOA417" s="22"/>
      <c r="DOB417" s="22"/>
      <c r="DOC417" s="22"/>
      <c r="DOD417" s="22"/>
      <c r="DOE417" s="22"/>
      <c r="DOF417" s="22"/>
      <c r="DOG417" s="22"/>
      <c r="DOH417" s="22"/>
      <c r="DOI417" s="22"/>
      <c r="DOJ417" s="22"/>
      <c r="DOK417" s="22"/>
      <c r="DOL417" s="22"/>
      <c r="DOM417" s="22"/>
      <c r="DON417" s="22"/>
      <c r="DOO417" s="22"/>
      <c r="DOP417" s="22"/>
      <c r="DOQ417" s="22"/>
      <c r="DOR417" s="22"/>
      <c r="DOS417" s="22"/>
      <c r="DOT417" s="22"/>
      <c r="DOU417" s="22"/>
      <c r="DOV417" s="22"/>
      <c r="DOW417" s="22"/>
      <c r="DOX417" s="22"/>
      <c r="DOY417" s="22"/>
      <c r="DOZ417" s="22"/>
      <c r="DPA417" s="22"/>
      <c r="DPB417" s="22"/>
      <c r="DPC417" s="22"/>
      <c r="DPD417" s="22"/>
      <c r="DPE417" s="22"/>
      <c r="DPF417" s="22"/>
      <c r="DPG417" s="22"/>
      <c r="DPH417" s="22"/>
      <c r="DPI417" s="22"/>
      <c r="DPJ417" s="22"/>
      <c r="DPK417" s="22"/>
      <c r="DPL417" s="22"/>
      <c r="DPM417" s="22"/>
      <c r="DPN417" s="22"/>
      <c r="DPO417" s="22"/>
      <c r="DPP417" s="22"/>
      <c r="DPQ417" s="22"/>
      <c r="DPR417" s="22"/>
      <c r="DPS417" s="22"/>
      <c r="DPT417" s="22"/>
      <c r="DPU417" s="22"/>
      <c r="DPV417" s="22"/>
      <c r="DPW417" s="22"/>
      <c r="DPX417" s="22"/>
      <c r="DPY417" s="22"/>
      <c r="DPZ417" s="22"/>
      <c r="DQA417" s="22"/>
      <c r="DQB417" s="22"/>
      <c r="DQC417" s="22"/>
      <c r="DQD417" s="22"/>
      <c r="DQE417" s="22"/>
      <c r="DQF417" s="22"/>
      <c r="DQG417" s="22"/>
      <c r="DQH417" s="22"/>
      <c r="DQI417" s="22"/>
      <c r="DQJ417" s="22"/>
      <c r="DQK417" s="22"/>
      <c r="DQL417" s="22"/>
      <c r="DQM417" s="22"/>
      <c r="DQN417" s="22"/>
      <c r="DQO417" s="22"/>
      <c r="DQP417" s="22"/>
      <c r="DQQ417" s="22"/>
      <c r="DQR417" s="22"/>
      <c r="DQS417" s="22"/>
      <c r="DQT417" s="22"/>
      <c r="DQU417" s="22"/>
      <c r="DQV417" s="22"/>
      <c r="DQW417" s="22"/>
      <c r="DQX417" s="22"/>
      <c r="DQY417" s="22"/>
      <c r="DQZ417" s="22"/>
      <c r="DRA417" s="22"/>
      <c r="DRB417" s="22"/>
      <c r="DRC417" s="22"/>
      <c r="DRD417" s="22"/>
      <c r="DRE417" s="22"/>
      <c r="DRF417" s="22"/>
      <c r="DRG417" s="22"/>
      <c r="DRH417" s="22"/>
      <c r="DRI417" s="22"/>
      <c r="DRJ417" s="22"/>
      <c r="DRK417" s="22"/>
      <c r="DRL417" s="22"/>
      <c r="DRM417" s="22"/>
      <c r="DRN417" s="22"/>
      <c r="DRO417" s="22"/>
      <c r="DRP417" s="22"/>
      <c r="DRQ417" s="22"/>
      <c r="DRR417" s="22"/>
      <c r="DRS417" s="22"/>
      <c r="DRT417" s="22"/>
      <c r="DRU417" s="22"/>
      <c r="DRV417" s="22"/>
      <c r="DRW417" s="22"/>
      <c r="DRX417" s="22"/>
      <c r="DRY417" s="22"/>
      <c r="DRZ417" s="22"/>
      <c r="DSA417" s="22"/>
      <c r="DSB417" s="22"/>
      <c r="DSC417" s="22"/>
      <c r="DSD417" s="22"/>
      <c r="DSE417" s="22"/>
      <c r="DSF417" s="22"/>
      <c r="DSG417" s="22"/>
      <c r="DSH417" s="22"/>
      <c r="DSI417" s="22"/>
      <c r="DSJ417" s="22"/>
      <c r="DSK417" s="22"/>
      <c r="DSL417" s="22"/>
      <c r="DSM417" s="22"/>
      <c r="DSN417" s="22"/>
      <c r="DSO417" s="22"/>
      <c r="DSP417" s="22"/>
      <c r="DSQ417" s="22"/>
      <c r="DSR417" s="22"/>
      <c r="DSS417" s="22"/>
      <c r="DST417" s="22"/>
      <c r="DSU417" s="22"/>
      <c r="DSV417" s="22"/>
      <c r="DSW417" s="22"/>
      <c r="DSX417" s="22"/>
      <c r="DSY417" s="22"/>
      <c r="DSZ417" s="22"/>
      <c r="DTA417" s="22"/>
      <c r="DTB417" s="22"/>
      <c r="DTC417" s="22"/>
      <c r="DTD417" s="22"/>
      <c r="DTE417" s="22"/>
      <c r="DTF417" s="22"/>
      <c r="DTG417" s="22"/>
      <c r="DTH417" s="22"/>
      <c r="DTI417" s="22"/>
      <c r="DTJ417" s="22"/>
      <c r="DTK417" s="22"/>
      <c r="DTL417" s="22"/>
      <c r="DTM417" s="22"/>
      <c r="DTN417" s="22"/>
      <c r="DTO417" s="22"/>
      <c r="DTP417" s="22"/>
      <c r="DTQ417" s="22"/>
      <c r="DTR417" s="22"/>
      <c r="DTS417" s="22"/>
      <c r="DTT417" s="22"/>
      <c r="DTU417" s="22"/>
      <c r="DTV417" s="22"/>
      <c r="DTW417" s="22"/>
      <c r="DTX417" s="22"/>
      <c r="DTY417" s="22"/>
      <c r="DTZ417" s="22"/>
      <c r="DUA417" s="22"/>
      <c r="DUB417" s="22"/>
      <c r="DUC417" s="22"/>
      <c r="DUD417" s="22"/>
      <c r="DUE417" s="22"/>
      <c r="DUF417" s="22"/>
      <c r="DUG417" s="22"/>
      <c r="DUH417" s="22"/>
      <c r="DUI417" s="22"/>
      <c r="DUJ417" s="22"/>
      <c r="DUK417" s="22"/>
      <c r="DUL417" s="22"/>
      <c r="DUM417" s="22"/>
      <c r="DUN417" s="22"/>
      <c r="DUO417" s="22"/>
      <c r="DUP417" s="22"/>
      <c r="DUQ417" s="22"/>
      <c r="DUR417" s="22"/>
      <c r="DUS417" s="22"/>
      <c r="DUT417" s="22"/>
      <c r="DUU417" s="22"/>
      <c r="DUV417" s="22"/>
      <c r="DUW417" s="22"/>
      <c r="DUX417" s="22"/>
      <c r="DUY417" s="22"/>
      <c r="DUZ417" s="22"/>
      <c r="DVA417" s="22"/>
      <c r="DVB417" s="22"/>
      <c r="DVC417" s="22"/>
      <c r="DVD417" s="22"/>
      <c r="DVE417" s="22"/>
      <c r="DVF417" s="22"/>
      <c r="DVG417" s="22"/>
      <c r="DVH417" s="22"/>
      <c r="DVI417" s="22"/>
      <c r="DVJ417" s="22"/>
      <c r="DVK417" s="22"/>
      <c r="DVL417" s="22"/>
      <c r="DVM417" s="22"/>
      <c r="DVN417" s="22"/>
      <c r="DVO417" s="22"/>
      <c r="DVP417" s="22"/>
      <c r="DVQ417" s="22"/>
      <c r="DVR417" s="22"/>
      <c r="DVS417" s="22"/>
      <c r="DVT417" s="22"/>
      <c r="DVU417" s="22"/>
      <c r="DVV417" s="22"/>
      <c r="DVW417" s="22"/>
      <c r="DVX417" s="22"/>
      <c r="DVY417" s="22"/>
      <c r="DVZ417" s="22"/>
      <c r="DWA417" s="22"/>
      <c r="DWB417" s="22"/>
      <c r="DWC417" s="22"/>
      <c r="DWD417" s="22"/>
      <c r="DWE417" s="22"/>
      <c r="DWF417" s="22"/>
      <c r="DWG417" s="22"/>
      <c r="DWH417" s="22"/>
      <c r="DWI417" s="22"/>
      <c r="DWJ417" s="22"/>
      <c r="DWK417" s="22"/>
      <c r="DWL417" s="22"/>
      <c r="DWM417" s="22"/>
      <c r="DWN417" s="22"/>
      <c r="DWO417" s="22"/>
      <c r="DWP417" s="22"/>
      <c r="DWQ417" s="22"/>
      <c r="DWR417" s="22"/>
      <c r="DWS417" s="22"/>
      <c r="DWT417" s="22"/>
      <c r="DWU417" s="22"/>
      <c r="DWV417" s="22"/>
      <c r="DWW417" s="22"/>
      <c r="DWX417" s="22"/>
      <c r="DWY417" s="22"/>
      <c r="DWZ417" s="22"/>
      <c r="DXA417" s="22"/>
      <c r="DXB417" s="22"/>
      <c r="DXC417" s="22"/>
      <c r="DXD417" s="22"/>
      <c r="DXE417" s="22"/>
      <c r="DXF417" s="22"/>
      <c r="DXG417" s="22"/>
      <c r="DXH417" s="22"/>
      <c r="DXI417" s="22"/>
      <c r="DXJ417" s="22"/>
      <c r="DXK417" s="22"/>
      <c r="DXL417" s="22"/>
      <c r="DXM417" s="22"/>
      <c r="DXN417" s="22"/>
      <c r="DXO417" s="22"/>
      <c r="DXP417" s="22"/>
      <c r="DXQ417" s="22"/>
      <c r="DXR417" s="22"/>
      <c r="DXS417" s="22"/>
      <c r="DXT417" s="22"/>
      <c r="DXU417" s="22"/>
      <c r="DXV417" s="22"/>
      <c r="DXW417" s="22"/>
      <c r="DXX417" s="22"/>
      <c r="DXY417" s="22"/>
      <c r="DXZ417" s="22"/>
      <c r="DYA417" s="22"/>
      <c r="DYB417" s="22"/>
      <c r="DYC417" s="22"/>
      <c r="DYD417" s="22"/>
      <c r="DYE417" s="22"/>
      <c r="DYF417" s="22"/>
      <c r="DYG417" s="22"/>
      <c r="DYH417" s="22"/>
      <c r="DYI417" s="22"/>
      <c r="DYJ417" s="22"/>
      <c r="DYK417" s="22"/>
      <c r="DYL417" s="22"/>
      <c r="DYM417" s="22"/>
      <c r="DYN417" s="22"/>
      <c r="DYO417" s="22"/>
      <c r="DYP417" s="22"/>
      <c r="DYQ417" s="22"/>
      <c r="DYR417" s="22"/>
      <c r="DYS417" s="22"/>
      <c r="DYT417" s="22"/>
      <c r="DYU417" s="22"/>
      <c r="DYV417" s="22"/>
      <c r="DYW417" s="22"/>
      <c r="DYX417" s="22"/>
      <c r="DYY417" s="22"/>
      <c r="DYZ417" s="22"/>
      <c r="DZA417" s="22"/>
      <c r="DZB417" s="22"/>
      <c r="DZC417" s="22"/>
      <c r="DZD417" s="22"/>
      <c r="DZE417" s="22"/>
      <c r="DZF417" s="22"/>
      <c r="DZG417" s="22"/>
      <c r="DZH417" s="22"/>
      <c r="DZI417" s="22"/>
      <c r="DZJ417" s="22"/>
      <c r="DZK417" s="22"/>
      <c r="DZL417" s="22"/>
      <c r="DZM417" s="22"/>
      <c r="DZN417" s="22"/>
      <c r="DZO417" s="22"/>
      <c r="DZP417" s="22"/>
      <c r="DZQ417" s="22"/>
      <c r="DZR417" s="22"/>
      <c r="DZS417" s="22"/>
      <c r="DZT417" s="22"/>
      <c r="DZU417" s="22"/>
      <c r="DZV417" s="22"/>
      <c r="DZW417" s="22"/>
      <c r="DZX417" s="22"/>
      <c r="DZY417" s="22"/>
      <c r="DZZ417" s="22"/>
      <c r="EAA417" s="22"/>
      <c r="EAB417" s="22"/>
      <c r="EAC417" s="22"/>
      <c r="EAD417" s="22"/>
      <c r="EAE417" s="22"/>
      <c r="EAF417" s="22"/>
      <c r="EAG417" s="22"/>
      <c r="EAH417" s="22"/>
      <c r="EAI417" s="22"/>
      <c r="EAJ417" s="22"/>
      <c r="EAK417" s="22"/>
      <c r="EAL417" s="22"/>
      <c r="EAM417" s="22"/>
      <c r="EAN417" s="22"/>
      <c r="EAO417" s="22"/>
      <c r="EAP417" s="22"/>
      <c r="EAQ417" s="22"/>
      <c r="EAR417" s="22"/>
      <c r="EAS417" s="22"/>
      <c r="EAT417" s="22"/>
      <c r="EAU417" s="22"/>
      <c r="EAV417" s="22"/>
      <c r="EAW417" s="22"/>
      <c r="EAX417" s="22"/>
      <c r="EAY417" s="22"/>
      <c r="EAZ417" s="22"/>
      <c r="EBA417" s="22"/>
      <c r="EBB417" s="22"/>
      <c r="EBC417" s="22"/>
      <c r="EBD417" s="22"/>
      <c r="EBE417" s="22"/>
      <c r="EBF417" s="22"/>
      <c r="EBG417" s="22"/>
      <c r="EBH417" s="22"/>
      <c r="EBI417" s="22"/>
      <c r="EBJ417" s="22"/>
      <c r="EBK417" s="22"/>
      <c r="EBL417" s="22"/>
      <c r="EBM417" s="22"/>
      <c r="EBN417" s="22"/>
      <c r="EBO417" s="22"/>
      <c r="EBP417" s="22"/>
      <c r="EBQ417" s="22"/>
      <c r="EBR417" s="22"/>
      <c r="EBS417" s="22"/>
      <c r="EBT417" s="22"/>
      <c r="EBU417" s="22"/>
      <c r="EBV417" s="22"/>
      <c r="EBW417" s="22"/>
      <c r="EBX417" s="22"/>
      <c r="EBY417" s="22"/>
      <c r="EBZ417" s="22"/>
      <c r="ECA417" s="22"/>
      <c r="ECB417" s="22"/>
      <c r="ECC417" s="22"/>
      <c r="ECD417" s="22"/>
      <c r="ECE417" s="22"/>
      <c r="ECF417" s="22"/>
      <c r="ECG417" s="22"/>
      <c r="ECH417" s="22"/>
      <c r="ECI417" s="22"/>
      <c r="ECJ417" s="22"/>
      <c r="ECK417" s="22"/>
      <c r="ECL417" s="22"/>
      <c r="ECM417" s="22"/>
      <c r="ECN417" s="22"/>
      <c r="ECO417" s="22"/>
      <c r="ECP417" s="22"/>
      <c r="ECQ417" s="22"/>
      <c r="ECR417" s="22"/>
      <c r="ECS417" s="22"/>
      <c r="ECT417" s="22"/>
      <c r="ECU417" s="22"/>
      <c r="ECV417" s="22"/>
      <c r="ECW417" s="22"/>
      <c r="ECX417" s="22"/>
      <c r="ECY417" s="22"/>
      <c r="ECZ417" s="22"/>
      <c r="EDA417" s="22"/>
      <c r="EDB417" s="22"/>
      <c r="EDC417" s="22"/>
      <c r="EDD417" s="22"/>
      <c r="EDE417" s="22"/>
      <c r="EDF417" s="22"/>
      <c r="EDG417" s="22"/>
      <c r="EDH417" s="22"/>
      <c r="EDI417" s="22"/>
      <c r="EDJ417" s="22"/>
      <c r="EDK417" s="22"/>
      <c r="EDL417" s="22"/>
      <c r="EDM417" s="22"/>
      <c r="EDN417" s="22"/>
      <c r="EDO417" s="22"/>
      <c r="EDP417" s="22"/>
      <c r="EDQ417" s="22"/>
      <c r="EDR417" s="22"/>
      <c r="EDS417" s="22"/>
      <c r="EDT417" s="22"/>
      <c r="EDU417" s="22"/>
      <c r="EDV417" s="22"/>
      <c r="EDW417" s="22"/>
      <c r="EDX417" s="22"/>
      <c r="EDY417" s="22"/>
      <c r="EDZ417" s="22"/>
      <c r="EEA417" s="22"/>
      <c r="EEB417" s="22"/>
      <c r="EEC417" s="22"/>
      <c r="EED417" s="22"/>
      <c r="EEE417" s="22"/>
      <c r="EEF417" s="22"/>
      <c r="EEG417" s="22"/>
      <c r="EEH417" s="22"/>
      <c r="EEI417" s="22"/>
      <c r="EEJ417" s="22"/>
      <c r="EEK417" s="22"/>
      <c r="EEL417" s="22"/>
      <c r="EEM417" s="22"/>
      <c r="EEN417" s="22"/>
      <c r="EEO417" s="22"/>
      <c r="EEP417" s="22"/>
      <c r="EEQ417" s="22"/>
      <c r="EER417" s="22"/>
      <c r="EES417" s="22"/>
      <c r="EET417" s="22"/>
      <c r="EEU417" s="22"/>
      <c r="EEV417" s="22"/>
      <c r="EEW417" s="22"/>
      <c r="EEX417" s="22"/>
      <c r="EEY417" s="22"/>
      <c r="EEZ417" s="22"/>
      <c r="EFA417" s="22"/>
      <c r="EFB417" s="22"/>
      <c r="EFC417" s="22"/>
      <c r="EFD417" s="22"/>
      <c r="EFE417" s="22"/>
      <c r="EFF417" s="22"/>
      <c r="EFG417" s="22"/>
      <c r="EFH417" s="22"/>
      <c r="EFI417" s="22"/>
      <c r="EFJ417" s="22"/>
      <c r="EFK417" s="22"/>
      <c r="EFL417" s="22"/>
      <c r="EFM417" s="22"/>
      <c r="EFN417" s="22"/>
      <c r="EFO417" s="22"/>
      <c r="EFP417" s="22"/>
      <c r="EFQ417" s="22"/>
      <c r="EFR417" s="22"/>
      <c r="EFS417" s="22"/>
      <c r="EFT417" s="22"/>
      <c r="EFU417" s="22"/>
      <c r="EFV417" s="22"/>
      <c r="EFW417" s="22"/>
      <c r="EFX417" s="22"/>
      <c r="EFY417" s="22"/>
      <c r="EFZ417" s="22"/>
      <c r="EGA417" s="22"/>
      <c r="EGB417" s="22"/>
      <c r="EGC417" s="22"/>
      <c r="EGD417" s="22"/>
      <c r="EGE417" s="22"/>
      <c r="EGF417" s="22"/>
      <c r="EGG417" s="22"/>
      <c r="EGH417" s="22"/>
      <c r="EGI417" s="22"/>
      <c r="EGJ417" s="22"/>
      <c r="EGK417" s="22"/>
      <c r="EGL417" s="22"/>
      <c r="EGM417" s="22"/>
      <c r="EGN417" s="22"/>
      <c r="EGO417" s="22"/>
      <c r="EGP417" s="22"/>
      <c r="EGQ417" s="22"/>
      <c r="EGR417" s="22"/>
      <c r="EGS417" s="22"/>
      <c r="EGT417" s="22"/>
      <c r="EGU417" s="22"/>
      <c r="EGV417" s="22"/>
      <c r="EGW417" s="22"/>
      <c r="EGX417" s="22"/>
      <c r="EGY417" s="22"/>
      <c r="EGZ417" s="22"/>
      <c r="EHA417" s="22"/>
      <c r="EHB417" s="22"/>
      <c r="EHC417" s="22"/>
      <c r="EHD417" s="22"/>
      <c r="EHE417" s="22"/>
      <c r="EHF417" s="22"/>
      <c r="EHG417" s="22"/>
      <c r="EHH417" s="22"/>
      <c r="EHI417" s="22"/>
      <c r="EHJ417" s="22"/>
      <c r="EHK417" s="22"/>
      <c r="EHL417" s="22"/>
      <c r="EHM417" s="22"/>
      <c r="EHN417" s="22"/>
      <c r="EHO417" s="22"/>
      <c r="EHP417" s="22"/>
      <c r="EHQ417" s="22"/>
      <c r="EHR417" s="22"/>
      <c r="EHS417" s="22"/>
      <c r="EHT417" s="22"/>
      <c r="EHU417" s="22"/>
      <c r="EHV417" s="22"/>
      <c r="EHW417" s="22"/>
      <c r="EHX417" s="22"/>
      <c r="EHY417" s="22"/>
      <c r="EHZ417" s="22"/>
      <c r="EIA417" s="22"/>
      <c r="EIB417" s="22"/>
      <c r="EIC417" s="22"/>
      <c r="EID417" s="22"/>
      <c r="EIE417" s="22"/>
      <c r="EIF417" s="22"/>
      <c r="EIG417" s="22"/>
      <c r="EIH417" s="22"/>
      <c r="EII417" s="22"/>
      <c r="EIJ417" s="22"/>
      <c r="EIK417" s="22"/>
      <c r="EIL417" s="22"/>
      <c r="EIM417" s="22"/>
      <c r="EIN417" s="22"/>
      <c r="EIO417" s="22"/>
      <c r="EIP417" s="22"/>
      <c r="EIQ417" s="22"/>
      <c r="EIR417" s="22"/>
      <c r="EIS417" s="22"/>
      <c r="EIT417" s="22"/>
      <c r="EIU417" s="22"/>
      <c r="EIV417" s="22"/>
      <c r="EIW417" s="22"/>
      <c r="EIX417" s="22"/>
      <c r="EIY417" s="22"/>
      <c r="EIZ417" s="22"/>
      <c r="EJA417" s="22"/>
      <c r="EJB417" s="22"/>
      <c r="EJC417" s="22"/>
      <c r="EJD417" s="22"/>
      <c r="EJE417" s="22"/>
      <c r="EJF417" s="22"/>
      <c r="EJG417" s="22"/>
      <c r="EJH417" s="22"/>
      <c r="EJI417" s="22"/>
      <c r="EJJ417" s="22"/>
      <c r="EJK417" s="22"/>
      <c r="EJL417" s="22"/>
      <c r="EJM417" s="22"/>
      <c r="EJN417" s="22"/>
      <c r="EJO417" s="22"/>
      <c r="EJP417" s="22"/>
      <c r="EJQ417" s="22"/>
      <c r="EJR417" s="22"/>
      <c r="EJS417" s="22"/>
      <c r="EJT417" s="22"/>
      <c r="EJU417" s="22"/>
      <c r="EJV417" s="22"/>
      <c r="EJW417" s="22"/>
      <c r="EJX417" s="22"/>
      <c r="EJY417" s="22"/>
      <c r="EJZ417" s="22"/>
      <c r="EKA417" s="22"/>
      <c r="EKB417" s="22"/>
      <c r="EKC417" s="22"/>
      <c r="EKD417" s="22"/>
      <c r="EKE417" s="22"/>
      <c r="EKF417" s="22"/>
      <c r="EKG417" s="22"/>
      <c r="EKH417" s="22"/>
      <c r="EKI417" s="22"/>
      <c r="EKJ417" s="22"/>
      <c r="EKK417" s="22"/>
      <c r="EKL417" s="22"/>
      <c r="EKM417" s="22"/>
      <c r="EKN417" s="22"/>
      <c r="EKO417" s="22"/>
      <c r="EKP417" s="22"/>
      <c r="EKQ417" s="22"/>
      <c r="EKR417" s="22"/>
      <c r="EKS417" s="22"/>
      <c r="EKT417" s="22"/>
      <c r="EKU417" s="22"/>
      <c r="EKV417" s="22"/>
      <c r="EKW417" s="22"/>
      <c r="EKX417" s="22"/>
      <c r="EKY417" s="22"/>
      <c r="EKZ417" s="22"/>
      <c r="ELA417" s="22"/>
      <c r="ELB417" s="22"/>
      <c r="ELC417" s="22"/>
      <c r="ELD417" s="22"/>
      <c r="ELE417" s="22"/>
      <c r="ELF417" s="22"/>
      <c r="ELG417" s="22"/>
      <c r="ELH417" s="22"/>
      <c r="ELI417" s="22"/>
      <c r="ELJ417" s="22"/>
      <c r="ELK417" s="22"/>
      <c r="ELL417" s="22"/>
      <c r="ELM417" s="22"/>
      <c r="ELN417" s="22"/>
      <c r="ELO417" s="22"/>
      <c r="ELP417" s="22"/>
      <c r="ELQ417" s="22"/>
      <c r="ELR417" s="22"/>
      <c r="ELS417" s="22"/>
      <c r="ELT417" s="22"/>
      <c r="ELU417" s="22"/>
      <c r="ELV417" s="22"/>
      <c r="ELW417" s="22"/>
      <c r="ELX417" s="22"/>
      <c r="ELY417" s="22"/>
      <c r="ELZ417" s="22"/>
      <c r="EMA417" s="22"/>
      <c r="EMB417" s="22"/>
      <c r="EMC417" s="22"/>
      <c r="EMD417" s="22"/>
      <c r="EME417" s="22"/>
      <c r="EMF417" s="22"/>
      <c r="EMG417" s="22"/>
      <c r="EMH417" s="22"/>
      <c r="EMI417" s="22"/>
      <c r="EMJ417" s="22"/>
      <c r="EMK417" s="22"/>
      <c r="EML417" s="22"/>
      <c r="EMM417" s="22"/>
      <c r="EMN417" s="22"/>
      <c r="EMO417" s="22"/>
      <c r="EMP417" s="22"/>
      <c r="EMQ417" s="22"/>
      <c r="EMR417" s="22"/>
      <c r="EMS417" s="22"/>
      <c r="EMT417" s="22"/>
      <c r="EMU417" s="22"/>
      <c r="EMV417" s="22"/>
      <c r="EMW417" s="22"/>
      <c r="EMX417" s="22"/>
      <c r="EMY417" s="22"/>
      <c r="EMZ417" s="22"/>
      <c r="ENA417" s="22"/>
      <c r="ENB417" s="22"/>
      <c r="ENC417" s="22"/>
      <c r="END417" s="22"/>
      <c r="ENE417" s="22"/>
      <c r="ENF417" s="22"/>
      <c r="ENG417" s="22"/>
      <c r="ENH417" s="22"/>
      <c r="ENI417" s="22"/>
      <c r="ENJ417" s="22"/>
      <c r="ENK417" s="22"/>
      <c r="ENL417" s="22"/>
      <c r="ENM417" s="22"/>
      <c r="ENN417" s="22"/>
      <c r="ENO417" s="22"/>
      <c r="ENP417" s="22"/>
      <c r="ENQ417" s="22"/>
      <c r="ENR417" s="22"/>
      <c r="ENS417" s="22"/>
      <c r="ENT417" s="22"/>
      <c r="ENU417" s="22"/>
      <c r="ENV417" s="22"/>
      <c r="ENW417" s="22"/>
      <c r="ENX417" s="22"/>
      <c r="ENY417" s="22"/>
      <c r="ENZ417" s="22"/>
      <c r="EOA417" s="22"/>
      <c r="EOB417" s="22"/>
      <c r="EOC417" s="22"/>
      <c r="EOD417" s="22"/>
      <c r="EOE417" s="22"/>
      <c r="EOF417" s="22"/>
      <c r="EOG417" s="22"/>
      <c r="EOH417" s="22"/>
      <c r="EOI417" s="22"/>
      <c r="EOJ417" s="22"/>
      <c r="EOK417" s="22"/>
      <c r="EOL417" s="22"/>
      <c r="EOM417" s="22"/>
      <c r="EON417" s="22"/>
      <c r="EOO417" s="22"/>
      <c r="EOP417" s="22"/>
      <c r="EOQ417" s="22"/>
      <c r="EOR417" s="22"/>
      <c r="EOS417" s="22"/>
      <c r="EOT417" s="22"/>
      <c r="EOU417" s="22"/>
      <c r="EOV417" s="22"/>
      <c r="EOW417" s="22"/>
      <c r="EOX417" s="22"/>
      <c r="EOY417" s="22"/>
      <c r="EOZ417" s="22"/>
      <c r="EPA417" s="22"/>
      <c r="EPB417" s="22"/>
      <c r="EPC417" s="22"/>
      <c r="EPD417" s="22"/>
      <c r="EPE417" s="22"/>
      <c r="EPF417" s="22"/>
      <c r="EPG417" s="22"/>
      <c r="EPH417" s="22"/>
      <c r="EPI417" s="22"/>
      <c r="EPJ417" s="22"/>
      <c r="EPK417" s="22"/>
      <c r="EPL417" s="22"/>
      <c r="EPM417" s="22"/>
      <c r="EPN417" s="22"/>
      <c r="EPO417" s="22"/>
      <c r="EPP417" s="22"/>
      <c r="EPQ417" s="22"/>
      <c r="EPR417" s="22"/>
      <c r="EPS417" s="22"/>
      <c r="EPT417" s="22"/>
      <c r="EPU417" s="22"/>
      <c r="EPV417" s="22"/>
      <c r="EPW417" s="22"/>
      <c r="EPX417" s="22"/>
      <c r="EPY417" s="22"/>
      <c r="EPZ417" s="22"/>
      <c r="EQA417" s="22"/>
      <c r="EQB417" s="22"/>
      <c r="EQC417" s="22"/>
      <c r="EQD417" s="22"/>
      <c r="EQE417" s="22"/>
      <c r="EQF417" s="22"/>
      <c r="EQG417" s="22"/>
      <c r="EQH417" s="22"/>
      <c r="EQI417" s="22"/>
      <c r="EQJ417" s="22"/>
      <c r="EQK417" s="22"/>
      <c r="EQL417" s="22"/>
      <c r="EQM417" s="22"/>
      <c r="EQN417" s="22"/>
      <c r="EQO417" s="22"/>
      <c r="EQP417" s="22"/>
      <c r="EQQ417" s="22"/>
      <c r="EQR417" s="22"/>
      <c r="EQS417" s="22"/>
      <c r="EQT417" s="22"/>
      <c r="EQU417" s="22"/>
      <c r="EQV417" s="22"/>
      <c r="EQW417" s="22"/>
      <c r="EQX417" s="22"/>
      <c r="EQY417" s="22"/>
      <c r="EQZ417" s="22"/>
      <c r="ERA417" s="22"/>
      <c r="ERB417" s="22"/>
      <c r="ERC417" s="22"/>
      <c r="ERD417" s="22"/>
      <c r="ERE417" s="22"/>
      <c r="ERF417" s="22"/>
      <c r="ERG417" s="22"/>
      <c r="ERH417" s="22"/>
      <c r="ERI417" s="22"/>
      <c r="ERJ417" s="22"/>
      <c r="ERK417" s="22"/>
      <c r="ERL417" s="22"/>
      <c r="ERM417" s="22"/>
      <c r="ERN417" s="22"/>
      <c r="ERO417" s="22"/>
      <c r="ERP417" s="22"/>
      <c r="ERQ417" s="22"/>
      <c r="ERR417" s="22"/>
      <c r="ERS417" s="22"/>
      <c r="ERT417" s="22"/>
      <c r="ERU417" s="22"/>
      <c r="ERV417" s="22"/>
      <c r="ERW417" s="22"/>
      <c r="ERX417" s="22"/>
      <c r="ERY417" s="22"/>
      <c r="ERZ417" s="22"/>
      <c r="ESA417" s="22"/>
      <c r="ESB417" s="22"/>
      <c r="ESC417" s="22"/>
      <c r="ESD417" s="22"/>
      <c r="ESE417" s="22"/>
      <c r="ESF417" s="22"/>
      <c r="ESG417" s="22"/>
      <c r="ESH417" s="22"/>
      <c r="ESI417" s="22"/>
      <c r="ESJ417" s="22"/>
      <c r="ESK417" s="22"/>
      <c r="ESL417" s="22"/>
      <c r="ESM417" s="22"/>
      <c r="ESN417" s="22"/>
      <c r="ESO417" s="22"/>
      <c r="ESP417" s="22"/>
      <c r="ESQ417" s="22"/>
      <c r="ESR417" s="22"/>
      <c r="ESS417" s="22"/>
      <c r="EST417" s="22"/>
      <c r="ESU417" s="22"/>
      <c r="ESV417" s="22"/>
      <c r="ESW417" s="22"/>
      <c r="ESX417" s="22"/>
      <c r="ESY417" s="22"/>
      <c r="ESZ417" s="22"/>
      <c r="ETA417" s="22"/>
      <c r="ETB417" s="22"/>
      <c r="ETC417" s="22"/>
      <c r="ETD417" s="22"/>
      <c r="ETE417" s="22"/>
      <c r="ETF417" s="22"/>
      <c r="ETG417" s="22"/>
      <c r="ETH417" s="22"/>
      <c r="ETI417" s="22"/>
      <c r="ETJ417" s="22"/>
      <c r="ETK417" s="22"/>
      <c r="ETL417" s="22"/>
      <c r="ETM417" s="22"/>
      <c r="ETN417" s="22"/>
      <c r="ETO417" s="22"/>
      <c r="ETP417" s="22"/>
      <c r="ETQ417" s="22"/>
      <c r="ETR417" s="22"/>
      <c r="ETS417" s="22"/>
      <c r="ETT417" s="22"/>
      <c r="ETU417" s="22"/>
      <c r="ETV417" s="22"/>
      <c r="ETW417" s="22"/>
      <c r="ETX417" s="22"/>
      <c r="ETY417" s="22"/>
      <c r="ETZ417" s="22"/>
      <c r="EUA417" s="22"/>
      <c r="EUB417" s="22"/>
      <c r="EUC417" s="22"/>
      <c r="EUD417" s="22"/>
      <c r="EUE417" s="22"/>
      <c r="EUF417" s="22"/>
      <c r="EUG417" s="22"/>
      <c r="EUH417" s="22"/>
      <c r="EUI417" s="22"/>
      <c r="EUJ417" s="22"/>
      <c r="EUK417" s="22"/>
      <c r="EUL417" s="22"/>
      <c r="EUM417" s="22"/>
      <c r="EUN417" s="22"/>
      <c r="EUO417" s="22"/>
      <c r="EUP417" s="22"/>
      <c r="EUQ417" s="22"/>
      <c r="EUR417" s="22"/>
      <c r="EUS417" s="22"/>
      <c r="EUT417" s="22"/>
      <c r="EUU417" s="22"/>
      <c r="EUV417" s="22"/>
      <c r="EUW417" s="22"/>
      <c r="EUX417" s="22"/>
      <c r="EUY417" s="22"/>
      <c r="EUZ417" s="22"/>
      <c r="EVA417" s="22"/>
      <c r="EVB417" s="22"/>
      <c r="EVC417" s="22"/>
      <c r="EVD417" s="22"/>
      <c r="EVE417" s="22"/>
      <c r="EVF417" s="22"/>
      <c r="EVG417" s="22"/>
      <c r="EVH417" s="22"/>
      <c r="EVI417" s="22"/>
      <c r="EVJ417" s="22"/>
      <c r="EVK417" s="22"/>
      <c r="EVL417" s="22"/>
      <c r="EVM417" s="22"/>
      <c r="EVN417" s="22"/>
      <c r="EVO417" s="22"/>
      <c r="EVP417" s="22"/>
      <c r="EVQ417" s="22"/>
      <c r="EVR417" s="22"/>
      <c r="EVS417" s="22"/>
      <c r="EVT417" s="22"/>
      <c r="EVU417" s="22"/>
      <c r="EVV417" s="22"/>
      <c r="EVW417" s="22"/>
      <c r="EVX417" s="22"/>
      <c r="EVY417" s="22"/>
      <c r="EVZ417" s="22"/>
      <c r="EWA417" s="22"/>
      <c r="EWB417" s="22"/>
      <c r="EWC417" s="22"/>
      <c r="EWD417" s="22"/>
      <c r="EWE417" s="22"/>
      <c r="EWF417" s="22"/>
      <c r="EWG417" s="22"/>
      <c r="EWH417" s="22"/>
      <c r="EWI417" s="22"/>
      <c r="EWJ417" s="22"/>
      <c r="EWK417" s="22"/>
      <c r="EWL417" s="22"/>
      <c r="EWM417" s="22"/>
      <c r="EWN417" s="22"/>
      <c r="EWO417" s="22"/>
      <c r="EWP417" s="22"/>
      <c r="EWQ417" s="22"/>
      <c r="EWR417" s="22"/>
      <c r="EWS417" s="22"/>
      <c r="EWT417" s="22"/>
      <c r="EWU417" s="22"/>
      <c r="EWV417" s="22"/>
      <c r="EWW417" s="22"/>
      <c r="EWX417" s="22"/>
      <c r="EWY417" s="22"/>
      <c r="EWZ417" s="22"/>
      <c r="EXA417" s="22"/>
      <c r="EXB417" s="22"/>
      <c r="EXC417" s="22"/>
      <c r="EXD417" s="22"/>
      <c r="EXE417" s="22"/>
      <c r="EXF417" s="22"/>
      <c r="EXG417" s="22"/>
      <c r="EXH417" s="22"/>
      <c r="EXI417" s="22"/>
      <c r="EXJ417" s="22"/>
      <c r="EXK417" s="22"/>
      <c r="EXL417" s="22"/>
      <c r="EXM417" s="22"/>
      <c r="EXN417" s="22"/>
      <c r="EXO417" s="22"/>
      <c r="EXP417" s="22"/>
      <c r="EXQ417" s="22"/>
      <c r="EXR417" s="22"/>
      <c r="EXS417" s="22"/>
      <c r="EXT417" s="22"/>
      <c r="EXU417" s="22"/>
      <c r="EXV417" s="22"/>
      <c r="EXW417" s="22"/>
      <c r="EXX417" s="22"/>
      <c r="EXY417" s="22"/>
      <c r="EXZ417" s="22"/>
      <c r="EYA417" s="22"/>
      <c r="EYB417" s="22"/>
      <c r="EYC417" s="22"/>
      <c r="EYD417" s="22"/>
      <c r="EYE417" s="22"/>
      <c r="EYF417" s="22"/>
      <c r="EYG417" s="22"/>
      <c r="EYH417" s="22"/>
      <c r="EYI417" s="22"/>
      <c r="EYJ417" s="22"/>
      <c r="EYK417" s="22"/>
      <c r="EYL417" s="22"/>
      <c r="EYM417" s="22"/>
      <c r="EYN417" s="22"/>
      <c r="EYO417" s="22"/>
      <c r="EYP417" s="22"/>
      <c r="EYQ417" s="22"/>
      <c r="EYR417" s="22"/>
      <c r="EYS417" s="22"/>
      <c r="EYT417" s="22"/>
      <c r="EYU417" s="22"/>
      <c r="EYV417" s="22"/>
      <c r="EYW417" s="22"/>
      <c r="EYX417" s="22"/>
      <c r="EYY417" s="22"/>
      <c r="EYZ417" s="22"/>
      <c r="EZA417" s="22"/>
      <c r="EZB417" s="22"/>
      <c r="EZC417" s="22"/>
      <c r="EZD417" s="22"/>
      <c r="EZE417" s="22"/>
      <c r="EZF417" s="22"/>
      <c r="EZG417" s="22"/>
      <c r="EZH417" s="22"/>
      <c r="EZI417" s="22"/>
      <c r="EZJ417" s="22"/>
      <c r="EZK417" s="22"/>
      <c r="EZL417" s="22"/>
      <c r="EZM417" s="22"/>
      <c r="EZN417" s="22"/>
      <c r="EZO417" s="22"/>
      <c r="EZP417" s="22"/>
      <c r="EZQ417" s="22"/>
      <c r="EZR417" s="22"/>
      <c r="EZS417" s="22"/>
      <c r="EZT417" s="22"/>
      <c r="EZU417" s="22"/>
      <c r="EZV417" s="22"/>
      <c r="EZW417" s="22"/>
      <c r="EZX417" s="22"/>
      <c r="EZY417" s="22"/>
      <c r="EZZ417" s="22"/>
      <c r="FAA417" s="22"/>
      <c r="FAB417" s="22"/>
      <c r="FAC417" s="22"/>
      <c r="FAD417" s="22"/>
      <c r="FAE417" s="22"/>
      <c r="FAF417" s="22"/>
      <c r="FAG417" s="22"/>
      <c r="FAH417" s="22"/>
      <c r="FAI417" s="22"/>
      <c r="FAJ417" s="22"/>
      <c r="FAK417" s="22"/>
      <c r="FAL417" s="22"/>
      <c r="FAM417" s="22"/>
      <c r="FAN417" s="22"/>
      <c r="FAO417" s="22"/>
      <c r="FAP417" s="22"/>
      <c r="FAQ417" s="22"/>
      <c r="FAR417" s="22"/>
      <c r="FAS417" s="22"/>
      <c r="FAT417" s="22"/>
      <c r="FAU417" s="22"/>
      <c r="FAV417" s="22"/>
      <c r="FAW417" s="22"/>
      <c r="FAX417" s="22"/>
      <c r="FAY417" s="22"/>
      <c r="FAZ417" s="22"/>
      <c r="FBA417" s="22"/>
      <c r="FBB417" s="22"/>
      <c r="FBC417" s="22"/>
      <c r="FBD417" s="22"/>
      <c r="FBE417" s="22"/>
      <c r="FBF417" s="22"/>
      <c r="FBG417" s="22"/>
      <c r="FBH417" s="22"/>
      <c r="FBI417" s="22"/>
      <c r="FBJ417" s="22"/>
      <c r="FBK417" s="22"/>
      <c r="FBL417" s="22"/>
      <c r="FBM417" s="22"/>
      <c r="FBN417" s="22"/>
      <c r="FBO417" s="22"/>
      <c r="FBP417" s="22"/>
      <c r="FBQ417" s="22"/>
      <c r="FBR417" s="22"/>
      <c r="FBS417" s="22"/>
      <c r="FBT417" s="22"/>
      <c r="FBU417" s="22"/>
      <c r="FBV417" s="22"/>
      <c r="FBW417" s="22"/>
      <c r="FBX417" s="22"/>
      <c r="FBY417" s="22"/>
      <c r="FBZ417" s="22"/>
      <c r="FCA417" s="22"/>
      <c r="FCB417" s="22"/>
      <c r="FCC417" s="22"/>
      <c r="FCD417" s="22"/>
      <c r="FCE417" s="22"/>
      <c r="FCF417" s="22"/>
      <c r="FCG417" s="22"/>
      <c r="FCH417" s="22"/>
      <c r="FCI417" s="22"/>
      <c r="FCJ417" s="22"/>
      <c r="FCK417" s="22"/>
      <c r="FCL417" s="22"/>
      <c r="FCM417" s="22"/>
      <c r="FCN417" s="22"/>
      <c r="FCO417" s="22"/>
      <c r="FCP417" s="22"/>
      <c r="FCQ417" s="22"/>
      <c r="FCR417" s="22"/>
      <c r="FCS417" s="22"/>
      <c r="FCT417" s="22"/>
      <c r="FCU417" s="22"/>
      <c r="FCV417" s="22"/>
      <c r="FCW417" s="22"/>
      <c r="FCX417" s="22"/>
      <c r="FCY417" s="22"/>
      <c r="FCZ417" s="22"/>
      <c r="FDA417" s="22"/>
      <c r="FDB417" s="22"/>
      <c r="FDC417" s="22"/>
      <c r="FDD417" s="22"/>
      <c r="FDE417" s="22"/>
      <c r="FDF417" s="22"/>
      <c r="FDG417" s="22"/>
      <c r="FDH417" s="22"/>
      <c r="FDI417" s="22"/>
      <c r="FDJ417" s="22"/>
      <c r="FDK417" s="22"/>
      <c r="FDL417" s="22"/>
      <c r="FDM417" s="22"/>
      <c r="FDN417" s="22"/>
      <c r="FDO417" s="22"/>
      <c r="FDP417" s="22"/>
      <c r="FDQ417" s="22"/>
      <c r="FDR417" s="22"/>
      <c r="FDS417" s="22"/>
      <c r="FDT417" s="22"/>
      <c r="FDU417" s="22"/>
      <c r="FDV417" s="22"/>
      <c r="FDW417" s="22"/>
      <c r="FDX417" s="22"/>
      <c r="FDY417" s="22"/>
      <c r="FDZ417" s="22"/>
      <c r="FEA417" s="22"/>
      <c r="FEB417" s="22"/>
      <c r="FEC417" s="22"/>
      <c r="FED417" s="22"/>
      <c r="FEE417" s="22"/>
      <c r="FEF417" s="22"/>
      <c r="FEG417" s="22"/>
      <c r="FEH417" s="22"/>
      <c r="FEI417" s="22"/>
      <c r="FEJ417" s="22"/>
      <c r="FEK417" s="22"/>
      <c r="FEL417" s="22"/>
      <c r="FEM417" s="22"/>
      <c r="FEN417" s="22"/>
      <c r="FEO417" s="22"/>
      <c r="FEP417" s="22"/>
      <c r="FEQ417" s="22"/>
      <c r="FER417" s="22"/>
      <c r="FES417" s="22"/>
      <c r="FET417" s="22"/>
      <c r="FEU417" s="22"/>
      <c r="FEV417" s="22"/>
      <c r="FEW417" s="22"/>
      <c r="FEX417" s="22"/>
      <c r="FEY417" s="22"/>
      <c r="FEZ417" s="22"/>
      <c r="FFA417" s="22"/>
      <c r="FFB417" s="22"/>
      <c r="FFC417" s="22"/>
      <c r="FFD417" s="22"/>
      <c r="FFE417" s="22"/>
      <c r="FFF417" s="22"/>
      <c r="FFG417" s="22"/>
      <c r="FFH417" s="22"/>
      <c r="FFI417" s="22"/>
      <c r="FFJ417" s="22"/>
      <c r="FFK417" s="22"/>
      <c r="FFL417" s="22"/>
      <c r="FFM417" s="22"/>
      <c r="FFN417" s="22"/>
      <c r="FFO417" s="22"/>
      <c r="FFP417" s="22"/>
      <c r="FFQ417" s="22"/>
      <c r="FFR417" s="22"/>
      <c r="FFS417" s="22"/>
      <c r="FFT417" s="22"/>
      <c r="FFU417" s="22"/>
      <c r="FFV417" s="22"/>
      <c r="FFW417" s="22"/>
      <c r="FFX417" s="22"/>
      <c r="FFY417" s="22"/>
      <c r="FFZ417" s="22"/>
      <c r="FGA417" s="22"/>
      <c r="FGB417" s="22"/>
      <c r="FGC417" s="22"/>
      <c r="FGD417" s="22"/>
      <c r="FGE417" s="22"/>
      <c r="FGF417" s="22"/>
      <c r="FGG417" s="22"/>
      <c r="FGH417" s="22"/>
      <c r="FGI417" s="22"/>
      <c r="FGJ417" s="22"/>
      <c r="FGK417" s="22"/>
      <c r="FGL417" s="22"/>
      <c r="FGM417" s="22"/>
      <c r="FGN417" s="22"/>
      <c r="FGO417" s="22"/>
      <c r="FGP417" s="22"/>
      <c r="FGQ417" s="22"/>
      <c r="FGR417" s="22"/>
      <c r="FGS417" s="22"/>
      <c r="FGT417" s="22"/>
      <c r="FGU417" s="22"/>
      <c r="FGV417" s="22"/>
      <c r="FGW417" s="22"/>
      <c r="FGX417" s="22"/>
      <c r="FGY417" s="22"/>
      <c r="FGZ417" s="22"/>
      <c r="FHA417" s="22"/>
      <c r="FHB417" s="22"/>
      <c r="FHC417" s="22"/>
      <c r="FHD417" s="22"/>
      <c r="FHE417" s="22"/>
      <c r="FHF417" s="22"/>
      <c r="FHG417" s="22"/>
      <c r="FHH417" s="22"/>
      <c r="FHI417" s="22"/>
      <c r="FHJ417" s="22"/>
      <c r="FHK417" s="22"/>
      <c r="FHL417" s="22"/>
      <c r="FHM417" s="22"/>
      <c r="FHN417" s="22"/>
      <c r="FHO417" s="22"/>
      <c r="FHP417" s="22"/>
      <c r="FHQ417" s="22"/>
      <c r="FHR417" s="22"/>
      <c r="FHS417" s="22"/>
      <c r="FHT417" s="22"/>
      <c r="FHU417" s="22"/>
      <c r="FHV417" s="22"/>
      <c r="FHW417" s="22"/>
      <c r="FHX417" s="22"/>
      <c r="FHY417" s="22"/>
      <c r="FHZ417" s="22"/>
      <c r="FIA417" s="22"/>
      <c r="FIB417" s="22"/>
      <c r="FIC417" s="22"/>
      <c r="FID417" s="22"/>
      <c r="FIE417" s="22"/>
      <c r="FIF417" s="22"/>
      <c r="FIG417" s="22"/>
      <c r="FIH417" s="22"/>
      <c r="FII417" s="22"/>
      <c r="FIJ417" s="22"/>
      <c r="FIK417" s="22"/>
      <c r="FIL417" s="22"/>
      <c r="FIM417" s="22"/>
      <c r="FIN417" s="22"/>
      <c r="FIO417" s="22"/>
      <c r="FIP417" s="22"/>
      <c r="FIQ417" s="22"/>
      <c r="FIR417" s="22"/>
      <c r="FIS417" s="22"/>
      <c r="FIT417" s="22"/>
      <c r="FIU417" s="22"/>
      <c r="FIV417" s="22"/>
      <c r="FIW417" s="22"/>
      <c r="FIX417" s="22"/>
      <c r="FIY417" s="22"/>
      <c r="FIZ417" s="22"/>
      <c r="FJA417" s="22"/>
      <c r="FJB417" s="22"/>
      <c r="FJC417" s="22"/>
      <c r="FJD417" s="22"/>
      <c r="FJE417" s="22"/>
      <c r="FJF417" s="22"/>
      <c r="FJG417" s="22"/>
      <c r="FJH417" s="22"/>
      <c r="FJI417" s="22"/>
      <c r="FJJ417" s="22"/>
      <c r="FJK417" s="22"/>
      <c r="FJL417" s="22"/>
      <c r="FJM417" s="22"/>
      <c r="FJN417" s="22"/>
      <c r="FJO417" s="22"/>
      <c r="FJP417" s="22"/>
      <c r="FJQ417" s="22"/>
      <c r="FJR417" s="22"/>
      <c r="FJS417" s="22"/>
      <c r="FJT417" s="22"/>
      <c r="FJU417" s="22"/>
      <c r="FJV417" s="22"/>
      <c r="FJW417" s="22"/>
      <c r="FJX417" s="22"/>
      <c r="FJY417" s="22"/>
      <c r="FJZ417" s="22"/>
      <c r="FKA417" s="22"/>
      <c r="FKB417" s="22"/>
      <c r="FKC417" s="22"/>
      <c r="FKD417" s="22"/>
      <c r="FKE417" s="22"/>
      <c r="FKF417" s="22"/>
      <c r="FKG417" s="22"/>
      <c r="FKH417" s="22"/>
      <c r="FKI417" s="22"/>
      <c r="FKJ417" s="22"/>
      <c r="FKK417" s="22"/>
      <c r="FKL417" s="22"/>
      <c r="FKM417" s="22"/>
      <c r="FKN417" s="22"/>
      <c r="FKO417" s="22"/>
      <c r="FKP417" s="22"/>
      <c r="FKQ417" s="22"/>
      <c r="FKR417" s="22"/>
      <c r="FKS417" s="22"/>
      <c r="FKT417" s="22"/>
      <c r="FKU417" s="22"/>
      <c r="FKV417" s="22"/>
      <c r="FKW417" s="22"/>
      <c r="FKX417" s="22"/>
      <c r="FKY417" s="22"/>
      <c r="FKZ417" s="22"/>
      <c r="FLA417" s="22"/>
      <c r="FLB417" s="22"/>
      <c r="FLC417" s="22"/>
      <c r="FLD417" s="22"/>
      <c r="FLE417" s="22"/>
      <c r="FLF417" s="22"/>
      <c r="FLG417" s="22"/>
      <c r="FLH417" s="22"/>
      <c r="FLI417" s="22"/>
      <c r="FLJ417" s="22"/>
      <c r="FLK417" s="22"/>
      <c r="FLL417" s="22"/>
      <c r="FLM417" s="22"/>
      <c r="FLN417" s="22"/>
      <c r="FLO417" s="22"/>
      <c r="FLP417" s="22"/>
      <c r="FLQ417" s="22"/>
      <c r="FLR417" s="22"/>
      <c r="FLS417" s="22"/>
      <c r="FLT417" s="22"/>
      <c r="FLU417" s="22"/>
      <c r="FLV417" s="22"/>
      <c r="FLW417" s="22"/>
      <c r="FLX417" s="22"/>
      <c r="FLY417" s="22"/>
      <c r="FLZ417" s="22"/>
      <c r="FMA417" s="22"/>
      <c r="FMB417" s="22"/>
      <c r="FMC417" s="22"/>
      <c r="FMD417" s="22"/>
      <c r="FME417" s="22"/>
      <c r="FMF417" s="22"/>
      <c r="FMG417" s="22"/>
      <c r="FMH417" s="22"/>
      <c r="FMI417" s="22"/>
      <c r="FMJ417" s="22"/>
      <c r="FMK417" s="22"/>
      <c r="FML417" s="22"/>
      <c r="FMM417" s="22"/>
      <c r="FMN417" s="22"/>
      <c r="FMO417" s="22"/>
      <c r="FMP417" s="22"/>
      <c r="FMQ417" s="22"/>
      <c r="FMR417" s="22"/>
      <c r="FMS417" s="22"/>
      <c r="FMT417" s="22"/>
      <c r="FMU417" s="22"/>
      <c r="FMV417" s="22"/>
      <c r="FMW417" s="22"/>
      <c r="FMX417" s="22"/>
      <c r="FMY417" s="22"/>
      <c r="FMZ417" s="22"/>
      <c r="FNA417" s="22"/>
      <c r="FNB417" s="22"/>
      <c r="FNC417" s="22"/>
      <c r="FND417" s="22"/>
      <c r="FNE417" s="22"/>
      <c r="FNF417" s="22"/>
      <c r="FNG417" s="22"/>
      <c r="FNH417" s="22"/>
      <c r="FNI417" s="22"/>
      <c r="FNJ417" s="22"/>
      <c r="FNK417" s="22"/>
      <c r="FNL417" s="22"/>
      <c r="FNM417" s="22"/>
      <c r="FNN417" s="22"/>
      <c r="FNO417" s="22"/>
      <c r="FNP417" s="22"/>
      <c r="FNQ417" s="22"/>
      <c r="FNR417" s="22"/>
      <c r="FNS417" s="22"/>
      <c r="FNT417" s="22"/>
      <c r="FNU417" s="22"/>
      <c r="FNV417" s="22"/>
      <c r="FNW417" s="22"/>
      <c r="FNX417" s="22"/>
      <c r="FNY417" s="22"/>
      <c r="FNZ417" s="22"/>
      <c r="FOA417" s="22"/>
      <c r="FOB417" s="22"/>
      <c r="FOC417" s="22"/>
      <c r="FOD417" s="22"/>
      <c r="FOE417" s="22"/>
      <c r="FOF417" s="22"/>
      <c r="FOG417" s="22"/>
      <c r="FOH417" s="22"/>
      <c r="FOI417" s="22"/>
      <c r="FOJ417" s="22"/>
      <c r="FOK417" s="22"/>
      <c r="FOL417" s="22"/>
      <c r="FOM417" s="22"/>
      <c r="FON417" s="22"/>
      <c r="FOO417" s="22"/>
      <c r="FOP417" s="22"/>
      <c r="FOQ417" s="22"/>
      <c r="FOR417" s="22"/>
      <c r="FOS417" s="22"/>
      <c r="FOT417" s="22"/>
      <c r="FOU417" s="22"/>
      <c r="FOV417" s="22"/>
      <c r="FOW417" s="22"/>
      <c r="FOX417" s="22"/>
      <c r="FOY417" s="22"/>
      <c r="FOZ417" s="22"/>
      <c r="FPA417" s="22"/>
      <c r="FPB417" s="22"/>
      <c r="FPC417" s="22"/>
      <c r="FPD417" s="22"/>
      <c r="FPE417" s="22"/>
      <c r="FPF417" s="22"/>
      <c r="FPG417" s="22"/>
      <c r="FPH417" s="22"/>
      <c r="FPI417" s="22"/>
      <c r="FPJ417" s="22"/>
      <c r="FPK417" s="22"/>
      <c r="FPL417" s="22"/>
      <c r="FPM417" s="22"/>
      <c r="FPN417" s="22"/>
      <c r="FPO417" s="22"/>
      <c r="FPP417" s="22"/>
      <c r="FPQ417" s="22"/>
      <c r="FPR417" s="22"/>
      <c r="FPS417" s="22"/>
      <c r="FPT417" s="22"/>
      <c r="FPU417" s="22"/>
      <c r="FPV417" s="22"/>
      <c r="FPW417" s="22"/>
      <c r="FPX417" s="22"/>
      <c r="FPY417" s="22"/>
      <c r="FPZ417" s="22"/>
      <c r="FQA417" s="22"/>
      <c r="FQB417" s="22"/>
      <c r="FQC417" s="22"/>
      <c r="FQD417" s="22"/>
      <c r="FQE417" s="22"/>
      <c r="FQF417" s="22"/>
      <c r="FQG417" s="22"/>
      <c r="FQH417" s="22"/>
      <c r="FQI417" s="22"/>
      <c r="FQJ417" s="22"/>
      <c r="FQK417" s="22"/>
      <c r="FQL417" s="22"/>
      <c r="FQM417" s="22"/>
      <c r="FQN417" s="22"/>
      <c r="FQO417" s="22"/>
      <c r="FQP417" s="22"/>
      <c r="FQQ417" s="22"/>
      <c r="FQR417" s="22"/>
      <c r="FQS417" s="22"/>
      <c r="FQT417" s="22"/>
      <c r="FQU417" s="22"/>
      <c r="FQV417" s="22"/>
      <c r="FQW417" s="22"/>
      <c r="FQX417" s="22"/>
      <c r="FQY417" s="22"/>
      <c r="FQZ417" s="22"/>
      <c r="FRA417" s="22"/>
      <c r="FRB417" s="22"/>
      <c r="FRC417" s="22"/>
      <c r="FRD417" s="22"/>
      <c r="FRE417" s="22"/>
      <c r="FRF417" s="22"/>
      <c r="FRG417" s="22"/>
      <c r="FRH417" s="22"/>
      <c r="FRI417" s="22"/>
      <c r="FRJ417" s="22"/>
      <c r="FRK417" s="22"/>
      <c r="FRL417" s="22"/>
      <c r="FRM417" s="22"/>
      <c r="FRN417" s="22"/>
      <c r="FRO417" s="22"/>
      <c r="FRP417" s="22"/>
      <c r="FRQ417" s="22"/>
      <c r="FRR417" s="22"/>
      <c r="FRS417" s="22"/>
      <c r="FRT417" s="22"/>
      <c r="FRU417" s="22"/>
      <c r="FRV417" s="22"/>
      <c r="FRW417" s="22"/>
      <c r="FRX417" s="22"/>
      <c r="FRY417" s="22"/>
      <c r="FRZ417" s="22"/>
      <c r="FSA417" s="22"/>
      <c r="FSB417" s="22"/>
      <c r="FSC417" s="22"/>
      <c r="FSD417" s="22"/>
      <c r="FSE417" s="22"/>
      <c r="FSF417" s="22"/>
      <c r="FSG417" s="22"/>
      <c r="FSH417" s="22"/>
      <c r="FSI417" s="22"/>
      <c r="FSJ417" s="22"/>
      <c r="FSK417" s="22"/>
      <c r="FSL417" s="22"/>
      <c r="FSM417" s="22"/>
      <c r="FSN417" s="22"/>
      <c r="FSO417" s="22"/>
      <c r="FSP417" s="22"/>
      <c r="FSQ417" s="22"/>
      <c r="FSR417" s="22"/>
      <c r="FSS417" s="22"/>
      <c r="FST417" s="22"/>
      <c r="FSU417" s="22"/>
      <c r="FSV417" s="22"/>
      <c r="FSW417" s="22"/>
      <c r="FSX417" s="22"/>
      <c r="FSY417" s="22"/>
      <c r="FSZ417" s="22"/>
      <c r="FTA417" s="22"/>
      <c r="FTB417" s="22"/>
      <c r="FTC417" s="22"/>
      <c r="FTD417" s="22"/>
      <c r="FTE417" s="22"/>
      <c r="FTF417" s="22"/>
      <c r="FTG417" s="22"/>
      <c r="FTH417" s="22"/>
      <c r="FTI417" s="22"/>
      <c r="FTJ417" s="22"/>
      <c r="FTK417" s="22"/>
      <c r="FTL417" s="22"/>
      <c r="FTM417" s="22"/>
      <c r="FTN417" s="22"/>
      <c r="FTO417" s="22"/>
      <c r="FTP417" s="22"/>
      <c r="FTQ417" s="22"/>
      <c r="FTR417" s="22"/>
      <c r="FTS417" s="22"/>
      <c r="FTT417" s="22"/>
      <c r="FTU417" s="22"/>
      <c r="FTV417" s="22"/>
      <c r="FTW417" s="22"/>
      <c r="FTX417" s="22"/>
      <c r="FTY417" s="22"/>
      <c r="FTZ417" s="22"/>
      <c r="FUA417" s="22"/>
      <c r="FUB417" s="22"/>
      <c r="FUC417" s="22"/>
      <c r="FUD417" s="22"/>
      <c r="FUE417" s="22"/>
      <c r="FUF417" s="22"/>
      <c r="FUG417" s="22"/>
      <c r="FUH417" s="22"/>
      <c r="FUI417" s="22"/>
      <c r="FUJ417" s="22"/>
      <c r="FUK417" s="22"/>
      <c r="FUL417" s="22"/>
      <c r="FUM417" s="22"/>
      <c r="FUN417" s="22"/>
      <c r="FUO417" s="22"/>
      <c r="FUP417" s="22"/>
      <c r="FUQ417" s="22"/>
      <c r="FUR417" s="22"/>
      <c r="FUS417" s="22"/>
      <c r="FUT417" s="22"/>
      <c r="FUU417" s="22"/>
      <c r="FUV417" s="22"/>
      <c r="FUW417" s="22"/>
      <c r="FUX417" s="22"/>
      <c r="FUY417" s="22"/>
      <c r="FUZ417" s="22"/>
      <c r="FVA417" s="22"/>
      <c r="FVB417" s="22"/>
      <c r="FVC417" s="22"/>
      <c r="FVD417" s="22"/>
      <c r="FVE417" s="22"/>
      <c r="FVF417" s="22"/>
      <c r="FVG417" s="22"/>
      <c r="FVH417" s="22"/>
      <c r="FVI417" s="22"/>
      <c r="FVJ417" s="22"/>
      <c r="FVK417" s="22"/>
      <c r="FVL417" s="22"/>
      <c r="FVM417" s="22"/>
      <c r="FVN417" s="22"/>
      <c r="FVO417" s="22"/>
      <c r="FVP417" s="22"/>
      <c r="FVQ417" s="22"/>
      <c r="FVR417" s="22"/>
      <c r="FVS417" s="22"/>
      <c r="FVT417" s="22"/>
      <c r="FVU417" s="22"/>
      <c r="FVV417" s="22"/>
      <c r="FVW417" s="22"/>
      <c r="FVX417" s="22"/>
      <c r="FVY417" s="22"/>
      <c r="FVZ417" s="22"/>
      <c r="FWA417" s="22"/>
      <c r="FWB417" s="22"/>
      <c r="FWC417" s="22"/>
      <c r="FWD417" s="22"/>
      <c r="FWE417" s="22"/>
      <c r="FWF417" s="22"/>
      <c r="FWG417" s="22"/>
      <c r="FWH417" s="22"/>
      <c r="FWI417" s="22"/>
      <c r="FWJ417" s="22"/>
      <c r="FWK417" s="22"/>
      <c r="FWL417" s="22"/>
      <c r="FWM417" s="22"/>
      <c r="FWN417" s="22"/>
      <c r="FWO417" s="22"/>
      <c r="FWP417" s="22"/>
      <c r="FWQ417" s="22"/>
      <c r="FWR417" s="22"/>
      <c r="FWS417" s="22"/>
      <c r="FWT417" s="22"/>
      <c r="FWU417" s="22"/>
      <c r="FWV417" s="22"/>
      <c r="FWW417" s="22"/>
      <c r="FWX417" s="22"/>
      <c r="FWY417" s="22"/>
      <c r="FWZ417" s="22"/>
      <c r="FXA417" s="22"/>
      <c r="FXB417" s="22"/>
      <c r="FXC417" s="22"/>
      <c r="FXD417" s="22"/>
      <c r="FXE417" s="22"/>
      <c r="FXF417" s="22"/>
      <c r="FXG417" s="22"/>
      <c r="FXH417" s="22"/>
      <c r="FXI417" s="22"/>
      <c r="FXJ417" s="22"/>
      <c r="FXK417" s="22"/>
      <c r="FXL417" s="22"/>
      <c r="FXM417" s="22"/>
      <c r="FXN417" s="22"/>
      <c r="FXO417" s="22"/>
      <c r="FXP417" s="22"/>
      <c r="FXQ417" s="22"/>
      <c r="FXR417" s="22"/>
      <c r="FXS417" s="22"/>
      <c r="FXT417" s="22"/>
      <c r="FXU417" s="22"/>
      <c r="FXV417" s="22"/>
      <c r="FXW417" s="22"/>
      <c r="FXX417" s="22"/>
      <c r="FXY417" s="22"/>
      <c r="FXZ417" s="22"/>
      <c r="FYA417" s="22"/>
      <c r="FYB417" s="22"/>
      <c r="FYC417" s="22"/>
      <c r="FYD417" s="22"/>
      <c r="FYE417" s="22"/>
      <c r="FYF417" s="22"/>
      <c r="FYG417" s="22"/>
      <c r="FYH417" s="22"/>
      <c r="FYI417" s="22"/>
      <c r="FYJ417" s="22"/>
      <c r="FYK417" s="22"/>
      <c r="FYL417" s="22"/>
      <c r="FYM417" s="22"/>
      <c r="FYN417" s="22"/>
      <c r="FYO417" s="22"/>
      <c r="FYP417" s="22"/>
      <c r="FYQ417" s="22"/>
      <c r="FYR417" s="22"/>
      <c r="FYS417" s="22"/>
      <c r="FYT417" s="22"/>
      <c r="FYU417" s="22"/>
      <c r="FYV417" s="22"/>
      <c r="FYW417" s="22"/>
      <c r="FYX417" s="22"/>
      <c r="FYY417" s="22"/>
      <c r="FYZ417" s="22"/>
      <c r="FZA417" s="22"/>
      <c r="FZB417" s="22"/>
      <c r="FZC417" s="22"/>
      <c r="FZD417" s="22"/>
      <c r="FZE417" s="22"/>
      <c r="FZF417" s="22"/>
      <c r="FZG417" s="22"/>
      <c r="FZH417" s="22"/>
      <c r="FZI417" s="22"/>
      <c r="FZJ417" s="22"/>
      <c r="FZK417" s="22"/>
      <c r="FZL417" s="22"/>
      <c r="FZM417" s="22"/>
      <c r="FZN417" s="22"/>
      <c r="FZO417" s="22"/>
      <c r="FZP417" s="22"/>
      <c r="FZQ417" s="22"/>
      <c r="FZR417" s="22"/>
      <c r="FZS417" s="22"/>
      <c r="FZT417" s="22"/>
      <c r="FZU417" s="22"/>
      <c r="FZV417" s="22"/>
      <c r="FZW417" s="22"/>
      <c r="FZX417" s="22"/>
      <c r="FZY417" s="22"/>
      <c r="FZZ417" s="22"/>
      <c r="GAA417" s="22"/>
      <c r="GAB417" s="22"/>
      <c r="GAC417" s="22"/>
      <c r="GAD417" s="22"/>
      <c r="GAE417" s="22"/>
      <c r="GAF417" s="22"/>
      <c r="GAG417" s="22"/>
      <c r="GAH417" s="22"/>
      <c r="GAI417" s="22"/>
      <c r="GAJ417" s="22"/>
      <c r="GAK417" s="22"/>
      <c r="GAL417" s="22"/>
      <c r="GAM417" s="22"/>
      <c r="GAN417" s="22"/>
      <c r="GAO417" s="22"/>
      <c r="GAP417" s="22"/>
      <c r="GAQ417" s="22"/>
      <c r="GAR417" s="22"/>
      <c r="GAS417" s="22"/>
      <c r="GAT417" s="22"/>
      <c r="GAU417" s="22"/>
      <c r="GAV417" s="22"/>
      <c r="GAW417" s="22"/>
      <c r="GAX417" s="22"/>
      <c r="GAY417" s="22"/>
      <c r="GAZ417" s="22"/>
      <c r="GBA417" s="22"/>
      <c r="GBB417" s="22"/>
      <c r="GBC417" s="22"/>
      <c r="GBD417" s="22"/>
      <c r="GBE417" s="22"/>
      <c r="GBF417" s="22"/>
      <c r="GBG417" s="22"/>
      <c r="GBH417" s="22"/>
      <c r="GBI417" s="22"/>
      <c r="GBJ417" s="22"/>
      <c r="GBK417" s="22"/>
      <c r="GBL417" s="22"/>
      <c r="GBM417" s="22"/>
      <c r="GBN417" s="22"/>
      <c r="GBO417" s="22"/>
      <c r="GBP417" s="22"/>
      <c r="GBQ417" s="22"/>
      <c r="GBR417" s="22"/>
      <c r="GBS417" s="22"/>
      <c r="GBT417" s="22"/>
      <c r="GBU417" s="22"/>
      <c r="GBV417" s="22"/>
      <c r="GBW417" s="22"/>
      <c r="GBX417" s="22"/>
      <c r="GBY417" s="22"/>
      <c r="GBZ417" s="22"/>
      <c r="GCA417" s="22"/>
      <c r="GCB417" s="22"/>
      <c r="GCC417" s="22"/>
      <c r="GCD417" s="22"/>
      <c r="GCE417" s="22"/>
      <c r="GCF417" s="22"/>
      <c r="GCG417" s="22"/>
      <c r="GCH417" s="22"/>
      <c r="GCI417" s="22"/>
      <c r="GCJ417" s="22"/>
      <c r="GCK417" s="22"/>
      <c r="GCL417" s="22"/>
      <c r="GCM417" s="22"/>
      <c r="GCN417" s="22"/>
      <c r="GCO417" s="22"/>
      <c r="GCP417" s="22"/>
      <c r="GCQ417" s="22"/>
      <c r="GCR417" s="22"/>
      <c r="GCS417" s="22"/>
      <c r="GCT417" s="22"/>
      <c r="GCU417" s="22"/>
      <c r="GCV417" s="22"/>
      <c r="GCW417" s="22"/>
      <c r="GCX417" s="22"/>
      <c r="GCY417" s="22"/>
      <c r="GCZ417" s="22"/>
      <c r="GDA417" s="22"/>
      <c r="GDB417" s="22"/>
      <c r="GDC417" s="22"/>
      <c r="GDD417" s="22"/>
      <c r="GDE417" s="22"/>
      <c r="GDF417" s="22"/>
      <c r="GDG417" s="22"/>
      <c r="GDH417" s="22"/>
      <c r="GDI417" s="22"/>
      <c r="GDJ417" s="22"/>
      <c r="GDK417" s="22"/>
      <c r="GDL417" s="22"/>
      <c r="GDM417" s="22"/>
      <c r="GDN417" s="22"/>
      <c r="GDO417" s="22"/>
      <c r="GDP417" s="22"/>
      <c r="GDQ417" s="22"/>
      <c r="GDR417" s="22"/>
      <c r="GDS417" s="22"/>
      <c r="GDT417" s="22"/>
      <c r="GDU417" s="22"/>
      <c r="GDV417" s="22"/>
      <c r="GDW417" s="22"/>
      <c r="GDX417" s="22"/>
      <c r="GDY417" s="22"/>
      <c r="GDZ417" s="22"/>
      <c r="GEA417" s="22"/>
      <c r="GEB417" s="22"/>
      <c r="GEC417" s="22"/>
      <c r="GED417" s="22"/>
      <c r="GEE417" s="22"/>
      <c r="GEF417" s="22"/>
      <c r="GEG417" s="22"/>
      <c r="GEH417" s="22"/>
      <c r="GEI417" s="22"/>
      <c r="GEJ417" s="22"/>
      <c r="GEK417" s="22"/>
      <c r="GEL417" s="22"/>
      <c r="GEM417" s="22"/>
      <c r="GEN417" s="22"/>
      <c r="GEO417" s="22"/>
      <c r="GEP417" s="22"/>
      <c r="GEQ417" s="22"/>
      <c r="GER417" s="22"/>
      <c r="GES417" s="22"/>
      <c r="GET417" s="22"/>
      <c r="GEU417" s="22"/>
      <c r="GEV417" s="22"/>
      <c r="GEW417" s="22"/>
      <c r="GEX417" s="22"/>
      <c r="GEY417" s="22"/>
      <c r="GEZ417" s="22"/>
      <c r="GFA417" s="22"/>
      <c r="GFB417" s="22"/>
      <c r="GFC417" s="22"/>
      <c r="GFD417" s="22"/>
      <c r="GFE417" s="22"/>
      <c r="GFF417" s="22"/>
      <c r="GFG417" s="22"/>
      <c r="GFH417" s="22"/>
      <c r="GFI417" s="22"/>
      <c r="GFJ417" s="22"/>
      <c r="GFK417" s="22"/>
      <c r="GFL417" s="22"/>
      <c r="GFM417" s="22"/>
      <c r="GFN417" s="22"/>
      <c r="GFO417" s="22"/>
      <c r="GFP417" s="22"/>
      <c r="GFQ417" s="22"/>
      <c r="GFR417" s="22"/>
      <c r="GFS417" s="22"/>
      <c r="GFT417" s="22"/>
      <c r="GFU417" s="22"/>
      <c r="GFV417" s="22"/>
      <c r="GFW417" s="22"/>
      <c r="GFX417" s="22"/>
      <c r="GFY417" s="22"/>
      <c r="GFZ417" s="22"/>
      <c r="GGA417" s="22"/>
      <c r="GGB417" s="22"/>
      <c r="GGC417" s="22"/>
      <c r="GGD417" s="22"/>
      <c r="GGE417" s="22"/>
      <c r="GGF417" s="22"/>
      <c r="GGG417" s="22"/>
      <c r="GGH417" s="22"/>
      <c r="GGI417" s="22"/>
      <c r="GGJ417" s="22"/>
      <c r="GGK417" s="22"/>
      <c r="GGL417" s="22"/>
      <c r="GGM417" s="22"/>
      <c r="GGN417" s="22"/>
      <c r="GGO417" s="22"/>
      <c r="GGP417" s="22"/>
      <c r="GGQ417" s="22"/>
      <c r="GGR417" s="22"/>
      <c r="GGS417" s="22"/>
      <c r="GGT417" s="22"/>
      <c r="GGU417" s="22"/>
      <c r="GGV417" s="22"/>
      <c r="GGW417" s="22"/>
      <c r="GGX417" s="22"/>
      <c r="GGY417" s="22"/>
      <c r="GGZ417" s="22"/>
      <c r="GHA417" s="22"/>
      <c r="GHB417" s="22"/>
      <c r="GHC417" s="22"/>
      <c r="GHD417" s="22"/>
      <c r="GHE417" s="22"/>
      <c r="GHF417" s="22"/>
      <c r="GHG417" s="22"/>
      <c r="GHH417" s="22"/>
      <c r="GHI417" s="22"/>
      <c r="GHJ417" s="22"/>
      <c r="GHK417" s="22"/>
      <c r="GHL417" s="22"/>
      <c r="GHM417" s="22"/>
      <c r="GHN417" s="22"/>
      <c r="GHO417" s="22"/>
      <c r="GHP417" s="22"/>
      <c r="GHQ417" s="22"/>
      <c r="GHR417" s="22"/>
      <c r="GHS417" s="22"/>
      <c r="GHT417" s="22"/>
      <c r="GHU417" s="22"/>
      <c r="GHV417" s="22"/>
      <c r="GHW417" s="22"/>
      <c r="GHX417" s="22"/>
      <c r="GHY417" s="22"/>
      <c r="GHZ417" s="22"/>
      <c r="GIA417" s="22"/>
      <c r="GIB417" s="22"/>
      <c r="GIC417" s="22"/>
      <c r="GID417" s="22"/>
      <c r="GIE417" s="22"/>
      <c r="GIF417" s="22"/>
      <c r="GIG417" s="22"/>
      <c r="GIH417" s="22"/>
      <c r="GII417" s="22"/>
      <c r="GIJ417" s="22"/>
      <c r="GIK417" s="22"/>
      <c r="GIL417" s="22"/>
      <c r="GIM417" s="22"/>
      <c r="GIN417" s="22"/>
      <c r="GIO417" s="22"/>
      <c r="GIP417" s="22"/>
      <c r="GIQ417" s="22"/>
      <c r="GIR417" s="22"/>
      <c r="GIS417" s="22"/>
      <c r="GIT417" s="22"/>
      <c r="GIU417" s="22"/>
      <c r="GIV417" s="22"/>
      <c r="GIW417" s="22"/>
      <c r="GIX417" s="22"/>
      <c r="GIY417" s="22"/>
      <c r="GIZ417" s="22"/>
      <c r="GJA417" s="22"/>
      <c r="GJB417" s="22"/>
      <c r="GJC417" s="22"/>
      <c r="GJD417" s="22"/>
      <c r="GJE417" s="22"/>
      <c r="GJF417" s="22"/>
      <c r="GJG417" s="22"/>
      <c r="GJH417" s="22"/>
      <c r="GJI417" s="22"/>
      <c r="GJJ417" s="22"/>
      <c r="GJK417" s="22"/>
      <c r="GJL417" s="22"/>
      <c r="GJM417" s="22"/>
      <c r="GJN417" s="22"/>
      <c r="GJO417" s="22"/>
      <c r="GJP417" s="22"/>
      <c r="GJQ417" s="22"/>
      <c r="GJR417" s="22"/>
      <c r="GJS417" s="22"/>
      <c r="GJT417" s="22"/>
      <c r="GJU417" s="22"/>
      <c r="GJV417" s="22"/>
      <c r="GJW417" s="22"/>
      <c r="GJX417" s="22"/>
      <c r="GJY417" s="22"/>
      <c r="GJZ417" s="22"/>
      <c r="GKA417" s="22"/>
      <c r="GKB417" s="22"/>
      <c r="GKC417" s="22"/>
      <c r="GKD417" s="22"/>
      <c r="GKE417" s="22"/>
      <c r="GKF417" s="22"/>
      <c r="GKG417" s="22"/>
      <c r="GKH417" s="22"/>
      <c r="GKI417" s="22"/>
      <c r="GKJ417" s="22"/>
      <c r="GKK417" s="22"/>
      <c r="GKL417" s="22"/>
      <c r="GKM417" s="22"/>
      <c r="GKN417" s="22"/>
      <c r="GKO417" s="22"/>
      <c r="GKP417" s="22"/>
      <c r="GKQ417" s="22"/>
      <c r="GKR417" s="22"/>
      <c r="GKS417" s="22"/>
      <c r="GKT417" s="22"/>
      <c r="GKU417" s="22"/>
      <c r="GKV417" s="22"/>
      <c r="GKW417" s="22"/>
      <c r="GKX417" s="22"/>
      <c r="GKY417" s="22"/>
      <c r="GKZ417" s="22"/>
      <c r="GLA417" s="22"/>
      <c r="GLB417" s="22"/>
      <c r="GLC417" s="22"/>
      <c r="GLD417" s="22"/>
      <c r="GLE417" s="22"/>
      <c r="GLF417" s="22"/>
      <c r="GLG417" s="22"/>
      <c r="GLH417" s="22"/>
      <c r="GLI417" s="22"/>
      <c r="GLJ417" s="22"/>
      <c r="GLK417" s="22"/>
      <c r="GLL417" s="22"/>
      <c r="GLM417" s="22"/>
      <c r="GLN417" s="22"/>
      <c r="GLO417" s="22"/>
      <c r="GLP417" s="22"/>
      <c r="GLQ417" s="22"/>
      <c r="GLR417" s="22"/>
      <c r="GLS417" s="22"/>
      <c r="GLT417" s="22"/>
      <c r="GLU417" s="22"/>
      <c r="GLV417" s="22"/>
      <c r="GLW417" s="22"/>
      <c r="GLX417" s="22"/>
      <c r="GLY417" s="22"/>
      <c r="GLZ417" s="22"/>
      <c r="GMA417" s="22"/>
      <c r="GMB417" s="22"/>
      <c r="GMC417" s="22"/>
      <c r="GMD417" s="22"/>
      <c r="GME417" s="22"/>
      <c r="GMF417" s="22"/>
      <c r="GMG417" s="22"/>
      <c r="GMH417" s="22"/>
      <c r="GMI417" s="22"/>
      <c r="GMJ417" s="22"/>
      <c r="GMK417" s="22"/>
      <c r="GML417" s="22"/>
      <c r="GMM417" s="22"/>
      <c r="GMN417" s="22"/>
      <c r="GMO417" s="22"/>
      <c r="GMP417" s="22"/>
      <c r="GMQ417" s="22"/>
      <c r="GMR417" s="22"/>
      <c r="GMS417" s="22"/>
      <c r="GMT417" s="22"/>
      <c r="GMU417" s="22"/>
      <c r="GMV417" s="22"/>
      <c r="GMW417" s="22"/>
      <c r="GMX417" s="22"/>
      <c r="GMY417" s="22"/>
      <c r="GMZ417" s="22"/>
      <c r="GNA417" s="22"/>
      <c r="GNB417" s="22"/>
      <c r="GNC417" s="22"/>
      <c r="GND417" s="22"/>
      <c r="GNE417" s="22"/>
      <c r="GNF417" s="22"/>
      <c r="GNG417" s="22"/>
      <c r="GNH417" s="22"/>
      <c r="GNI417" s="22"/>
      <c r="GNJ417" s="22"/>
      <c r="GNK417" s="22"/>
      <c r="GNL417" s="22"/>
      <c r="GNM417" s="22"/>
      <c r="GNN417" s="22"/>
      <c r="GNO417" s="22"/>
      <c r="GNP417" s="22"/>
      <c r="GNQ417" s="22"/>
      <c r="GNR417" s="22"/>
      <c r="GNS417" s="22"/>
      <c r="GNT417" s="22"/>
      <c r="GNU417" s="22"/>
      <c r="GNV417" s="22"/>
      <c r="GNW417" s="22"/>
      <c r="GNX417" s="22"/>
      <c r="GNY417" s="22"/>
      <c r="GNZ417" s="22"/>
      <c r="GOA417" s="22"/>
      <c r="GOB417" s="22"/>
      <c r="GOC417" s="22"/>
      <c r="GOD417" s="22"/>
      <c r="GOE417" s="22"/>
      <c r="GOF417" s="22"/>
      <c r="GOG417" s="22"/>
      <c r="GOH417" s="22"/>
      <c r="GOI417" s="22"/>
      <c r="GOJ417" s="22"/>
      <c r="GOK417" s="22"/>
      <c r="GOL417" s="22"/>
      <c r="GOM417" s="22"/>
      <c r="GON417" s="22"/>
      <c r="GOO417" s="22"/>
      <c r="GOP417" s="22"/>
      <c r="GOQ417" s="22"/>
      <c r="GOR417" s="22"/>
      <c r="GOS417" s="22"/>
      <c r="GOT417" s="22"/>
      <c r="GOU417" s="22"/>
      <c r="GOV417" s="22"/>
      <c r="GOW417" s="22"/>
      <c r="GOX417" s="22"/>
      <c r="GOY417" s="22"/>
      <c r="GOZ417" s="22"/>
      <c r="GPA417" s="22"/>
      <c r="GPB417" s="22"/>
      <c r="GPC417" s="22"/>
      <c r="GPD417" s="22"/>
      <c r="GPE417" s="22"/>
      <c r="GPF417" s="22"/>
      <c r="GPG417" s="22"/>
      <c r="GPH417" s="22"/>
      <c r="GPI417" s="22"/>
      <c r="GPJ417" s="22"/>
      <c r="GPK417" s="22"/>
      <c r="GPL417" s="22"/>
      <c r="GPM417" s="22"/>
      <c r="GPN417" s="22"/>
      <c r="GPO417" s="22"/>
      <c r="GPP417" s="22"/>
      <c r="GPQ417" s="22"/>
      <c r="GPR417" s="22"/>
      <c r="GPS417" s="22"/>
      <c r="GPT417" s="22"/>
      <c r="GPU417" s="22"/>
      <c r="GPV417" s="22"/>
      <c r="GPW417" s="22"/>
      <c r="GPX417" s="22"/>
      <c r="GPY417" s="22"/>
      <c r="GPZ417" s="22"/>
      <c r="GQA417" s="22"/>
      <c r="GQB417" s="22"/>
      <c r="GQC417" s="22"/>
      <c r="GQD417" s="22"/>
      <c r="GQE417" s="22"/>
      <c r="GQF417" s="22"/>
      <c r="GQG417" s="22"/>
      <c r="GQH417" s="22"/>
      <c r="GQI417" s="22"/>
      <c r="GQJ417" s="22"/>
      <c r="GQK417" s="22"/>
      <c r="GQL417" s="22"/>
      <c r="GQM417" s="22"/>
      <c r="GQN417" s="22"/>
      <c r="GQO417" s="22"/>
      <c r="GQP417" s="22"/>
      <c r="GQQ417" s="22"/>
      <c r="GQR417" s="22"/>
      <c r="GQS417" s="22"/>
      <c r="GQT417" s="22"/>
      <c r="GQU417" s="22"/>
      <c r="GQV417" s="22"/>
      <c r="GQW417" s="22"/>
      <c r="GQX417" s="22"/>
      <c r="GQY417" s="22"/>
      <c r="GQZ417" s="22"/>
      <c r="GRA417" s="22"/>
      <c r="GRB417" s="22"/>
      <c r="GRC417" s="22"/>
      <c r="GRD417" s="22"/>
      <c r="GRE417" s="22"/>
      <c r="GRF417" s="22"/>
      <c r="GRG417" s="22"/>
      <c r="GRH417" s="22"/>
      <c r="GRI417" s="22"/>
      <c r="GRJ417" s="22"/>
      <c r="GRK417" s="22"/>
      <c r="GRL417" s="22"/>
      <c r="GRM417" s="22"/>
      <c r="GRN417" s="22"/>
      <c r="GRO417" s="22"/>
      <c r="GRP417" s="22"/>
      <c r="GRQ417" s="22"/>
      <c r="GRR417" s="22"/>
      <c r="GRS417" s="22"/>
      <c r="GRT417" s="22"/>
      <c r="GRU417" s="22"/>
      <c r="GRV417" s="22"/>
      <c r="GRW417" s="22"/>
      <c r="GRX417" s="22"/>
      <c r="GRY417" s="22"/>
      <c r="GRZ417" s="22"/>
      <c r="GSA417" s="22"/>
      <c r="GSB417" s="22"/>
      <c r="GSC417" s="22"/>
      <c r="GSD417" s="22"/>
      <c r="GSE417" s="22"/>
      <c r="GSF417" s="22"/>
      <c r="GSG417" s="22"/>
      <c r="GSH417" s="22"/>
      <c r="GSI417" s="22"/>
      <c r="GSJ417" s="22"/>
      <c r="GSK417" s="22"/>
      <c r="GSL417" s="22"/>
      <c r="GSM417" s="22"/>
      <c r="GSN417" s="22"/>
      <c r="GSO417" s="22"/>
      <c r="GSP417" s="22"/>
      <c r="GSQ417" s="22"/>
      <c r="GSR417" s="22"/>
      <c r="GSS417" s="22"/>
      <c r="GST417" s="22"/>
      <c r="GSU417" s="22"/>
      <c r="GSV417" s="22"/>
      <c r="GSW417" s="22"/>
      <c r="GSX417" s="22"/>
      <c r="GSY417" s="22"/>
      <c r="GSZ417" s="22"/>
      <c r="GTA417" s="22"/>
      <c r="GTB417" s="22"/>
      <c r="GTC417" s="22"/>
      <c r="GTD417" s="22"/>
      <c r="GTE417" s="22"/>
      <c r="GTF417" s="22"/>
      <c r="GTG417" s="22"/>
      <c r="GTH417" s="22"/>
      <c r="GTI417" s="22"/>
      <c r="GTJ417" s="22"/>
      <c r="GTK417" s="22"/>
      <c r="GTL417" s="22"/>
      <c r="GTM417" s="22"/>
      <c r="GTN417" s="22"/>
      <c r="GTO417" s="22"/>
      <c r="GTP417" s="22"/>
      <c r="GTQ417" s="22"/>
      <c r="GTR417" s="22"/>
      <c r="GTS417" s="22"/>
      <c r="GTT417" s="22"/>
      <c r="GTU417" s="22"/>
      <c r="GTV417" s="22"/>
      <c r="GTW417" s="22"/>
      <c r="GTX417" s="22"/>
      <c r="GTY417" s="22"/>
      <c r="GTZ417" s="22"/>
      <c r="GUA417" s="22"/>
      <c r="GUB417" s="22"/>
      <c r="GUC417" s="22"/>
      <c r="GUD417" s="22"/>
      <c r="GUE417" s="22"/>
      <c r="GUF417" s="22"/>
      <c r="GUG417" s="22"/>
      <c r="GUH417" s="22"/>
      <c r="GUI417" s="22"/>
      <c r="GUJ417" s="22"/>
      <c r="GUK417" s="22"/>
      <c r="GUL417" s="22"/>
      <c r="GUM417" s="22"/>
      <c r="GUN417" s="22"/>
      <c r="GUO417" s="22"/>
      <c r="GUP417" s="22"/>
      <c r="GUQ417" s="22"/>
      <c r="GUR417" s="22"/>
      <c r="GUS417" s="22"/>
      <c r="GUT417" s="22"/>
      <c r="GUU417" s="22"/>
      <c r="GUV417" s="22"/>
      <c r="GUW417" s="22"/>
      <c r="GUX417" s="22"/>
      <c r="GUY417" s="22"/>
      <c r="GUZ417" s="22"/>
      <c r="GVA417" s="22"/>
      <c r="GVB417" s="22"/>
      <c r="GVC417" s="22"/>
      <c r="GVD417" s="22"/>
      <c r="GVE417" s="22"/>
      <c r="GVF417" s="22"/>
      <c r="GVG417" s="22"/>
      <c r="GVH417" s="22"/>
      <c r="GVI417" s="22"/>
      <c r="GVJ417" s="22"/>
      <c r="GVK417" s="22"/>
      <c r="GVL417" s="22"/>
      <c r="GVM417" s="22"/>
      <c r="GVN417" s="22"/>
      <c r="GVO417" s="22"/>
      <c r="GVP417" s="22"/>
      <c r="GVQ417" s="22"/>
      <c r="GVR417" s="22"/>
      <c r="GVS417" s="22"/>
      <c r="GVT417" s="22"/>
      <c r="GVU417" s="22"/>
      <c r="GVV417" s="22"/>
      <c r="GVW417" s="22"/>
      <c r="GVX417" s="22"/>
      <c r="GVY417" s="22"/>
      <c r="GVZ417" s="22"/>
      <c r="GWA417" s="22"/>
      <c r="GWB417" s="22"/>
      <c r="GWC417" s="22"/>
      <c r="GWD417" s="22"/>
      <c r="GWE417" s="22"/>
      <c r="GWF417" s="22"/>
      <c r="GWG417" s="22"/>
      <c r="GWH417" s="22"/>
      <c r="GWI417" s="22"/>
      <c r="GWJ417" s="22"/>
      <c r="GWK417" s="22"/>
      <c r="GWL417" s="22"/>
      <c r="GWM417" s="22"/>
      <c r="GWN417" s="22"/>
      <c r="GWO417" s="22"/>
      <c r="GWP417" s="22"/>
      <c r="GWQ417" s="22"/>
      <c r="GWR417" s="22"/>
      <c r="GWS417" s="22"/>
      <c r="GWT417" s="22"/>
      <c r="GWU417" s="22"/>
      <c r="GWV417" s="22"/>
      <c r="GWW417" s="22"/>
      <c r="GWX417" s="22"/>
      <c r="GWY417" s="22"/>
      <c r="GWZ417" s="22"/>
      <c r="GXA417" s="22"/>
      <c r="GXB417" s="22"/>
      <c r="GXC417" s="22"/>
      <c r="GXD417" s="22"/>
      <c r="GXE417" s="22"/>
      <c r="GXF417" s="22"/>
      <c r="GXG417" s="22"/>
      <c r="GXH417" s="22"/>
      <c r="GXI417" s="22"/>
      <c r="GXJ417" s="22"/>
      <c r="GXK417" s="22"/>
      <c r="GXL417" s="22"/>
      <c r="GXM417" s="22"/>
      <c r="GXN417" s="22"/>
      <c r="GXO417" s="22"/>
      <c r="GXP417" s="22"/>
      <c r="GXQ417" s="22"/>
      <c r="GXR417" s="22"/>
      <c r="GXS417" s="22"/>
      <c r="GXT417" s="22"/>
      <c r="GXU417" s="22"/>
      <c r="GXV417" s="22"/>
      <c r="GXW417" s="22"/>
      <c r="GXX417" s="22"/>
      <c r="GXY417" s="22"/>
      <c r="GXZ417" s="22"/>
      <c r="GYA417" s="22"/>
      <c r="GYB417" s="22"/>
      <c r="GYC417" s="22"/>
      <c r="GYD417" s="22"/>
      <c r="GYE417" s="22"/>
      <c r="GYF417" s="22"/>
      <c r="GYG417" s="22"/>
      <c r="GYH417" s="22"/>
      <c r="GYI417" s="22"/>
      <c r="GYJ417" s="22"/>
      <c r="GYK417" s="22"/>
      <c r="GYL417" s="22"/>
      <c r="GYM417" s="22"/>
      <c r="GYN417" s="22"/>
      <c r="GYO417" s="22"/>
      <c r="GYP417" s="22"/>
      <c r="GYQ417" s="22"/>
      <c r="GYR417" s="22"/>
      <c r="GYS417" s="22"/>
      <c r="GYT417" s="22"/>
      <c r="GYU417" s="22"/>
      <c r="GYV417" s="22"/>
      <c r="GYW417" s="22"/>
      <c r="GYX417" s="22"/>
      <c r="GYY417" s="22"/>
      <c r="GYZ417" s="22"/>
      <c r="GZA417" s="22"/>
      <c r="GZB417" s="22"/>
      <c r="GZC417" s="22"/>
      <c r="GZD417" s="22"/>
      <c r="GZE417" s="22"/>
      <c r="GZF417" s="22"/>
      <c r="GZG417" s="22"/>
      <c r="GZH417" s="22"/>
      <c r="GZI417" s="22"/>
      <c r="GZJ417" s="22"/>
      <c r="GZK417" s="22"/>
      <c r="GZL417" s="22"/>
      <c r="GZM417" s="22"/>
      <c r="GZN417" s="22"/>
      <c r="GZO417" s="22"/>
      <c r="GZP417" s="22"/>
      <c r="GZQ417" s="22"/>
      <c r="GZR417" s="22"/>
      <c r="GZS417" s="22"/>
      <c r="GZT417" s="22"/>
      <c r="GZU417" s="22"/>
      <c r="GZV417" s="22"/>
      <c r="GZW417" s="22"/>
      <c r="GZX417" s="22"/>
      <c r="GZY417" s="22"/>
      <c r="GZZ417" s="22"/>
      <c r="HAA417" s="22"/>
      <c r="HAB417" s="22"/>
      <c r="HAC417" s="22"/>
      <c r="HAD417" s="22"/>
      <c r="HAE417" s="22"/>
      <c r="HAF417" s="22"/>
      <c r="HAG417" s="22"/>
      <c r="HAH417" s="22"/>
      <c r="HAI417" s="22"/>
      <c r="HAJ417" s="22"/>
      <c r="HAK417" s="22"/>
      <c r="HAL417" s="22"/>
      <c r="HAM417" s="22"/>
      <c r="HAN417" s="22"/>
      <c r="HAO417" s="22"/>
      <c r="HAP417" s="22"/>
      <c r="HAQ417" s="22"/>
      <c r="HAR417" s="22"/>
      <c r="HAS417" s="22"/>
      <c r="HAT417" s="22"/>
      <c r="HAU417" s="22"/>
      <c r="HAV417" s="22"/>
      <c r="HAW417" s="22"/>
      <c r="HAX417" s="22"/>
      <c r="HAY417" s="22"/>
      <c r="HAZ417" s="22"/>
      <c r="HBA417" s="22"/>
      <c r="HBB417" s="22"/>
      <c r="HBC417" s="22"/>
      <c r="HBD417" s="22"/>
      <c r="HBE417" s="22"/>
      <c r="HBF417" s="22"/>
      <c r="HBG417" s="22"/>
      <c r="HBH417" s="22"/>
      <c r="HBI417" s="22"/>
      <c r="HBJ417" s="22"/>
      <c r="HBK417" s="22"/>
      <c r="HBL417" s="22"/>
      <c r="HBM417" s="22"/>
      <c r="HBN417" s="22"/>
      <c r="HBO417" s="22"/>
      <c r="HBP417" s="22"/>
      <c r="HBQ417" s="22"/>
      <c r="HBR417" s="22"/>
      <c r="HBS417" s="22"/>
      <c r="HBT417" s="22"/>
      <c r="HBU417" s="22"/>
      <c r="HBV417" s="22"/>
      <c r="HBW417" s="22"/>
      <c r="HBX417" s="22"/>
      <c r="HBY417" s="22"/>
      <c r="HBZ417" s="22"/>
      <c r="HCA417" s="22"/>
      <c r="HCB417" s="22"/>
      <c r="HCC417" s="22"/>
      <c r="HCD417" s="22"/>
      <c r="HCE417" s="22"/>
      <c r="HCF417" s="22"/>
      <c r="HCG417" s="22"/>
      <c r="HCH417" s="22"/>
      <c r="HCI417" s="22"/>
      <c r="HCJ417" s="22"/>
      <c r="HCK417" s="22"/>
      <c r="HCL417" s="22"/>
      <c r="HCM417" s="22"/>
      <c r="HCN417" s="22"/>
      <c r="HCO417" s="22"/>
      <c r="HCP417" s="22"/>
      <c r="HCQ417" s="22"/>
      <c r="HCR417" s="22"/>
      <c r="HCS417" s="22"/>
      <c r="HCT417" s="22"/>
      <c r="HCU417" s="22"/>
      <c r="HCV417" s="22"/>
      <c r="HCW417" s="22"/>
      <c r="HCX417" s="22"/>
      <c r="HCY417" s="22"/>
      <c r="HCZ417" s="22"/>
      <c r="HDA417" s="22"/>
      <c r="HDB417" s="22"/>
      <c r="HDC417" s="22"/>
      <c r="HDD417" s="22"/>
      <c r="HDE417" s="22"/>
      <c r="HDF417" s="22"/>
      <c r="HDG417" s="22"/>
      <c r="HDH417" s="22"/>
      <c r="HDI417" s="22"/>
      <c r="HDJ417" s="22"/>
      <c r="HDK417" s="22"/>
      <c r="HDL417" s="22"/>
      <c r="HDM417" s="22"/>
      <c r="HDN417" s="22"/>
      <c r="HDO417" s="22"/>
      <c r="HDP417" s="22"/>
      <c r="HDQ417" s="22"/>
      <c r="HDR417" s="22"/>
      <c r="HDS417" s="22"/>
      <c r="HDT417" s="22"/>
      <c r="HDU417" s="22"/>
      <c r="HDV417" s="22"/>
      <c r="HDW417" s="22"/>
      <c r="HDX417" s="22"/>
      <c r="HDY417" s="22"/>
      <c r="HDZ417" s="22"/>
      <c r="HEA417" s="22"/>
      <c r="HEB417" s="22"/>
      <c r="HEC417" s="22"/>
      <c r="HED417" s="22"/>
      <c r="HEE417" s="22"/>
      <c r="HEF417" s="22"/>
      <c r="HEG417" s="22"/>
      <c r="HEH417" s="22"/>
      <c r="HEI417" s="22"/>
      <c r="HEJ417" s="22"/>
      <c r="HEK417" s="22"/>
      <c r="HEL417" s="22"/>
      <c r="HEM417" s="22"/>
      <c r="HEN417" s="22"/>
      <c r="HEO417" s="22"/>
      <c r="HEP417" s="22"/>
      <c r="HEQ417" s="22"/>
      <c r="HER417" s="22"/>
      <c r="HES417" s="22"/>
      <c r="HET417" s="22"/>
      <c r="HEU417" s="22"/>
      <c r="HEV417" s="22"/>
      <c r="HEW417" s="22"/>
      <c r="HEX417" s="22"/>
      <c r="HEY417" s="22"/>
      <c r="HEZ417" s="22"/>
      <c r="HFA417" s="22"/>
      <c r="HFB417" s="22"/>
      <c r="HFC417" s="22"/>
      <c r="HFD417" s="22"/>
      <c r="HFE417" s="22"/>
      <c r="HFF417" s="22"/>
      <c r="HFG417" s="22"/>
      <c r="HFH417" s="22"/>
      <c r="HFI417" s="22"/>
      <c r="HFJ417" s="22"/>
      <c r="HFK417" s="22"/>
      <c r="HFL417" s="22"/>
      <c r="HFM417" s="22"/>
      <c r="HFN417" s="22"/>
      <c r="HFO417" s="22"/>
      <c r="HFP417" s="22"/>
      <c r="HFQ417" s="22"/>
      <c r="HFR417" s="22"/>
      <c r="HFS417" s="22"/>
      <c r="HFT417" s="22"/>
      <c r="HFU417" s="22"/>
      <c r="HFV417" s="22"/>
      <c r="HFW417" s="22"/>
      <c r="HFX417" s="22"/>
      <c r="HFY417" s="22"/>
      <c r="HFZ417" s="22"/>
      <c r="HGA417" s="22"/>
      <c r="HGB417" s="22"/>
      <c r="HGC417" s="22"/>
      <c r="HGD417" s="22"/>
      <c r="HGE417" s="22"/>
      <c r="HGF417" s="22"/>
      <c r="HGG417" s="22"/>
      <c r="HGH417" s="22"/>
      <c r="HGI417" s="22"/>
      <c r="HGJ417" s="22"/>
      <c r="HGK417" s="22"/>
      <c r="HGL417" s="22"/>
      <c r="HGM417" s="22"/>
      <c r="HGN417" s="22"/>
      <c r="HGO417" s="22"/>
      <c r="HGP417" s="22"/>
      <c r="HGQ417" s="22"/>
      <c r="HGR417" s="22"/>
      <c r="HGS417" s="22"/>
      <c r="HGT417" s="22"/>
      <c r="HGU417" s="22"/>
      <c r="HGV417" s="22"/>
      <c r="HGW417" s="22"/>
      <c r="HGX417" s="22"/>
      <c r="HGY417" s="22"/>
      <c r="HGZ417" s="22"/>
      <c r="HHA417" s="22"/>
      <c r="HHB417" s="22"/>
      <c r="HHC417" s="22"/>
      <c r="HHD417" s="22"/>
      <c r="HHE417" s="22"/>
      <c r="HHF417" s="22"/>
      <c r="HHG417" s="22"/>
      <c r="HHH417" s="22"/>
      <c r="HHI417" s="22"/>
      <c r="HHJ417" s="22"/>
      <c r="HHK417" s="22"/>
      <c r="HHL417" s="22"/>
      <c r="HHM417" s="22"/>
      <c r="HHN417" s="22"/>
      <c r="HHO417" s="22"/>
      <c r="HHP417" s="22"/>
      <c r="HHQ417" s="22"/>
      <c r="HHR417" s="22"/>
      <c r="HHS417" s="22"/>
      <c r="HHT417" s="22"/>
      <c r="HHU417" s="22"/>
      <c r="HHV417" s="22"/>
      <c r="HHW417" s="22"/>
      <c r="HHX417" s="22"/>
      <c r="HHY417" s="22"/>
      <c r="HHZ417" s="22"/>
      <c r="HIA417" s="22"/>
      <c r="HIB417" s="22"/>
      <c r="HIC417" s="22"/>
      <c r="HID417" s="22"/>
      <c r="HIE417" s="22"/>
      <c r="HIF417" s="22"/>
      <c r="HIG417" s="22"/>
      <c r="HIH417" s="22"/>
      <c r="HII417" s="22"/>
      <c r="HIJ417" s="22"/>
      <c r="HIK417" s="22"/>
      <c r="HIL417" s="22"/>
      <c r="HIM417" s="22"/>
      <c r="HIN417" s="22"/>
      <c r="HIO417" s="22"/>
      <c r="HIP417" s="22"/>
      <c r="HIQ417" s="22"/>
      <c r="HIR417" s="22"/>
      <c r="HIS417" s="22"/>
      <c r="HIT417" s="22"/>
      <c r="HIU417" s="22"/>
      <c r="HIV417" s="22"/>
      <c r="HIW417" s="22"/>
      <c r="HIX417" s="22"/>
      <c r="HIY417" s="22"/>
      <c r="HIZ417" s="22"/>
      <c r="HJA417" s="22"/>
      <c r="HJB417" s="22"/>
      <c r="HJC417" s="22"/>
      <c r="HJD417" s="22"/>
      <c r="HJE417" s="22"/>
      <c r="HJF417" s="22"/>
      <c r="HJG417" s="22"/>
      <c r="HJH417" s="22"/>
      <c r="HJI417" s="22"/>
      <c r="HJJ417" s="22"/>
      <c r="HJK417" s="22"/>
      <c r="HJL417" s="22"/>
      <c r="HJM417" s="22"/>
      <c r="HJN417" s="22"/>
      <c r="HJO417" s="22"/>
      <c r="HJP417" s="22"/>
      <c r="HJQ417" s="22"/>
      <c r="HJR417" s="22"/>
      <c r="HJS417" s="22"/>
      <c r="HJT417" s="22"/>
      <c r="HJU417" s="22"/>
      <c r="HJV417" s="22"/>
      <c r="HJW417" s="22"/>
      <c r="HJX417" s="22"/>
      <c r="HJY417" s="22"/>
      <c r="HJZ417" s="22"/>
      <c r="HKA417" s="22"/>
      <c r="HKB417" s="22"/>
      <c r="HKC417" s="22"/>
      <c r="HKD417" s="22"/>
      <c r="HKE417" s="22"/>
      <c r="HKF417" s="22"/>
      <c r="HKG417" s="22"/>
      <c r="HKH417" s="22"/>
      <c r="HKI417" s="22"/>
      <c r="HKJ417" s="22"/>
      <c r="HKK417" s="22"/>
      <c r="HKL417" s="22"/>
      <c r="HKM417" s="22"/>
      <c r="HKN417" s="22"/>
      <c r="HKO417" s="22"/>
      <c r="HKP417" s="22"/>
      <c r="HKQ417" s="22"/>
      <c r="HKR417" s="22"/>
      <c r="HKS417" s="22"/>
      <c r="HKT417" s="22"/>
      <c r="HKU417" s="22"/>
      <c r="HKV417" s="22"/>
      <c r="HKW417" s="22"/>
      <c r="HKX417" s="22"/>
      <c r="HKY417" s="22"/>
      <c r="HKZ417" s="22"/>
      <c r="HLA417" s="22"/>
      <c r="HLB417" s="22"/>
      <c r="HLC417" s="22"/>
      <c r="HLD417" s="22"/>
      <c r="HLE417" s="22"/>
      <c r="HLF417" s="22"/>
      <c r="HLG417" s="22"/>
      <c r="HLH417" s="22"/>
      <c r="HLI417" s="22"/>
      <c r="HLJ417" s="22"/>
      <c r="HLK417" s="22"/>
      <c r="HLL417" s="22"/>
      <c r="HLM417" s="22"/>
      <c r="HLN417" s="22"/>
      <c r="HLO417" s="22"/>
      <c r="HLP417" s="22"/>
      <c r="HLQ417" s="22"/>
      <c r="HLR417" s="22"/>
      <c r="HLS417" s="22"/>
      <c r="HLT417" s="22"/>
      <c r="HLU417" s="22"/>
      <c r="HLV417" s="22"/>
      <c r="HLW417" s="22"/>
      <c r="HLX417" s="22"/>
      <c r="HLY417" s="22"/>
      <c r="HLZ417" s="22"/>
      <c r="HMA417" s="22"/>
      <c r="HMB417" s="22"/>
      <c r="HMC417" s="22"/>
      <c r="HMD417" s="22"/>
      <c r="HME417" s="22"/>
      <c r="HMF417" s="22"/>
      <c r="HMG417" s="22"/>
      <c r="HMH417" s="22"/>
      <c r="HMI417" s="22"/>
      <c r="HMJ417" s="22"/>
      <c r="HMK417" s="22"/>
      <c r="HML417" s="22"/>
      <c r="HMM417" s="22"/>
      <c r="HMN417" s="22"/>
      <c r="HMO417" s="22"/>
      <c r="HMP417" s="22"/>
      <c r="HMQ417" s="22"/>
      <c r="HMR417" s="22"/>
      <c r="HMS417" s="22"/>
      <c r="HMT417" s="22"/>
      <c r="HMU417" s="22"/>
      <c r="HMV417" s="22"/>
      <c r="HMW417" s="22"/>
      <c r="HMX417" s="22"/>
      <c r="HMY417" s="22"/>
      <c r="HMZ417" s="22"/>
      <c r="HNA417" s="22"/>
      <c r="HNB417" s="22"/>
      <c r="HNC417" s="22"/>
      <c r="HND417" s="22"/>
      <c r="HNE417" s="22"/>
      <c r="HNF417" s="22"/>
      <c r="HNG417" s="22"/>
      <c r="HNH417" s="22"/>
      <c r="HNI417" s="22"/>
      <c r="HNJ417" s="22"/>
      <c r="HNK417" s="22"/>
      <c r="HNL417" s="22"/>
      <c r="HNM417" s="22"/>
      <c r="HNN417" s="22"/>
      <c r="HNO417" s="22"/>
      <c r="HNP417" s="22"/>
      <c r="HNQ417" s="22"/>
      <c r="HNR417" s="22"/>
      <c r="HNS417" s="22"/>
      <c r="HNT417" s="22"/>
      <c r="HNU417" s="22"/>
      <c r="HNV417" s="22"/>
      <c r="HNW417" s="22"/>
      <c r="HNX417" s="22"/>
      <c r="HNY417" s="22"/>
      <c r="HNZ417" s="22"/>
      <c r="HOA417" s="22"/>
      <c r="HOB417" s="22"/>
      <c r="HOC417" s="22"/>
      <c r="HOD417" s="22"/>
      <c r="HOE417" s="22"/>
      <c r="HOF417" s="22"/>
      <c r="HOG417" s="22"/>
      <c r="HOH417" s="22"/>
      <c r="HOI417" s="22"/>
      <c r="HOJ417" s="22"/>
      <c r="HOK417" s="22"/>
      <c r="HOL417" s="22"/>
      <c r="HOM417" s="22"/>
      <c r="HON417" s="22"/>
      <c r="HOO417" s="22"/>
      <c r="HOP417" s="22"/>
      <c r="HOQ417" s="22"/>
      <c r="HOR417" s="22"/>
      <c r="HOS417" s="22"/>
      <c r="HOT417" s="22"/>
      <c r="HOU417" s="22"/>
      <c r="HOV417" s="22"/>
      <c r="HOW417" s="22"/>
      <c r="HOX417" s="22"/>
      <c r="HOY417" s="22"/>
      <c r="HOZ417" s="22"/>
      <c r="HPA417" s="22"/>
      <c r="HPB417" s="22"/>
      <c r="HPC417" s="22"/>
      <c r="HPD417" s="22"/>
      <c r="HPE417" s="22"/>
      <c r="HPF417" s="22"/>
      <c r="HPG417" s="22"/>
      <c r="HPH417" s="22"/>
      <c r="HPI417" s="22"/>
      <c r="HPJ417" s="22"/>
      <c r="HPK417" s="22"/>
      <c r="HPL417" s="22"/>
      <c r="HPM417" s="22"/>
      <c r="HPN417" s="22"/>
      <c r="HPO417" s="22"/>
      <c r="HPP417" s="22"/>
      <c r="HPQ417" s="22"/>
      <c r="HPR417" s="22"/>
      <c r="HPS417" s="22"/>
      <c r="HPT417" s="22"/>
      <c r="HPU417" s="22"/>
      <c r="HPV417" s="22"/>
      <c r="HPW417" s="22"/>
      <c r="HPX417" s="22"/>
      <c r="HPY417" s="22"/>
      <c r="HPZ417" s="22"/>
      <c r="HQA417" s="22"/>
      <c r="HQB417" s="22"/>
      <c r="HQC417" s="22"/>
      <c r="HQD417" s="22"/>
      <c r="HQE417" s="22"/>
      <c r="HQF417" s="22"/>
      <c r="HQG417" s="22"/>
      <c r="HQH417" s="22"/>
      <c r="HQI417" s="22"/>
      <c r="HQJ417" s="22"/>
      <c r="HQK417" s="22"/>
      <c r="HQL417" s="22"/>
      <c r="HQM417" s="22"/>
      <c r="HQN417" s="22"/>
      <c r="HQO417" s="22"/>
      <c r="HQP417" s="22"/>
      <c r="HQQ417" s="22"/>
      <c r="HQR417" s="22"/>
      <c r="HQS417" s="22"/>
      <c r="HQT417" s="22"/>
      <c r="HQU417" s="22"/>
      <c r="HQV417" s="22"/>
      <c r="HQW417" s="22"/>
      <c r="HQX417" s="22"/>
      <c r="HQY417" s="22"/>
      <c r="HQZ417" s="22"/>
      <c r="HRA417" s="22"/>
      <c r="HRB417" s="22"/>
      <c r="HRC417" s="22"/>
      <c r="HRD417" s="22"/>
      <c r="HRE417" s="22"/>
      <c r="HRF417" s="22"/>
      <c r="HRG417" s="22"/>
      <c r="HRH417" s="22"/>
      <c r="HRI417" s="22"/>
      <c r="HRJ417" s="22"/>
      <c r="HRK417" s="22"/>
      <c r="HRL417" s="22"/>
      <c r="HRM417" s="22"/>
      <c r="HRN417" s="22"/>
      <c r="HRO417" s="22"/>
      <c r="HRP417" s="22"/>
      <c r="HRQ417" s="22"/>
      <c r="HRR417" s="22"/>
      <c r="HRS417" s="22"/>
      <c r="HRT417" s="22"/>
      <c r="HRU417" s="22"/>
      <c r="HRV417" s="22"/>
      <c r="HRW417" s="22"/>
      <c r="HRX417" s="22"/>
      <c r="HRY417" s="22"/>
      <c r="HRZ417" s="22"/>
      <c r="HSA417" s="22"/>
      <c r="HSB417" s="22"/>
      <c r="HSC417" s="22"/>
      <c r="HSD417" s="22"/>
      <c r="HSE417" s="22"/>
      <c r="HSF417" s="22"/>
      <c r="HSG417" s="22"/>
      <c r="HSH417" s="22"/>
      <c r="HSI417" s="22"/>
      <c r="HSJ417" s="22"/>
      <c r="HSK417" s="22"/>
      <c r="HSL417" s="22"/>
      <c r="HSM417" s="22"/>
      <c r="HSN417" s="22"/>
      <c r="HSO417" s="22"/>
      <c r="HSP417" s="22"/>
      <c r="HSQ417" s="22"/>
      <c r="HSR417" s="22"/>
      <c r="HSS417" s="22"/>
      <c r="HST417" s="22"/>
      <c r="HSU417" s="22"/>
      <c r="HSV417" s="22"/>
      <c r="HSW417" s="22"/>
      <c r="HSX417" s="22"/>
      <c r="HSY417" s="22"/>
      <c r="HSZ417" s="22"/>
      <c r="HTA417" s="22"/>
      <c r="HTB417" s="22"/>
      <c r="HTC417" s="22"/>
      <c r="HTD417" s="22"/>
      <c r="HTE417" s="22"/>
      <c r="HTF417" s="22"/>
      <c r="HTG417" s="22"/>
      <c r="HTH417" s="22"/>
      <c r="HTI417" s="22"/>
      <c r="HTJ417" s="22"/>
      <c r="HTK417" s="22"/>
      <c r="HTL417" s="22"/>
      <c r="HTM417" s="22"/>
      <c r="HTN417" s="22"/>
      <c r="HTO417" s="22"/>
      <c r="HTP417" s="22"/>
      <c r="HTQ417" s="22"/>
      <c r="HTR417" s="22"/>
      <c r="HTS417" s="22"/>
      <c r="HTT417" s="22"/>
      <c r="HTU417" s="22"/>
      <c r="HTV417" s="22"/>
      <c r="HTW417" s="22"/>
      <c r="HTX417" s="22"/>
      <c r="HTY417" s="22"/>
      <c r="HTZ417" s="22"/>
      <c r="HUA417" s="22"/>
      <c r="HUB417" s="22"/>
      <c r="HUC417" s="22"/>
      <c r="HUD417" s="22"/>
      <c r="HUE417" s="22"/>
      <c r="HUF417" s="22"/>
      <c r="HUG417" s="22"/>
      <c r="HUH417" s="22"/>
      <c r="HUI417" s="22"/>
      <c r="HUJ417" s="22"/>
      <c r="HUK417" s="22"/>
      <c r="HUL417" s="22"/>
      <c r="HUM417" s="22"/>
      <c r="HUN417" s="22"/>
      <c r="HUO417" s="22"/>
      <c r="HUP417" s="22"/>
      <c r="HUQ417" s="22"/>
      <c r="HUR417" s="22"/>
      <c r="HUS417" s="22"/>
      <c r="HUT417" s="22"/>
      <c r="HUU417" s="22"/>
      <c r="HUV417" s="22"/>
      <c r="HUW417" s="22"/>
      <c r="HUX417" s="22"/>
      <c r="HUY417" s="22"/>
      <c r="HUZ417" s="22"/>
      <c r="HVA417" s="22"/>
      <c r="HVB417" s="22"/>
      <c r="HVC417" s="22"/>
      <c r="HVD417" s="22"/>
      <c r="HVE417" s="22"/>
      <c r="HVF417" s="22"/>
      <c r="HVG417" s="22"/>
      <c r="HVH417" s="22"/>
      <c r="HVI417" s="22"/>
      <c r="HVJ417" s="22"/>
      <c r="HVK417" s="22"/>
      <c r="HVL417" s="22"/>
      <c r="HVM417" s="22"/>
      <c r="HVN417" s="22"/>
      <c r="HVO417" s="22"/>
      <c r="HVP417" s="22"/>
      <c r="HVQ417" s="22"/>
      <c r="HVR417" s="22"/>
      <c r="HVS417" s="22"/>
      <c r="HVT417" s="22"/>
      <c r="HVU417" s="22"/>
      <c r="HVV417" s="22"/>
      <c r="HVW417" s="22"/>
      <c r="HVX417" s="22"/>
      <c r="HVY417" s="22"/>
      <c r="HVZ417" s="22"/>
      <c r="HWA417" s="22"/>
      <c r="HWB417" s="22"/>
      <c r="HWC417" s="22"/>
      <c r="HWD417" s="22"/>
      <c r="HWE417" s="22"/>
      <c r="HWF417" s="22"/>
      <c r="HWG417" s="22"/>
      <c r="HWH417" s="22"/>
      <c r="HWI417" s="22"/>
      <c r="HWJ417" s="22"/>
      <c r="HWK417" s="22"/>
      <c r="HWL417" s="22"/>
      <c r="HWM417" s="22"/>
      <c r="HWN417" s="22"/>
      <c r="HWO417" s="22"/>
      <c r="HWP417" s="22"/>
      <c r="HWQ417" s="22"/>
      <c r="HWR417" s="22"/>
      <c r="HWS417" s="22"/>
      <c r="HWT417" s="22"/>
      <c r="HWU417" s="22"/>
      <c r="HWV417" s="22"/>
      <c r="HWW417" s="22"/>
      <c r="HWX417" s="22"/>
      <c r="HWY417" s="22"/>
      <c r="HWZ417" s="22"/>
      <c r="HXA417" s="22"/>
      <c r="HXB417" s="22"/>
      <c r="HXC417" s="22"/>
      <c r="HXD417" s="22"/>
      <c r="HXE417" s="22"/>
      <c r="HXF417" s="22"/>
      <c r="HXG417" s="22"/>
      <c r="HXH417" s="22"/>
      <c r="HXI417" s="22"/>
      <c r="HXJ417" s="22"/>
      <c r="HXK417" s="22"/>
      <c r="HXL417" s="22"/>
      <c r="HXM417" s="22"/>
      <c r="HXN417" s="22"/>
      <c r="HXO417" s="22"/>
      <c r="HXP417" s="22"/>
      <c r="HXQ417" s="22"/>
      <c r="HXR417" s="22"/>
      <c r="HXS417" s="22"/>
      <c r="HXT417" s="22"/>
      <c r="HXU417" s="22"/>
      <c r="HXV417" s="22"/>
      <c r="HXW417" s="22"/>
      <c r="HXX417" s="22"/>
      <c r="HXY417" s="22"/>
      <c r="HXZ417" s="22"/>
      <c r="HYA417" s="22"/>
      <c r="HYB417" s="22"/>
      <c r="HYC417" s="22"/>
      <c r="HYD417" s="22"/>
      <c r="HYE417" s="22"/>
      <c r="HYF417" s="22"/>
      <c r="HYG417" s="22"/>
      <c r="HYH417" s="22"/>
      <c r="HYI417" s="22"/>
      <c r="HYJ417" s="22"/>
      <c r="HYK417" s="22"/>
      <c r="HYL417" s="22"/>
      <c r="HYM417" s="22"/>
      <c r="HYN417" s="22"/>
      <c r="HYO417" s="22"/>
      <c r="HYP417" s="22"/>
      <c r="HYQ417" s="22"/>
      <c r="HYR417" s="22"/>
      <c r="HYS417" s="22"/>
      <c r="HYT417" s="22"/>
      <c r="HYU417" s="22"/>
      <c r="HYV417" s="22"/>
      <c r="HYW417" s="22"/>
      <c r="HYX417" s="22"/>
      <c r="HYY417" s="22"/>
      <c r="HYZ417" s="22"/>
      <c r="HZA417" s="22"/>
      <c r="HZB417" s="22"/>
      <c r="HZC417" s="22"/>
      <c r="HZD417" s="22"/>
      <c r="HZE417" s="22"/>
      <c r="HZF417" s="22"/>
      <c r="HZG417" s="22"/>
      <c r="HZH417" s="22"/>
      <c r="HZI417" s="22"/>
      <c r="HZJ417" s="22"/>
      <c r="HZK417" s="22"/>
      <c r="HZL417" s="22"/>
      <c r="HZM417" s="22"/>
      <c r="HZN417" s="22"/>
      <c r="HZO417" s="22"/>
      <c r="HZP417" s="22"/>
      <c r="HZQ417" s="22"/>
      <c r="HZR417" s="22"/>
      <c r="HZS417" s="22"/>
      <c r="HZT417" s="22"/>
      <c r="HZU417" s="22"/>
      <c r="HZV417" s="22"/>
      <c r="HZW417" s="22"/>
      <c r="HZX417" s="22"/>
      <c r="HZY417" s="22"/>
      <c r="HZZ417" s="22"/>
      <c r="IAA417" s="22"/>
      <c r="IAB417" s="22"/>
      <c r="IAC417" s="22"/>
      <c r="IAD417" s="22"/>
      <c r="IAE417" s="22"/>
      <c r="IAF417" s="22"/>
      <c r="IAG417" s="22"/>
      <c r="IAH417" s="22"/>
      <c r="IAI417" s="22"/>
      <c r="IAJ417" s="22"/>
      <c r="IAK417" s="22"/>
      <c r="IAL417" s="22"/>
      <c r="IAM417" s="22"/>
      <c r="IAN417" s="22"/>
      <c r="IAO417" s="22"/>
      <c r="IAP417" s="22"/>
      <c r="IAQ417" s="22"/>
      <c r="IAR417" s="22"/>
      <c r="IAS417" s="22"/>
      <c r="IAT417" s="22"/>
      <c r="IAU417" s="22"/>
      <c r="IAV417" s="22"/>
      <c r="IAW417" s="22"/>
      <c r="IAX417" s="22"/>
      <c r="IAY417" s="22"/>
      <c r="IAZ417" s="22"/>
      <c r="IBA417" s="22"/>
      <c r="IBB417" s="22"/>
      <c r="IBC417" s="22"/>
      <c r="IBD417" s="22"/>
      <c r="IBE417" s="22"/>
      <c r="IBF417" s="22"/>
      <c r="IBG417" s="22"/>
      <c r="IBH417" s="22"/>
      <c r="IBI417" s="22"/>
      <c r="IBJ417" s="22"/>
      <c r="IBK417" s="22"/>
      <c r="IBL417" s="22"/>
      <c r="IBM417" s="22"/>
      <c r="IBN417" s="22"/>
      <c r="IBO417" s="22"/>
      <c r="IBP417" s="22"/>
      <c r="IBQ417" s="22"/>
      <c r="IBR417" s="22"/>
      <c r="IBS417" s="22"/>
      <c r="IBT417" s="22"/>
      <c r="IBU417" s="22"/>
      <c r="IBV417" s="22"/>
      <c r="IBW417" s="22"/>
      <c r="IBX417" s="22"/>
      <c r="IBY417" s="22"/>
      <c r="IBZ417" s="22"/>
      <c r="ICA417" s="22"/>
      <c r="ICB417" s="22"/>
      <c r="ICC417" s="22"/>
      <c r="ICD417" s="22"/>
      <c r="ICE417" s="22"/>
      <c r="ICF417" s="22"/>
      <c r="ICG417" s="22"/>
      <c r="ICH417" s="22"/>
      <c r="ICI417" s="22"/>
      <c r="ICJ417" s="22"/>
      <c r="ICK417" s="22"/>
      <c r="ICL417" s="22"/>
      <c r="ICM417" s="22"/>
      <c r="ICN417" s="22"/>
      <c r="ICO417" s="22"/>
      <c r="ICP417" s="22"/>
      <c r="ICQ417" s="22"/>
      <c r="ICR417" s="22"/>
      <c r="ICS417" s="22"/>
      <c r="ICT417" s="22"/>
      <c r="ICU417" s="22"/>
      <c r="ICV417" s="22"/>
      <c r="ICW417" s="22"/>
      <c r="ICX417" s="22"/>
      <c r="ICY417" s="22"/>
      <c r="ICZ417" s="22"/>
      <c r="IDA417" s="22"/>
      <c r="IDB417" s="22"/>
      <c r="IDC417" s="22"/>
      <c r="IDD417" s="22"/>
      <c r="IDE417" s="22"/>
      <c r="IDF417" s="22"/>
      <c r="IDG417" s="22"/>
      <c r="IDH417" s="22"/>
      <c r="IDI417" s="22"/>
      <c r="IDJ417" s="22"/>
      <c r="IDK417" s="22"/>
      <c r="IDL417" s="22"/>
      <c r="IDM417" s="22"/>
      <c r="IDN417" s="22"/>
      <c r="IDO417" s="22"/>
      <c r="IDP417" s="22"/>
      <c r="IDQ417" s="22"/>
      <c r="IDR417" s="22"/>
      <c r="IDS417" s="22"/>
      <c r="IDT417" s="22"/>
      <c r="IDU417" s="22"/>
      <c r="IDV417" s="22"/>
      <c r="IDW417" s="22"/>
      <c r="IDX417" s="22"/>
      <c r="IDY417" s="22"/>
      <c r="IDZ417" s="22"/>
      <c r="IEA417" s="22"/>
      <c r="IEB417" s="22"/>
      <c r="IEC417" s="22"/>
      <c r="IED417" s="22"/>
      <c r="IEE417" s="22"/>
      <c r="IEF417" s="22"/>
      <c r="IEG417" s="22"/>
      <c r="IEH417" s="22"/>
      <c r="IEI417" s="22"/>
      <c r="IEJ417" s="22"/>
      <c r="IEK417" s="22"/>
      <c r="IEL417" s="22"/>
      <c r="IEM417" s="22"/>
      <c r="IEN417" s="22"/>
      <c r="IEO417" s="22"/>
      <c r="IEP417" s="22"/>
      <c r="IEQ417" s="22"/>
      <c r="IER417" s="22"/>
      <c r="IES417" s="22"/>
      <c r="IET417" s="22"/>
      <c r="IEU417" s="22"/>
      <c r="IEV417" s="22"/>
      <c r="IEW417" s="22"/>
      <c r="IEX417" s="22"/>
      <c r="IEY417" s="22"/>
      <c r="IEZ417" s="22"/>
      <c r="IFA417" s="22"/>
      <c r="IFB417" s="22"/>
      <c r="IFC417" s="22"/>
      <c r="IFD417" s="22"/>
      <c r="IFE417" s="22"/>
      <c r="IFF417" s="22"/>
      <c r="IFG417" s="22"/>
      <c r="IFH417" s="22"/>
      <c r="IFI417" s="22"/>
      <c r="IFJ417" s="22"/>
      <c r="IFK417" s="22"/>
      <c r="IFL417" s="22"/>
      <c r="IFM417" s="22"/>
      <c r="IFN417" s="22"/>
      <c r="IFO417" s="22"/>
      <c r="IFP417" s="22"/>
      <c r="IFQ417" s="22"/>
      <c r="IFR417" s="22"/>
      <c r="IFS417" s="22"/>
      <c r="IFT417" s="22"/>
      <c r="IFU417" s="22"/>
      <c r="IFV417" s="22"/>
      <c r="IFW417" s="22"/>
      <c r="IFX417" s="22"/>
      <c r="IFY417" s="22"/>
      <c r="IFZ417" s="22"/>
      <c r="IGA417" s="22"/>
      <c r="IGB417" s="22"/>
      <c r="IGC417" s="22"/>
      <c r="IGD417" s="22"/>
      <c r="IGE417" s="22"/>
      <c r="IGF417" s="22"/>
      <c r="IGG417" s="22"/>
      <c r="IGH417" s="22"/>
      <c r="IGI417" s="22"/>
      <c r="IGJ417" s="22"/>
      <c r="IGK417" s="22"/>
      <c r="IGL417" s="22"/>
      <c r="IGM417" s="22"/>
      <c r="IGN417" s="22"/>
      <c r="IGO417" s="22"/>
      <c r="IGP417" s="22"/>
      <c r="IGQ417" s="22"/>
      <c r="IGR417" s="22"/>
      <c r="IGS417" s="22"/>
      <c r="IGT417" s="22"/>
      <c r="IGU417" s="22"/>
      <c r="IGV417" s="22"/>
      <c r="IGW417" s="22"/>
      <c r="IGX417" s="22"/>
      <c r="IGY417" s="22"/>
      <c r="IGZ417" s="22"/>
      <c r="IHA417" s="22"/>
      <c r="IHB417" s="22"/>
      <c r="IHC417" s="22"/>
      <c r="IHD417" s="22"/>
      <c r="IHE417" s="22"/>
      <c r="IHF417" s="22"/>
      <c r="IHG417" s="22"/>
      <c r="IHH417" s="22"/>
      <c r="IHI417" s="22"/>
      <c r="IHJ417" s="22"/>
      <c r="IHK417" s="22"/>
      <c r="IHL417" s="22"/>
      <c r="IHM417" s="22"/>
      <c r="IHN417" s="22"/>
      <c r="IHO417" s="22"/>
      <c r="IHP417" s="22"/>
      <c r="IHQ417" s="22"/>
      <c r="IHR417" s="22"/>
      <c r="IHS417" s="22"/>
      <c r="IHT417" s="22"/>
      <c r="IHU417" s="22"/>
      <c r="IHV417" s="22"/>
      <c r="IHW417" s="22"/>
      <c r="IHX417" s="22"/>
      <c r="IHY417" s="22"/>
      <c r="IHZ417" s="22"/>
      <c r="IIA417" s="22"/>
      <c r="IIB417" s="22"/>
      <c r="IIC417" s="22"/>
      <c r="IID417" s="22"/>
      <c r="IIE417" s="22"/>
      <c r="IIF417" s="22"/>
      <c r="IIG417" s="22"/>
      <c r="IIH417" s="22"/>
      <c r="III417" s="22"/>
      <c r="IIJ417" s="22"/>
      <c r="IIK417" s="22"/>
      <c r="IIL417" s="22"/>
      <c r="IIM417" s="22"/>
      <c r="IIN417" s="22"/>
      <c r="IIO417" s="22"/>
      <c r="IIP417" s="22"/>
      <c r="IIQ417" s="22"/>
      <c r="IIR417" s="22"/>
      <c r="IIS417" s="22"/>
      <c r="IIT417" s="22"/>
      <c r="IIU417" s="22"/>
      <c r="IIV417" s="22"/>
      <c r="IIW417" s="22"/>
      <c r="IIX417" s="22"/>
      <c r="IIY417" s="22"/>
      <c r="IIZ417" s="22"/>
      <c r="IJA417" s="22"/>
      <c r="IJB417" s="22"/>
      <c r="IJC417" s="22"/>
      <c r="IJD417" s="22"/>
      <c r="IJE417" s="22"/>
      <c r="IJF417" s="22"/>
      <c r="IJG417" s="22"/>
      <c r="IJH417" s="22"/>
      <c r="IJI417" s="22"/>
      <c r="IJJ417" s="22"/>
      <c r="IJK417" s="22"/>
      <c r="IJL417" s="22"/>
      <c r="IJM417" s="22"/>
      <c r="IJN417" s="22"/>
      <c r="IJO417" s="22"/>
      <c r="IJP417" s="22"/>
      <c r="IJQ417" s="22"/>
      <c r="IJR417" s="22"/>
      <c r="IJS417" s="22"/>
      <c r="IJT417" s="22"/>
      <c r="IJU417" s="22"/>
      <c r="IJV417" s="22"/>
      <c r="IJW417" s="22"/>
      <c r="IJX417" s="22"/>
      <c r="IJY417" s="22"/>
      <c r="IJZ417" s="22"/>
      <c r="IKA417" s="22"/>
      <c r="IKB417" s="22"/>
      <c r="IKC417" s="22"/>
      <c r="IKD417" s="22"/>
      <c r="IKE417" s="22"/>
      <c r="IKF417" s="22"/>
      <c r="IKG417" s="22"/>
      <c r="IKH417" s="22"/>
      <c r="IKI417" s="22"/>
      <c r="IKJ417" s="22"/>
      <c r="IKK417" s="22"/>
      <c r="IKL417" s="22"/>
      <c r="IKM417" s="22"/>
      <c r="IKN417" s="22"/>
      <c r="IKO417" s="22"/>
      <c r="IKP417" s="22"/>
      <c r="IKQ417" s="22"/>
      <c r="IKR417" s="22"/>
      <c r="IKS417" s="22"/>
      <c r="IKT417" s="22"/>
      <c r="IKU417" s="22"/>
      <c r="IKV417" s="22"/>
      <c r="IKW417" s="22"/>
      <c r="IKX417" s="22"/>
      <c r="IKY417" s="22"/>
      <c r="IKZ417" s="22"/>
      <c r="ILA417" s="22"/>
      <c r="ILB417" s="22"/>
      <c r="ILC417" s="22"/>
      <c r="ILD417" s="22"/>
      <c r="ILE417" s="22"/>
      <c r="ILF417" s="22"/>
      <c r="ILG417" s="22"/>
      <c r="ILH417" s="22"/>
      <c r="ILI417" s="22"/>
      <c r="ILJ417" s="22"/>
      <c r="ILK417" s="22"/>
      <c r="ILL417" s="22"/>
      <c r="ILM417" s="22"/>
      <c r="ILN417" s="22"/>
      <c r="ILO417" s="22"/>
      <c r="ILP417" s="22"/>
      <c r="ILQ417" s="22"/>
      <c r="ILR417" s="22"/>
      <c r="ILS417" s="22"/>
      <c r="ILT417" s="22"/>
      <c r="ILU417" s="22"/>
      <c r="ILV417" s="22"/>
      <c r="ILW417" s="22"/>
      <c r="ILX417" s="22"/>
      <c r="ILY417" s="22"/>
      <c r="ILZ417" s="22"/>
      <c r="IMA417" s="22"/>
      <c r="IMB417" s="22"/>
      <c r="IMC417" s="22"/>
      <c r="IMD417" s="22"/>
      <c r="IME417" s="22"/>
      <c r="IMF417" s="22"/>
      <c r="IMG417" s="22"/>
      <c r="IMH417" s="22"/>
      <c r="IMI417" s="22"/>
      <c r="IMJ417" s="22"/>
      <c r="IMK417" s="22"/>
      <c r="IML417" s="22"/>
      <c r="IMM417" s="22"/>
      <c r="IMN417" s="22"/>
      <c r="IMO417" s="22"/>
      <c r="IMP417" s="22"/>
      <c r="IMQ417" s="22"/>
      <c r="IMR417" s="22"/>
      <c r="IMS417" s="22"/>
      <c r="IMT417" s="22"/>
      <c r="IMU417" s="22"/>
      <c r="IMV417" s="22"/>
      <c r="IMW417" s="22"/>
      <c r="IMX417" s="22"/>
      <c r="IMY417" s="22"/>
      <c r="IMZ417" s="22"/>
      <c r="INA417" s="22"/>
      <c r="INB417" s="22"/>
      <c r="INC417" s="22"/>
      <c r="IND417" s="22"/>
      <c r="INE417" s="22"/>
      <c r="INF417" s="22"/>
      <c r="ING417" s="22"/>
      <c r="INH417" s="22"/>
      <c r="INI417" s="22"/>
      <c r="INJ417" s="22"/>
      <c r="INK417" s="22"/>
      <c r="INL417" s="22"/>
      <c r="INM417" s="22"/>
      <c r="INN417" s="22"/>
      <c r="INO417" s="22"/>
      <c r="INP417" s="22"/>
      <c r="INQ417" s="22"/>
      <c r="INR417" s="22"/>
      <c r="INS417" s="22"/>
      <c r="INT417" s="22"/>
      <c r="INU417" s="22"/>
      <c r="INV417" s="22"/>
      <c r="INW417" s="22"/>
      <c r="INX417" s="22"/>
      <c r="INY417" s="22"/>
      <c r="INZ417" s="22"/>
      <c r="IOA417" s="22"/>
      <c r="IOB417" s="22"/>
      <c r="IOC417" s="22"/>
      <c r="IOD417" s="22"/>
      <c r="IOE417" s="22"/>
      <c r="IOF417" s="22"/>
      <c r="IOG417" s="22"/>
      <c r="IOH417" s="22"/>
      <c r="IOI417" s="22"/>
      <c r="IOJ417" s="22"/>
      <c r="IOK417" s="22"/>
      <c r="IOL417" s="22"/>
      <c r="IOM417" s="22"/>
      <c r="ION417" s="22"/>
      <c r="IOO417" s="22"/>
      <c r="IOP417" s="22"/>
      <c r="IOQ417" s="22"/>
      <c r="IOR417" s="22"/>
      <c r="IOS417" s="22"/>
      <c r="IOT417" s="22"/>
      <c r="IOU417" s="22"/>
      <c r="IOV417" s="22"/>
      <c r="IOW417" s="22"/>
      <c r="IOX417" s="22"/>
      <c r="IOY417" s="22"/>
      <c r="IOZ417" s="22"/>
      <c r="IPA417" s="22"/>
      <c r="IPB417" s="22"/>
      <c r="IPC417" s="22"/>
      <c r="IPD417" s="22"/>
      <c r="IPE417" s="22"/>
      <c r="IPF417" s="22"/>
      <c r="IPG417" s="22"/>
      <c r="IPH417" s="22"/>
      <c r="IPI417" s="22"/>
      <c r="IPJ417" s="22"/>
      <c r="IPK417" s="22"/>
      <c r="IPL417" s="22"/>
      <c r="IPM417" s="22"/>
      <c r="IPN417" s="22"/>
      <c r="IPO417" s="22"/>
      <c r="IPP417" s="22"/>
      <c r="IPQ417" s="22"/>
      <c r="IPR417" s="22"/>
      <c r="IPS417" s="22"/>
      <c r="IPT417" s="22"/>
      <c r="IPU417" s="22"/>
      <c r="IPV417" s="22"/>
      <c r="IPW417" s="22"/>
      <c r="IPX417" s="22"/>
      <c r="IPY417" s="22"/>
      <c r="IPZ417" s="22"/>
      <c r="IQA417" s="22"/>
      <c r="IQB417" s="22"/>
      <c r="IQC417" s="22"/>
      <c r="IQD417" s="22"/>
      <c r="IQE417" s="22"/>
      <c r="IQF417" s="22"/>
      <c r="IQG417" s="22"/>
      <c r="IQH417" s="22"/>
      <c r="IQI417" s="22"/>
      <c r="IQJ417" s="22"/>
      <c r="IQK417" s="22"/>
      <c r="IQL417" s="22"/>
      <c r="IQM417" s="22"/>
      <c r="IQN417" s="22"/>
      <c r="IQO417" s="22"/>
      <c r="IQP417" s="22"/>
      <c r="IQQ417" s="22"/>
      <c r="IQR417" s="22"/>
      <c r="IQS417" s="22"/>
      <c r="IQT417" s="22"/>
      <c r="IQU417" s="22"/>
      <c r="IQV417" s="22"/>
      <c r="IQW417" s="22"/>
      <c r="IQX417" s="22"/>
      <c r="IQY417" s="22"/>
      <c r="IQZ417" s="22"/>
      <c r="IRA417" s="22"/>
      <c r="IRB417" s="22"/>
      <c r="IRC417" s="22"/>
      <c r="IRD417" s="22"/>
      <c r="IRE417" s="22"/>
      <c r="IRF417" s="22"/>
      <c r="IRG417" s="22"/>
      <c r="IRH417" s="22"/>
      <c r="IRI417" s="22"/>
      <c r="IRJ417" s="22"/>
      <c r="IRK417" s="22"/>
      <c r="IRL417" s="22"/>
      <c r="IRM417" s="22"/>
      <c r="IRN417" s="22"/>
      <c r="IRO417" s="22"/>
      <c r="IRP417" s="22"/>
      <c r="IRQ417" s="22"/>
      <c r="IRR417" s="22"/>
      <c r="IRS417" s="22"/>
      <c r="IRT417" s="22"/>
      <c r="IRU417" s="22"/>
      <c r="IRV417" s="22"/>
      <c r="IRW417" s="22"/>
      <c r="IRX417" s="22"/>
      <c r="IRY417" s="22"/>
      <c r="IRZ417" s="22"/>
      <c r="ISA417" s="22"/>
      <c r="ISB417" s="22"/>
      <c r="ISC417" s="22"/>
      <c r="ISD417" s="22"/>
      <c r="ISE417" s="22"/>
      <c r="ISF417" s="22"/>
      <c r="ISG417" s="22"/>
      <c r="ISH417" s="22"/>
      <c r="ISI417" s="22"/>
      <c r="ISJ417" s="22"/>
      <c r="ISK417" s="22"/>
      <c r="ISL417" s="22"/>
      <c r="ISM417" s="22"/>
      <c r="ISN417" s="22"/>
      <c r="ISO417" s="22"/>
      <c r="ISP417" s="22"/>
      <c r="ISQ417" s="22"/>
      <c r="ISR417" s="22"/>
      <c r="ISS417" s="22"/>
      <c r="IST417" s="22"/>
      <c r="ISU417" s="22"/>
      <c r="ISV417" s="22"/>
      <c r="ISW417" s="22"/>
      <c r="ISX417" s="22"/>
      <c r="ISY417" s="22"/>
      <c r="ISZ417" s="22"/>
      <c r="ITA417" s="22"/>
      <c r="ITB417" s="22"/>
      <c r="ITC417" s="22"/>
      <c r="ITD417" s="22"/>
      <c r="ITE417" s="22"/>
      <c r="ITF417" s="22"/>
      <c r="ITG417" s="22"/>
      <c r="ITH417" s="22"/>
      <c r="ITI417" s="22"/>
      <c r="ITJ417" s="22"/>
      <c r="ITK417" s="22"/>
      <c r="ITL417" s="22"/>
      <c r="ITM417" s="22"/>
      <c r="ITN417" s="22"/>
      <c r="ITO417" s="22"/>
      <c r="ITP417" s="22"/>
      <c r="ITQ417" s="22"/>
      <c r="ITR417" s="22"/>
      <c r="ITS417" s="22"/>
      <c r="ITT417" s="22"/>
      <c r="ITU417" s="22"/>
      <c r="ITV417" s="22"/>
      <c r="ITW417" s="22"/>
      <c r="ITX417" s="22"/>
      <c r="ITY417" s="22"/>
      <c r="ITZ417" s="22"/>
      <c r="IUA417" s="22"/>
      <c r="IUB417" s="22"/>
      <c r="IUC417" s="22"/>
      <c r="IUD417" s="22"/>
      <c r="IUE417" s="22"/>
      <c r="IUF417" s="22"/>
      <c r="IUG417" s="22"/>
      <c r="IUH417" s="22"/>
      <c r="IUI417" s="22"/>
      <c r="IUJ417" s="22"/>
      <c r="IUK417" s="22"/>
      <c r="IUL417" s="22"/>
      <c r="IUM417" s="22"/>
      <c r="IUN417" s="22"/>
      <c r="IUO417" s="22"/>
      <c r="IUP417" s="22"/>
      <c r="IUQ417" s="22"/>
      <c r="IUR417" s="22"/>
      <c r="IUS417" s="22"/>
      <c r="IUT417" s="22"/>
      <c r="IUU417" s="22"/>
      <c r="IUV417" s="22"/>
      <c r="IUW417" s="22"/>
      <c r="IUX417" s="22"/>
      <c r="IUY417" s="22"/>
      <c r="IUZ417" s="22"/>
      <c r="IVA417" s="22"/>
      <c r="IVB417" s="22"/>
      <c r="IVC417" s="22"/>
      <c r="IVD417" s="22"/>
      <c r="IVE417" s="22"/>
      <c r="IVF417" s="22"/>
      <c r="IVG417" s="22"/>
      <c r="IVH417" s="22"/>
      <c r="IVI417" s="22"/>
      <c r="IVJ417" s="22"/>
      <c r="IVK417" s="22"/>
      <c r="IVL417" s="22"/>
      <c r="IVM417" s="22"/>
      <c r="IVN417" s="22"/>
      <c r="IVO417" s="22"/>
      <c r="IVP417" s="22"/>
      <c r="IVQ417" s="22"/>
      <c r="IVR417" s="22"/>
      <c r="IVS417" s="22"/>
      <c r="IVT417" s="22"/>
      <c r="IVU417" s="22"/>
      <c r="IVV417" s="22"/>
      <c r="IVW417" s="22"/>
      <c r="IVX417" s="22"/>
      <c r="IVY417" s="22"/>
      <c r="IVZ417" s="22"/>
      <c r="IWA417" s="22"/>
      <c r="IWB417" s="22"/>
      <c r="IWC417" s="22"/>
      <c r="IWD417" s="22"/>
      <c r="IWE417" s="22"/>
      <c r="IWF417" s="22"/>
      <c r="IWG417" s="22"/>
      <c r="IWH417" s="22"/>
      <c r="IWI417" s="22"/>
      <c r="IWJ417" s="22"/>
      <c r="IWK417" s="22"/>
      <c r="IWL417" s="22"/>
      <c r="IWM417" s="22"/>
      <c r="IWN417" s="22"/>
      <c r="IWO417" s="22"/>
      <c r="IWP417" s="22"/>
      <c r="IWQ417" s="22"/>
      <c r="IWR417" s="22"/>
      <c r="IWS417" s="22"/>
      <c r="IWT417" s="22"/>
      <c r="IWU417" s="22"/>
      <c r="IWV417" s="22"/>
      <c r="IWW417" s="22"/>
      <c r="IWX417" s="22"/>
      <c r="IWY417" s="22"/>
      <c r="IWZ417" s="22"/>
      <c r="IXA417" s="22"/>
      <c r="IXB417" s="22"/>
      <c r="IXC417" s="22"/>
      <c r="IXD417" s="22"/>
      <c r="IXE417" s="22"/>
      <c r="IXF417" s="22"/>
      <c r="IXG417" s="22"/>
      <c r="IXH417" s="22"/>
      <c r="IXI417" s="22"/>
      <c r="IXJ417" s="22"/>
      <c r="IXK417" s="22"/>
      <c r="IXL417" s="22"/>
      <c r="IXM417" s="22"/>
      <c r="IXN417" s="22"/>
      <c r="IXO417" s="22"/>
      <c r="IXP417" s="22"/>
      <c r="IXQ417" s="22"/>
      <c r="IXR417" s="22"/>
      <c r="IXS417" s="22"/>
      <c r="IXT417" s="22"/>
      <c r="IXU417" s="22"/>
      <c r="IXV417" s="22"/>
      <c r="IXW417" s="22"/>
      <c r="IXX417" s="22"/>
      <c r="IXY417" s="22"/>
      <c r="IXZ417" s="22"/>
      <c r="IYA417" s="22"/>
      <c r="IYB417" s="22"/>
      <c r="IYC417" s="22"/>
      <c r="IYD417" s="22"/>
      <c r="IYE417" s="22"/>
      <c r="IYF417" s="22"/>
      <c r="IYG417" s="22"/>
      <c r="IYH417" s="22"/>
      <c r="IYI417" s="22"/>
      <c r="IYJ417" s="22"/>
      <c r="IYK417" s="22"/>
      <c r="IYL417" s="22"/>
      <c r="IYM417" s="22"/>
      <c r="IYN417" s="22"/>
      <c r="IYO417" s="22"/>
      <c r="IYP417" s="22"/>
      <c r="IYQ417" s="22"/>
      <c r="IYR417" s="22"/>
      <c r="IYS417" s="22"/>
      <c r="IYT417" s="22"/>
      <c r="IYU417" s="22"/>
      <c r="IYV417" s="22"/>
      <c r="IYW417" s="22"/>
      <c r="IYX417" s="22"/>
      <c r="IYY417" s="22"/>
      <c r="IYZ417" s="22"/>
      <c r="IZA417" s="22"/>
      <c r="IZB417" s="22"/>
      <c r="IZC417" s="22"/>
      <c r="IZD417" s="22"/>
      <c r="IZE417" s="22"/>
      <c r="IZF417" s="22"/>
      <c r="IZG417" s="22"/>
      <c r="IZH417" s="22"/>
      <c r="IZI417" s="22"/>
      <c r="IZJ417" s="22"/>
      <c r="IZK417" s="22"/>
      <c r="IZL417" s="22"/>
      <c r="IZM417" s="22"/>
      <c r="IZN417" s="22"/>
      <c r="IZO417" s="22"/>
      <c r="IZP417" s="22"/>
      <c r="IZQ417" s="22"/>
      <c r="IZR417" s="22"/>
      <c r="IZS417" s="22"/>
      <c r="IZT417" s="22"/>
      <c r="IZU417" s="22"/>
      <c r="IZV417" s="22"/>
      <c r="IZW417" s="22"/>
      <c r="IZX417" s="22"/>
      <c r="IZY417" s="22"/>
      <c r="IZZ417" s="22"/>
      <c r="JAA417" s="22"/>
      <c r="JAB417" s="22"/>
      <c r="JAC417" s="22"/>
      <c r="JAD417" s="22"/>
      <c r="JAE417" s="22"/>
      <c r="JAF417" s="22"/>
      <c r="JAG417" s="22"/>
      <c r="JAH417" s="22"/>
      <c r="JAI417" s="22"/>
      <c r="JAJ417" s="22"/>
      <c r="JAK417" s="22"/>
      <c r="JAL417" s="22"/>
      <c r="JAM417" s="22"/>
      <c r="JAN417" s="22"/>
      <c r="JAO417" s="22"/>
      <c r="JAP417" s="22"/>
      <c r="JAQ417" s="22"/>
      <c r="JAR417" s="22"/>
      <c r="JAS417" s="22"/>
      <c r="JAT417" s="22"/>
      <c r="JAU417" s="22"/>
      <c r="JAV417" s="22"/>
      <c r="JAW417" s="22"/>
      <c r="JAX417" s="22"/>
      <c r="JAY417" s="22"/>
      <c r="JAZ417" s="22"/>
      <c r="JBA417" s="22"/>
      <c r="JBB417" s="22"/>
      <c r="JBC417" s="22"/>
      <c r="JBD417" s="22"/>
      <c r="JBE417" s="22"/>
      <c r="JBF417" s="22"/>
      <c r="JBG417" s="22"/>
      <c r="JBH417" s="22"/>
      <c r="JBI417" s="22"/>
      <c r="JBJ417" s="22"/>
      <c r="JBK417" s="22"/>
      <c r="JBL417" s="22"/>
      <c r="JBM417" s="22"/>
      <c r="JBN417" s="22"/>
      <c r="JBO417" s="22"/>
      <c r="JBP417" s="22"/>
      <c r="JBQ417" s="22"/>
      <c r="JBR417" s="22"/>
      <c r="JBS417" s="22"/>
      <c r="JBT417" s="22"/>
      <c r="JBU417" s="22"/>
      <c r="JBV417" s="22"/>
      <c r="JBW417" s="22"/>
      <c r="JBX417" s="22"/>
      <c r="JBY417" s="22"/>
      <c r="JBZ417" s="22"/>
      <c r="JCA417" s="22"/>
      <c r="JCB417" s="22"/>
      <c r="JCC417" s="22"/>
      <c r="JCD417" s="22"/>
      <c r="JCE417" s="22"/>
      <c r="JCF417" s="22"/>
      <c r="JCG417" s="22"/>
      <c r="JCH417" s="22"/>
      <c r="JCI417" s="22"/>
      <c r="JCJ417" s="22"/>
      <c r="JCK417" s="22"/>
      <c r="JCL417" s="22"/>
      <c r="JCM417" s="22"/>
      <c r="JCN417" s="22"/>
      <c r="JCO417" s="22"/>
      <c r="JCP417" s="22"/>
      <c r="JCQ417" s="22"/>
      <c r="JCR417" s="22"/>
      <c r="JCS417" s="22"/>
      <c r="JCT417" s="22"/>
      <c r="JCU417" s="22"/>
      <c r="JCV417" s="22"/>
      <c r="JCW417" s="22"/>
      <c r="JCX417" s="22"/>
      <c r="JCY417" s="22"/>
      <c r="JCZ417" s="22"/>
      <c r="JDA417" s="22"/>
      <c r="JDB417" s="22"/>
      <c r="JDC417" s="22"/>
      <c r="JDD417" s="22"/>
      <c r="JDE417" s="22"/>
      <c r="JDF417" s="22"/>
      <c r="JDG417" s="22"/>
      <c r="JDH417" s="22"/>
      <c r="JDI417" s="22"/>
      <c r="JDJ417" s="22"/>
      <c r="JDK417" s="22"/>
      <c r="JDL417" s="22"/>
      <c r="JDM417" s="22"/>
      <c r="JDN417" s="22"/>
      <c r="JDO417" s="22"/>
      <c r="JDP417" s="22"/>
      <c r="JDQ417" s="22"/>
      <c r="JDR417" s="22"/>
      <c r="JDS417" s="22"/>
      <c r="JDT417" s="22"/>
      <c r="JDU417" s="22"/>
      <c r="JDV417" s="22"/>
      <c r="JDW417" s="22"/>
      <c r="JDX417" s="22"/>
      <c r="JDY417" s="22"/>
      <c r="JDZ417" s="22"/>
      <c r="JEA417" s="22"/>
      <c r="JEB417" s="22"/>
      <c r="JEC417" s="22"/>
      <c r="JED417" s="22"/>
      <c r="JEE417" s="22"/>
      <c r="JEF417" s="22"/>
      <c r="JEG417" s="22"/>
      <c r="JEH417" s="22"/>
      <c r="JEI417" s="22"/>
      <c r="JEJ417" s="22"/>
      <c r="JEK417" s="22"/>
      <c r="JEL417" s="22"/>
      <c r="JEM417" s="22"/>
      <c r="JEN417" s="22"/>
      <c r="JEO417" s="22"/>
      <c r="JEP417" s="22"/>
      <c r="JEQ417" s="22"/>
      <c r="JER417" s="22"/>
      <c r="JES417" s="22"/>
      <c r="JET417" s="22"/>
      <c r="JEU417" s="22"/>
      <c r="JEV417" s="22"/>
      <c r="JEW417" s="22"/>
      <c r="JEX417" s="22"/>
      <c r="JEY417" s="22"/>
      <c r="JEZ417" s="22"/>
      <c r="JFA417" s="22"/>
      <c r="JFB417" s="22"/>
      <c r="JFC417" s="22"/>
      <c r="JFD417" s="22"/>
      <c r="JFE417" s="22"/>
      <c r="JFF417" s="22"/>
      <c r="JFG417" s="22"/>
      <c r="JFH417" s="22"/>
      <c r="JFI417" s="22"/>
      <c r="JFJ417" s="22"/>
      <c r="JFK417" s="22"/>
      <c r="JFL417" s="22"/>
      <c r="JFM417" s="22"/>
      <c r="JFN417" s="22"/>
      <c r="JFO417" s="22"/>
      <c r="JFP417" s="22"/>
      <c r="JFQ417" s="22"/>
      <c r="JFR417" s="22"/>
      <c r="JFS417" s="22"/>
      <c r="JFT417" s="22"/>
      <c r="JFU417" s="22"/>
      <c r="JFV417" s="22"/>
      <c r="JFW417" s="22"/>
      <c r="JFX417" s="22"/>
      <c r="JFY417" s="22"/>
      <c r="JFZ417" s="22"/>
      <c r="JGA417" s="22"/>
      <c r="JGB417" s="22"/>
      <c r="JGC417" s="22"/>
      <c r="JGD417" s="22"/>
      <c r="JGE417" s="22"/>
      <c r="JGF417" s="22"/>
      <c r="JGG417" s="22"/>
      <c r="JGH417" s="22"/>
      <c r="JGI417" s="22"/>
      <c r="JGJ417" s="22"/>
      <c r="JGK417" s="22"/>
      <c r="JGL417" s="22"/>
      <c r="JGM417" s="22"/>
      <c r="JGN417" s="22"/>
      <c r="JGO417" s="22"/>
      <c r="JGP417" s="22"/>
      <c r="JGQ417" s="22"/>
      <c r="JGR417" s="22"/>
      <c r="JGS417" s="22"/>
      <c r="JGT417" s="22"/>
      <c r="JGU417" s="22"/>
      <c r="JGV417" s="22"/>
      <c r="JGW417" s="22"/>
      <c r="JGX417" s="22"/>
      <c r="JGY417" s="22"/>
      <c r="JGZ417" s="22"/>
      <c r="JHA417" s="22"/>
      <c r="JHB417" s="22"/>
      <c r="JHC417" s="22"/>
      <c r="JHD417" s="22"/>
      <c r="JHE417" s="22"/>
      <c r="JHF417" s="22"/>
      <c r="JHG417" s="22"/>
      <c r="JHH417" s="22"/>
      <c r="JHI417" s="22"/>
      <c r="JHJ417" s="22"/>
      <c r="JHK417" s="22"/>
      <c r="JHL417" s="22"/>
      <c r="JHM417" s="22"/>
      <c r="JHN417" s="22"/>
      <c r="JHO417" s="22"/>
      <c r="JHP417" s="22"/>
      <c r="JHQ417" s="22"/>
      <c r="JHR417" s="22"/>
      <c r="JHS417" s="22"/>
      <c r="JHT417" s="22"/>
      <c r="JHU417" s="22"/>
      <c r="JHV417" s="22"/>
      <c r="JHW417" s="22"/>
      <c r="JHX417" s="22"/>
      <c r="JHY417" s="22"/>
      <c r="JHZ417" s="22"/>
      <c r="JIA417" s="22"/>
      <c r="JIB417" s="22"/>
      <c r="JIC417" s="22"/>
      <c r="JID417" s="22"/>
      <c r="JIE417" s="22"/>
      <c r="JIF417" s="22"/>
      <c r="JIG417" s="22"/>
      <c r="JIH417" s="22"/>
      <c r="JII417" s="22"/>
      <c r="JIJ417" s="22"/>
      <c r="JIK417" s="22"/>
      <c r="JIL417" s="22"/>
      <c r="JIM417" s="22"/>
      <c r="JIN417" s="22"/>
      <c r="JIO417" s="22"/>
      <c r="JIP417" s="22"/>
      <c r="JIQ417" s="22"/>
      <c r="JIR417" s="22"/>
      <c r="JIS417" s="22"/>
      <c r="JIT417" s="22"/>
      <c r="JIU417" s="22"/>
      <c r="JIV417" s="22"/>
      <c r="JIW417" s="22"/>
      <c r="JIX417" s="22"/>
      <c r="JIY417" s="22"/>
      <c r="JIZ417" s="22"/>
      <c r="JJA417" s="22"/>
      <c r="JJB417" s="22"/>
      <c r="JJC417" s="22"/>
      <c r="JJD417" s="22"/>
      <c r="JJE417" s="22"/>
      <c r="JJF417" s="22"/>
      <c r="JJG417" s="22"/>
      <c r="JJH417" s="22"/>
      <c r="JJI417" s="22"/>
      <c r="JJJ417" s="22"/>
      <c r="JJK417" s="22"/>
      <c r="JJL417" s="22"/>
      <c r="JJM417" s="22"/>
      <c r="JJN417" s="22"/>
      <c r="JJO417" s="22"/>
      <c r="JJP417" s="22"/>
      <c r="JJQ417" s="22"/>
      <c r="JJR417" s="22"/>
      <c r="JJS417" s="22"/>
      <c r="JJT417" s="22"/>
      <c r="JJU417" s="22"/>
      <c r="JJV417" s="22"/>
      <c r="JJW417" s="22"/>
      <c r="JJX417" s="22"/>
      <c r="JJY417" s="22"/>
      <c r="JJZ417" s="22"/>
      <c r="JKA417" s="22"/>
      <c r="JKB417" s="22"/>
      <c r="JKC417" s="22"/>
      <c r="JKD417" s="22"/>
      <c r="JKE417" s="22"/>
      <c r="JKF417" s="22"/>
      <c r="JKG417" s="22"/>
      <c r="JKH417" s="22"/>
      <c r="JKI417" s="22"/>
      <c r="JKJ417" s="22"/>
      <c r="JKK417" s="22"/>
      <c r="JKL417" s="22"/>
      <c r="JKM417" s="22"/>
      <c r="JKN417" s="22"/>
      <c r="JKO417" s="22"/>
      <c r="JKP417" s="22"/>
      <c r="JKQ417" s="22"/>
      <c r="JKR417" s="22"/>
      <c r="JKS417" s="22"/>
      <c r="JKT417" s="22"/>
      <c r="JKU417" s="22"/>
      <c r="JKV417" s="22"/>
      <c r="JKW417" s="22"/>
      <c r="JKX417" s="22"/>
      <c r="JKY417" s="22"/>
      <c r="JKZ417" s="22"/>
      <c r="JLA417" s="22"/>
      <c r="JLB417" s="22"/>
      <c r="JLC417" s="22"/>
      <c r="JLD417" s="22"/>
      <c r="JLE417" s="22"/>
      <c r="JLF417" s="22"/>
      <c r="JLG417" s="22"/>
      <c r="JLH417" s="22"/>
      <c r="JLI417" s="22"/>
      <c r="JLJ417" s="22"/>
      <c r="JLK417" s="22"/>
      <c r="JLL417" s="22"/>
      <c r="JLM417" s="22"/>
      <c r="JLN417" s="22"/>
      <c r="JLO417" s="22"/>
      <c r="JLP417" s="22"/>
      <c r="JLQ417" s="22"/>
      <c r="JLR417" s="22"/>
      <c r="JLS417" s="22"/>
      <c r="JLT417" s="22"/>
      <c r="JLU417" s="22"/>
      <c r="JLV417" s="22"/>
      <c r="JLW417" s="22"/>
      <c r="JLX417" s="22"/>
      <c r="JLY417" s="22"/>
      <c r="JLZ417" s="22"/>
      <c r="JMA417" s="22"/>
      <c r="JMB417" s="22"/>
      <c r="JMC417" s="22"/>
      <c r="JMD417" s="22"/>
      <c r="JME417" s="22"/>
      <c r="JMF417" s="22"/>
      <c r="JMG417" s="22"/>
      <c r="JMH417" s="22"/>
      <c r="JMI417" s="22"/>
      <c r="JMJ417" s="22"/>
      <c r="JMK417" s="22"/>
      <c r="JML417" s="22"/>
      <c r="JMM417" s="22"/>
      <c r="JMN417" s="22"/>
      <c r="JMO417" s="22"/>
      <c r="JMP417" s="22"/>
      <c r="JMQ417" s="22"/>
      <c r="JMR417" s="22"/>
      <c r="JMS417" s="22"/>
      <c r="JMT417" s="22"/>
      <c r="JMU417" s="22"/>
      <c r="JMV417" s="22"/>
      <c r="JMW417" s="22"/>
      <c r="JMX417" s="22"/>
      <c r="JMY417" s="22"/>
      <c r="JMZ417" s="22"/>
      <c r="JNA417" s="22"/>
      <c r="JNB417" s="22"/>
      <c r="JNC417" s="22"/>
      <c r="JND417" s="22"/>
      <c r="JNE417" s="22"/>
      <c r="JNF417" s="22"/>
      <c r="JNG417" s="22"/>
      <c r="JNH417" s="22"/>
      <c r="JNI417" s="22"/>
      <c r="JNJ417" s="22"/>
      <c r="JNK417" s="22"/>
      <c r="JNL417" s="22"/>
      <c r="JNM417" s="22"/>
      <c r="JNN417" s="22"/>
      <c r="JNO417" s="22"/>
      <c r="JNP417" s="22"/>
      <c r="JNQ417" s="22"/>
      <c r="JNR417" s="22"/>
      <c r="JNS417" s="22"/>
      <c r="JNT417" s="22"/>
      <c r="JNU417" s="22"/>
      <c r="JNV417" s="22"/>
      <c r="JNW417" s="22"/>
      <c r="JNX417" s="22"/>
      <c r="JNY417" s="22"/>
      <c r="JNZ417" s="22"/>
      <c r="JOA417" s="22"/>
      <c r="JOB417" s="22"/>
      <c r="JOC417" s="22"/>
      <c r="JOD417" s="22"/>
      <c r="JOE417" s="22"/>
      <c r="JOF417" s="22"/>
      <c r="JOG417" s="22"/>
      <c r="JOH417" s="22"/>
      <c r="JOI417" s="22"/>
      <c r="JOJ417" s="22"/>
      <c r="JOK417" s="22"/>
      <c r="JOL417" s="22"/>
      <c r="JOM417" s="22"/>
      <c r="JON417" s="22"/>
      <c r="JOO417" s="22"/>
      <c r="JOP417" s="22"/>
      <c r="JOQ417" s="22"/>
      <c r="JOR417" s="22"/>
      <c r="JOS417" s="22"/>
      <c r="JOT417" s="22"/>
      <c r="JOU417" s="22"/>
      <c r="JOV417" s="22"/>
      <c r="JOW417" s="22"/>
      <c r="JOX417" s="22"/>
      <c r="JOY417" s="22"/>
      <c r="JOZ417" s="22"/>
      <c r="JPA417" s="22"/>
      <c r="JPB417" s="22"/>
      <c r="JPC417" s="22"/>
      <c r="JPD417" s="22"/>
      <c r="JPE417" s="22"/>
      <c r="JPF417" s="22"/>
      <c r="JPG417" s="22"/>
      <c r="JPH417" s="22"/>
      <c r="JPI417" s="22"/>
      <c r="JPJ417" s="22"/>
      <c r="JPK417" s="22"/>
      <c r="JPL417" s="22"/>
      <c r="JPM417" s="22"/>
      <c r="JPN417" s="22"/>
      <c r="JPO417" s="22"/>
      <c r="JPP417" s="22"/>
      <c r="JPQ417" s="22"/>
      <c r="JPR417" s="22"/>
      <c r="JPS417" s="22"/>
      <c r="JPT417" s="22"/>
      <c r="JPU417" s="22"/>
      <c r="JPV417" s="22"/>
      <c r="JPW417" s="22"/>
      <c r="JPX417" s="22"/>
      <c r="JPY417" s="22"/>
      <c r="JPZ417" s="22"/>
      <c r="JQA417" s="22"/>
      <c r="JQB417" s="22"/>
      <c r="JQC417" s="22"/>
      <c r="JQD417" s="22"/>
      <c r="JQE417" s="22"/>
      <c r="JQF417" s="22"/>
      <c r="JQG417" s="22"/>
      <c r="JQH417" s="22"/>
      <c r="JQI417" s="22"/>
      <c r="JQJ417" s="22"/>
      <c r="JQK417" s="22"/>
      <c r="JQL417" s="22"/>
      <c r="JQM417" s="22"/>
      <c r="JQN417" s="22"/>
      <c r="JQO417" s="22"/>
      <c r="JQP417" s="22"/>
      <c r="JQQ417" s="22"/>
      <c r="JQR417" s="22"/>
      <c r="JQS417" s="22"/>
      <c r="JQT417" s="22"/>
      <c r="JQU417" s="22"/>
      <c r="JQV417" s="22"/>
      <c r="JQW417" s="22"/>
      <c r="JQX417" s="22"/>
      <c r="JQY417" s="22"/>
      <c r="JQZ417" s="22"/>
      <c r="JRA417" s="22"/>
      <c r="JRB417" s="22"/>
      <c r="JRC417" s="22"/>
      <c r="JRD417" s="22"/>
      <c r="JRE417" s="22"/>
      <c r="JRF417" s="22"/>
      <c r="JRG417" s="22"/>
      <c r="JRH417" s="22"/>
      <c r="JRI417" s="22"/>
      <c r="JRJ417" s="22"/>
      <c r="JRK417" s="22"/>
      <c r="JRL417" s="22"/>
      <c r="JRM417" s="22"/>
      <c r="JRN417" s="22"/>
      <c r="JRO417" s="22"/>
      <c r="JRP417" s="22"/>
      <c r="JRQ417" s="22"/>
      <c r="JRR417" s="22"/>
      <c r="JRS417" s="22"/>
      <c r="JRT417" s="22"/>
      <c r="JRU417" s="22"/>
      <c r="JRV417" s="22"/>
      <c r="JRW417" s="22"/>
      <c r="JRX417" s="22"/>
      <c r="JRY417" s="22"/>
      <c r="JRZ417" s="22"/>
      <c r="JSA417" s="22"/>
      <c r="JSB417" s="22"/>
      <c r="JSC417" s="22"/>
      <c r="JSD417" s="22"/>
      <c r="JSE417" s="22"/>
      <c r="JSF417" s="22"/>
      <c r="JSG417" s="22"/>
      <c r="JSH417" s="22"/>
      <c r="JSI417" s="22"/>
      <c r="JSJ417" s="22"/>
      <c r="JSK417" s="22"/>
      <c r="JSL417" s="22"/>
      <c r="JSM417" s="22"/>
      <c r="JSN417" s="22"/>
      <c r="JSO417" s="22"/>
      <c r="JSP417" s="22"/>
      <c r="JSQ417" s="22"/>
      <c r="JSR417" s="22"/>
      <c r="JSS417" s="22"/>
      <c r="JST417" s="22"/>
      <c r="JSU417" s="22"/>
      <c r="JSV417" s="22"/>
      <c r="JSW417" s="22"/>
      <c r="JSX417" s="22"/>
      <c r="JSY417" s="22"/>
      <c r="JSZ417" s="22"/>
      <c r="JTA417" s="22"/>
      <c r="JTB417" s="22"/>
      <c r="JTC417" s="22"/>
      <c r="JTD417" s="22"/>
      <c r="JTE417" s="22"/>
      <c r="JTF417" s="22"/>
      <c r="JTG417" s="22"/>
      <c r="JTH417" s="22"/>
      <c r="JTI417" s="22"/>
      <c r="JTJ417" s="22"/>
      <c r="JTK417" s="22"/>
      <c r="JTL417" s="22"/>
      <c r="JTM417" s="22"/>
      <c r="JTN417" s="22"/>
      <c r="JTO417" s="22"/>
      <c r="JTP417" s="22"/>
      <c r="JTQ417" s="22"/>
      <c r="JTR417" s="22"/>
      <c r="JTS417" s="22"/>
      <c r="JTT417" s="22"/>
      <c r="JTU417" s="22"/>
      <c r="JTV417" s="22"/>
      <c r="JTW417" s="22"/>
      <c r="JTX417" s="22"/>
      <c r="JTY417" s="22"/>
      <c r="JTZ417" s="22"/>
      <c r="JUA417" s="22"/>
      <c r="JUB417" s="22"/>
      <c r="JUC417" s="22"/>
      <c r="JUD417" s="22"/>
      <c r="JUE417" s="22"/>
      <c r="JUF417" s="22"/>
      <c r="JUG417" s="22"/>
      <c r="JUH417" s="22"/>
      <c r="JUI417" s="22"/>
      <c r="JUJ417" s="22"/>
      <c r="JUK417" s="22"/>
      <c r="JUL417" s="22"/>
      <c r="JUM417" s="22"/>
      <c r="JUN417" s="22"/>
      <c r="JUO417" s="22"/>
      <c r="JUP417" s="22"/>
      <c r="JUQ417" s="22"/>
      <c r="JUR417" s="22"/>
      <c r="JUS417" s="22"/>
      <c r="JUT417" s="22"/>
      <c r="JUU417" s="22"/>
      <c r="JUV417" s="22"/>
      <c r="JUW417" s="22"/>
      <c r="JUX417" s="22"/>
      <c r="JUY417" s="22"/>
      <c r="JUZ417" s="22"/>
      <c r="JVA417" s="22"/>
      <c r="JVB417" s="22"/>
      <c r="JVC417" s="22"/>
      <c r="JVD417" s="22"/>
      <c r="JVE417" s="22"/>
      <c r="JVF417" s="22"/>
      <c r="JVG417" s="22"/>
      <c r="JVH417" s="22"/>
      <c r="JVI417" s="22"/>
      <c r="JVJ417" s="22"/>
      <c r="JVK417" s="22"/>
      <c r="JVL417" s="22"/>
      <c r="JVM417" s="22"/>
      <c r="JVN417" s="22"/>
      <c r="JVO417" s="22"/>
      <c r="JVP417" s="22"/>
      <c r="JVQ417" s="22"/>
      <c r="JVR417" s="22"/>
      <c r="JVS417" s="22"/>
      <c r="JVT417" s="22"/>
      <c r="JVU417" s="22"/>
      <c r="JVV417" s="22"/>
      <c r="JVW417" s="22"/>
      <c r="JVX417" s="22"/>
      <c r="JVY417" s="22"/>
      <c r="JVZ417" s="22"/>
      <c r="JWA417" s="22"/>
      <c r="JWB417" s="22"/>
      <c r="JWC417" s="22"/>
      <c r="JWD417" s="22"/>
      <c r="JWE417" s="22"/>
      <c r="JWF417" s="22"/>
      <c r="JWG417" s="22"/>
      <c r="JWH417" s="22"/>
      <c r="JWI417" s="22"/>
      <c r="JWJ417" s="22"/>
      <c r="JWK417" s="22"/>
      <c r="JWL417" s="22"/>
      <c r="JWM417" s="22"/>
      <c r="JWN417" s="22"/>
      <c r="JWO417" s="22"/>
      <c r="JWP417" s="22"/>
      <c r="JWQ417" s="22"/>
      <c r="JWR417" s="22"/>
      <c r="JWS417" s="22"/>
      <c r="JWT417" s="22"/>
      <c r="JWU417" s="22"/>
      <c r="JWV417" s="22"/>
      <c r="JWW417" s="22"/>
      <c r="JWX417" s="22"/>
      <c r="JWY417" s="22"/>
      <c r="JWZ417" s="22"/>
      <c r="JXA417" s="22"/>
      <c r="JXB417" s="22"/>
      <c r="JXC417" s="22"/>
      <c r="JXD417" s="22"/>
      <c r="JXE417" s="22"/>
      <c r="JXF417" s="22"/>
      <c r="JXG417" s="22"/>
      <c r="JXH417" s="22"/>
      <c r="JXI417" s="22"/>
      <c r="JXJ417" s="22"/>
      <c r="JXK417" s="22"/>
      <c r="JXL417" s="22"/>
      <c r="JXM417" s="22"/>
      <c r="JXN417" s="22"/>
      <c r="JXO417" s="22"/>
      <c r="JXP417" s="22"/>
      <c r="JXQ417" s="22"/>
      <c r="JXR417" s="22"/>
      <c r="JXS417" s="22"/>
      <c r="JXT417" s="22"/>
      <c r="JXU417" s="22"/>
      <c r="JXV417" s="22"/>
      <c r="JXW417" s="22"/>
      <c r="JXX417" s="22"/>
      <c r="JXY417" s="22"/>
      <c r="JXZ417" s="22"/>
      <c r="JYA417" s="22"/>
      <c r="JYB417" s="22"/>
      <c r="JYC417" s="22"/>
      <c r="JYD417" s="22"/>
      <c r="JYE417" s="22"/>
      <c r="JYF417" s="22"/>
      <c r="JYG417" s="22"/>
      <c r="JYH417" s="22"/>
      <c r="JYI417" s="22"/>
      <c r="JYJ417" s="22"/>
      <c r="JYK417" s="22"/>
      <c r="JYL417" s="22"/>
      <c r="JYM417" s="22"/>
      <c r="JYN417" s="22"/>
      <c r="JYO417" s="22"/>
      <c r="JYP417" s="22"/>
      <c r="JYQ417" s="22"/>
      <c r="JYR417" s="22"/>
      <c r="JYS417" s="22"/>
      <c r="JYT417" s="22"/>
      <c r="JYU417" s="22"/>
      <c r="JYV417" s="22"/>
      <c r="JYW417" s="22"/>
      <c r="JYX417" s="22"/>
      <c r="JYY417" s="22"/>
      <c r="JYZ417" s="22"/>
      <c r="JZA417" s="22"/>
      <c r="JZB417" s="22"/>
      <c r="JZC417" s="22"/>
      <c r="JZD417" s="22"/>
      <c r="JZE417" s="22"/>
      <c r="JZF417" s="22"/>
      <c r="JZG417" s="22"/>
      <c r="JZH417" s="22"/>
      <c r="JZI417" s="22"/>
      <c r="JZJ417" s="22"/>
      <c r="JZK417" s="22"/>
      <c r="JZL417" s="22"/>
      <c r="JZM417" s="22"/>
      <c r="JZN417" s="22"/>
      <c r="JZO417" s="22"/>
      <c r="JZP417" s="22"/>
      <c r="JZQ417" s="22"/>
      <c r="JZR417" s="22"/>
      <c r="JZS417" s="22"/>
      <c r="JZT417" s="22"/>
      <c r="JZU417" s="22"/>
      <c r="JZV417" s="22"/>
      <c r="JZW417" s="22"/>
      <c r="JZX417" s="22"/>
      <c r="JZY417" s="22"/>
      <c r="JZZ417" s="22"/>
      <c r="KAA417" s="22"/>
      <c r="KAB417" s="22"/>
      <c r="KAC417" s="22"/>
      <c r="KAD417" s="22"/>
      <c r="KAE417" s="22"/>
      <c r="KAF417" s="22"/>
      <c r="KAG417" s="22"/>
      <c r="KAH417" s="22"/>
      <c r="KAI417" s="22"/>
      <c r="KAJ417" s="22"/>
      <c r="KAK417" s="22"/>
      <c r="KAL417" s="22"/>
      <c r="KAM417" s="22"/>
      <c r="KAN417" s="22"/>
      <c r="KAO417" s="22"/>
      <c r="KAP417" s="22"/>
      <c r="KAQ417" s="22"/>
      <c r="KAR417" s="22"/>
      <c r="KAS417" s="22"/>
      <c r="KAT417" s="22"/>
      <c r="KAU417" s="22"/>
      <c r="KAV417" s="22"/>
      <c r="KAW417" s="22"/>
      <c r="KAX417" s="22"/>
      <c r="KAY417" s="22"/>
      <c r="KAZ417" s="22"/>
      <c r="KBA417" s="22"/>
      <c r="KBB417" s="22"/>
      <c r="KBC417" s="22"/>
      <c r="KBD417" s="22"/>
      <c r="KBE417" s="22"/>
      <c r="KBF417" s="22"/>
      <c r="KBG417" s="22"/>
      <c r="KBH417" s="22"/>
      <c r="KBI417" s="22"/>
      <c r="KBJ417" s="22"/>
      <c r="KBK417" s="22"/>
      <c r="KBL417" s="22"/>
      <c r="KBM417" s="22"/>
      <c r="KBN417" s="22"/>
      <c r="KBO417" s="22"/>
      <c r="KBP417" s="22"/>
      <c r="KBQ417" s="22"/>
      <c r="KBR417" s="22"/>
      <c r="KBS417" s="22"/>
      <c r="KBT417" s="22"/>
      <c r="KBU417" s="22"/>
      <c r="KBV417" s="22"/>
      <c r="KBW417" s="22"/>
      <c r="KBX417" s="22"/>
      <c r="KBY417" s="22"/>
      <c r="KBZ417" s="22"/>
      <c r="KCA417" s="22"/>
      <c r="KCB417" s="22"/>
      <c r="KCC417" s="22"/>
      <c r="KCD417" s="22"/>
      <c r="KCE417" s="22"/>
      <c r="KCF417" s="22"/>
      <c r="KCG417" s="22"/>
      <c r="KCH417" s="22"/>
      <c r="KCI417" s="22"/>
      <c r="KCJ417" s="22"/>
      <c r="KCK417" s="22"/>
      <c r="KCL417" s="22"/>
      <c r="KCM417" s="22"/>
      <c r="KCN417" s="22"/>
      <c r="KCO417" s="22"/>
      <c r="KCP417" s="22"/>
      <c r="KCQ417" s="22"/>
      <c r="KCR417" s="22"/>
      <c r="KCS417" s="22"/>
      <c r="KCT417" s="22"/>
      <c r="KCU417" s="22"/>
      <c r="KCV417" s="22"/>
      <c r="KCW417" s="22"/>
      <c r="KCX417" s="22"/>
      <c r="KCY417" s="22"/>
      <c r="KCZ417" s="22"/>
      <c r="KDA417" s="22"/>
      <c r="KDB417" s="22"/>
      <c r="KDC417" s="22"/>
      <c r="KDD417" s="22"/>
      <c r="KDE417" s="22"/>
      <c r="KDF417" s="22"/>
      <c r="KDG417" s="22"/>
      <c r="KDH417" s="22"/>
      <c r="KDI417" s="22"/>
      <c r="KDJ417" s="22"/>
      <c r="KDK417" s="22"/>
      <c r="KDL417" s="22"/>
      <c r="KDM417" s="22"/>
      <c r="KDN417" s="22"/>
      <c r="KDO417" s="22"/>
      <c r="KDP417" s="22"/>
      <c r="KDQ417" s="22"/>
      <c r="KDR417" s="22"/>
      <c r="KDS417" s="22"/>
      <c r="KDT417" s="22"/>
      <c r="KDU417" s="22"/>
      <c r="KDV417" s="22"/>
      <c r="KDW417" s="22"/>
      <c r="KDX417" s="22"/>
      <c r="KDY417" s="22"/>
      <c r="KDZ417" s="22"/>
      <c r="KEA417" s="22"/>
      <c r="KEB417" s="22"/>
      <c r="KEC417" s="22"/>
      <c r="KED417" s="22"/>
      <c r="KEE417" s="22"/>
      <c r="KEF417" s="22"/>
      <c r="KEG417" s="22"/>
      <c r="KEH417" s="22"/>
      <c r="KEI417" s="22"/>
      <c r="KEJ417" s="22"/>
      <c r="KEK417" s="22"/>
      <c r="KEL417" s="22"/>
      <c r="KEM417" s="22"/>
      <c r="KEN417" s="22"/>
      <c r="KEO417" s="22"/>
      <c r="KEP417" s="22"/>
      <c r="KEQ417" s="22"/>
      <c r="KER417" s="22"/>
      <c r="KES417" s="22"/>
      <c r="KET417" s="22"/>
      <c r="KEU417" s="22"/>
      <c r="KEV417" s="22"/>
      <c r="KEW417" s="22"/>
      <c r="KEX417" s="22"/>
      <c r="KEY417" s="22"/>
      <c r="KEZ417" s="22"/>
      <c r="KFA417" s="22"/>
      <c r="KFB417" s="22"/>
      <c r="KFC417" s="22"/>
      <c r="KFD417" s="22"/>
      <c r="KFE417" s="22"/>
      <c r="KFF417" s="22"/>
      <c r="KFG417" s="22"/>
      <c r="KFH417" s="22"/>
      <c r="KFI417" s="22"/>
      <c r="KFJ417" s="22"/>
      <c r="KFK417" s="22"/>
      <c r="KFL417" s="22"/>
      <c r="KFM417" s="22"/>
      <c r="KFN417" s="22"/>
      <c r="KFO417" s="22"/>
      <c r="KFP417" s="22"/>
      <c r="KFQ417" s="22"/>
      <c r="KFR417" s="22"/>
      <c r="KFS417" s="22"/>
      <c r="KFT417" s="22"/>
      <c r="KFU417" s="22"/>
      <c r="KFV417" s="22"/>
      <c r="KFW417" s="22"/>
      <c r="KFX417" s="22"/>
      <c r="KFY417" s="22"/>
      <c r="KFZ417" s="22"/>
      <c r="KGA417" s="22"/>
      <c r="KGB417" s="22"/>
      <c r="KGC417" s="22"/>
      <c r="KGD417" s="22"/>
      <c r="KGE417" s="22"/>
      <c r="KGF417" s="22"/>
      <c r="KGG417" s="22"/>
      <c r="KGH417" s="22"/>
      <c r="KGI417" s="22"/>
      <c r="KGJ417" s="22"/>
      <c r="KGK417" s="22"/>
      <c r="KGL417" s="22"/>
      <c r="KGM417" s="22"/>
      <c r="KGN417" s="22"/>
      <c r="KGO417" s="22"/>
      <c r="KGP417" s="22"/>
      <c r="KGQ417" s="22"/>
      <c r="KGR417" s="22"/>
      <c r="KGS417" s="22"/>
      <c r="KGT417" s="22"/>
      <c r="KGU417" s="22"/>
      <c r="KGV417" s="22"/>
      <c r="KGW417" s="22"/>
      <c r="KGX417" s="22"/>
      <c r="KGY417" s="22"/>
      <c r="KGZ417" s="22"/>
      <c r="KHA417" s="22"/>
      <c r="KHB417" s="22"/>
      <c r="KHC417" s="22"/>
      <c r="KHD417" s="22"/>
      <c r="KHE417" s="22"/>
      <c r="KHF417" s="22"/>
      <c r="KHG417" s="22"/>
      <c r="KHH417" s="22"/>
      <c r="KHI417" s="22"/>
      <c r="KHJ417" s="22"/>
      <c r="KHK417" s="22"/>
      <c r="KHL417" s="22"/>
      <c r="KHM417" s="22"/>
      <c r="KHN417" s="22"/>
      <c r="KHO417" s="22"/>
      <c r="KHP417" s="22"/>
      <c r="KHQ417" s="22"/>
      <c r="KHR417" s="22"/>
      <c r="KHS417" s="22"/>
      <c r="KHT417" s="22"/>
      <c r="KHU417" s="22"/>
      <c r="KHV417" s="22"/>
      <c r="KHW417" s="22"/>
      <c r="KHX417" s="22"/>
      <c r="KHY417" s="22"/>
      <c r="KHZ417" s="22"/>
      <c r="KIA417" s="22"/>
      <c r="KIB417" s="22"/>
      <c r="KIC417" s="22"/>
      <c r="KID417" s="22"/>
      <c r="KIE417" s="22"/>
      <c r="KIF417" s="22"/>
      <c r="KIG417" s="22"/>
      <c r="KIH417" s="22"/>
      <c r="KII417" s="22"/>
      <c r="KIJ417" s="22"/>
      <c r="KIK417" s="22"/>
      <c r="KIL417" s="22"/>
      <c r="KIM417" s="22"/>
      <c r="KIN417" s="22"/>
      <c r="KIO417" s="22"/>
      <c r="KIP417" s="22"/>
      <c r="KIQ417" s="22"/>
      <c r="KIR417" s="22"/>
      <c r="KIS417" s="22"/>
      <c r="KIT417" s="22"/>
      <c r="KIU417" s="22"/>
      <c r="KIV417" s="22"/>
      <c r="KIW417" s="22"/>
      <c r="KIX417" s="22"/>
      <c r="KIY417" s="22"/>
      <c r="KIZ417" s="22"/>
      <c r="KJA417" s="22"/>
      <c r="KJB417" s="22"/>
      <c r="KJC417" s="22"/>
      <c r="KJD417" s="22"/>
      <c r="KJE417" s="22"/>
      <c r="KJF417" s="22"/>
      <c r="KJG417" s="22"/>
      <c r="KJH417" s="22"/>
      <c r="KJI417" s="22"/>
      <c r="KJJ417" s="22"/>
      <c r="KJK417" s="22"/>
      <c r="KJL417" s="22"/>
      <c r="KJM417" s="22"/>
      <c r="KJN417" s="22"/>
      <c r="KJO417" s="22"/>
      <c r="KJP417" s="22"/>
      <c r="KJQ417" s="22"/>
      <c r="KJR417" s="22"/>
      <c r="KJS417" s="22"/>
      <c r="KJT417" s="22"/>
      <c r="KJU417" s="22"/>
      <c r="KJV417" s="22"/>
      <c r="KJW417" s="22"/>
      <c r="KJX417" s="22"/>
      <c r="KJY417" s="22"/>
      <c r="KJZ417" s="22"/>
      <c r="KKA417" s="22"/>
      <c r="KKB417" s="22"/>
      <c r="KKC417" s="22"/>
      <c r="KKD417" s="22"/>
      <c r="KKE417" s="22"/>
      <c r="KKF417" s="22"/>
      <c r="KKG417" s="22"/>
      <c r="KKH417" s="22"/>
      <c r="KKI417" s="22"/>
      <c r="KKJ417" s="22"/>
      <c r="KKK417" s="22"/>
      <c r="KKL417" s="22"/>
      <c r="KKM417" s="22"/>
      <c r="KKN417" s="22"/>
      <c r="KKO417" s="22"/>
      <c r="KKP417" s="22"/>
      <c r="KKQ417" s="22"/>
      <c r="KKR417" s="22"/>
      <c r="KKS417" s="22"/>
      <c r="KKT417" s="22"/>
      <c r="KKU417" s="22"/>
      <c r="KKV417" s="22"/>
      <c r="KKW417" s="22"/>
      <c r="KKX417" s="22"/>
      <c r="KKY417" s="22"/>
      <c r="KKZ417" s="22"/>
      <c r="KLA417" s="22"/>
      <c r="KLB417" s="22"/>
      <c r="KLC417" s="22"/>
      <c r="KLD417" s="22"/>
      <c r="KLE417" s="22"/>
      <c r="KLF417" s="22"/>
      <c r="KLG417" s="22"/>
      <c r="KLH417" s="22"/>
      <c r="KLI417" s="22"/>
      <c r="KLJ417" s="22"/>
      <c r="KLK417" s="22"/>
      <c r="KLL417" s="22"/>
      <c r="KLM417" s="22"/>
      <c r="KLN417" s="22"/>
      <c r="KLO417" s="22"/>
      <c r="KLP417" s="22"/>
      <c r="KLQ417" s="22"/>
      <c r="KLR417" s="22"/>
      <c r="KLS417" s="22"/>
      <c r="KLT417" s="22"/>
      <c r="KLU417" s="22"/>
      <c r="KLV417" s="22"/>
      <c r="KLW417" s="22"/>
      <c r="KLX417" s="22"/>
      <c r="KLY417" s="22"/>
      <c r="KLZ417" s="22"/>
      <c r="KMA417" s="22"/>
      <c r="KMB417" s="22"/>
      <c r="KMC417" s="22"/>
      <c r="KMD417" s="22"/>
      <c r="KME417" s="22"/>
      <c r="KMF417" s="22"/>
      <c r="KMG417" s="22"/>
      <c r="KMH417" s="22"/>
      <c r="KMI417" s="22"/>
      <c r="KMJ417" s="22"/>
      <c r="KMK417" s="22"/>
      <c r="KML417" s="22"/>
      <c r="KMM417" s="22"/>
      <c r="KMN417" s="22"/>
      <c r="KMO417" s="22"/>
      <c r="KMP417" s="22"/>
      <c r="KMQ417" s="22"/>
      <c r="KMR417" s="22"/>
      <c r="KMS417" s="22"/>
      <c r="KMT417" s="22"/>
      <c r="KMU417" s="22"/>
      <c r="KMV417" s="22"/>
      <c r="KMW417" s="22"/>
      <c r="KMX417" s="22"/>
      <c r="KMY417" s="22"/>
      <c r="KMZ417" s="22"/>
      <c r="KNA417" s="22"/>
      <c r="KNB417" s="22"/>
      <c r="KNC417" s="22"/>
      <c r="KND417" s="22"/>
      <c r="KNE417" s="22"/>
      <c r="KNF417" s="22"/>
      <c r="KNG417" s="22"/>
      <c r="KNH417" s="22"/>
      <c r="KNI417" s="22"/>
      <c r="KNJ417" s="22"/>
      <c r="KNK417" s="22"/>
      <c r="KNL417" s="22"/>
      <c r="KNM417" s="22"/>
      <c r="KNN417" s="22"/>
      <c r="KNO417" s="22"/>
      <c r="KNP417" s="22"/>
      <c r="KNQ417" s="22"/>
      <c r="KNR417" s="22"/>
      <c r="KNS417" s="22"/>
      <c r="KNT417" s="22"/>
      <c r="KNU417" s="22"/>
      <c r="KNV417" s="22"/>
      <c r="KNW417" s="22"/>
      <c r="KNX417" s="22"/>
      <c r="KNY417" s="22"/>
      <c r="KNZ417" s="22"/>
      <c r="KOA417" s="22"/>
      <c r="KOB417" s="22"/>
      <c r="KOC417" s="22"/>
      <c r="KOD417" s="22"/>
      <c r="KOE417" s="22"/>
      <c r="KOF417" s="22"/>
      <c r="KOG417" s="22"/>
      <c r="KOH417" s="22"/>
      <c r="KOI417" s="22"/>
      <c r="KOJ417" s="22"/>
      <c r="KOK417" s="22"/>
      <c r="KOL417" s="22"/>
      <c r="KOM417" s="22"/>
      <c r="KON417" s="22"/>
      <c r="KOO417" s="22"/>
      <c r="KOP417" s="22"/>
      <c r="KOQ417" s="22"/>
      <c r="KOR417" s="22"/>
      <c r="KOS417" s="22"/>
      <c r="KOT417" s="22"/>
      <c r="KOU417" s="22"/>
      <c r="KOV417" s="22"/>
      <c r="KOW417" s="22"/>
      <c r="KOX417" s="22"/>
      <c r="KOY417" s="22"/>
      <c r="KOZ417" s="22"/>
      <c r="KPA417" s="22"/>
      <c r="KPB417" s="22"/>
      <c r="KPC417" s="22"/>
      <c r="KPD417" s="22"/>
      <c r="KPE417" s="22"/>
      <c r="KPF417" s="22"/>
      <c r="KPG417" s="22"/>
      <c r="KPH417" s="22"/>
      <c r="KPI417" s="22"/>
      <c r="KPJ417" s="22"/>
      <c r="KPK417" s="22"/>
      <c r="KPL417" s="22"/>
      <c r="KPM417" s="22"/>
      <c r="KPN417" s="22"/>
      <c r="KPO417" s="22"/>
      <c r="KPP417" s="22"/>
      <c r="KPQ417" s="22"/>
      <c r="KPR417" s="22"/>
      <c r="KPS417" s="22"/>
      <c r="KPT417" s="22"/>
      <c r="KPU417" s="22"/>
      <c r="KPV417" s="22"/>
      <c r="KPW417" s="22"/>
      <c r="KPX417" s="22"/>
      <c r="KPY417" s="22"/>
      <c r="KPZ417" s="22"/>
      <c r="KQA417" s="22"/>
      <c r="KQB417" s="22"/>
      <c r="KQC417" s="22"/>
      <c r="KQD417" s="22"/>
      <c r="KQE417" s="22"/>
      <c r="KQF417" s="22"/>
      <c r="KQG417" s="22"/>
      <c r="KQH417" s="22"/>
      <c r="KQI417" s="22"/>
      <c r="KQJ417" s="22"/>
      <c r="KQK417" s="22"/>
      <c r="KQL417" s="22"/>
      <c r="KQM417" s="22"/>
      <c r="KQN417" s="22"/>
      <c r="KQO417" s="22"/>
      <c r="KQP417" s="22"/>
      <c r="KQQ417" s="22"/>
      <c r="KQR417" s="22"/>
      <c r="KQS417" s="22"/>
      <c r="KQT417" s="22"/>
      <c r="KQU417" s="22"/>
      <c r="KQV417" s="22"/>
      <c r="KQW417" s="22"/>
      <c r="KQX417" s="22"/>
      <c r="KQY417" s="22"/>
      <c r="KQZ417" s="22"/>
      <c r="KRA417" s="22"/>
      <c r="KRB417" s="22"/>
      <c r="KRC417" s="22"/>
      <c r="KRD417" s="22"/>
      <c r="KRE417" s="22"/>
      <c r="KRF417" s="22"/>
      <c r="KRG417" s="22"/>
      <c r="KRH417" s="22"/>
      <c r="KRI417" s="22"/>
      <c r="KRJ417" s="22"/>
      <c r="KRK417" s="22"/>
      <c r="KRL417" s="22"/>
      <c r="KRM417" s="22"/>
      <c r="KRN417" s="22"/>
      <c r="KRO417" s="22"/>
      <c r="KRP417" s="22"/>
      <c r="KRQ417" s="22"/>
      <c r="KRR417" s="22"/>
      <c r="KRS417" s="22"/>
      <c r="KRT417" s="22"/>
      <c r="KRU417" s="22"/>
      <c r="KRV417" s="22"/>
      <c r="KRW417" s="22"/>
      <c r="KRX417" s="22"/>
      <c r="KRY417" s="22"/>
      <c r="KRZ417" s="22"/>
      <c r="KSA417" s="22"/>
      <c r="KSB417" s="22"/>
      <c r="KSC417" s="22"/>
      <c r="KSD417" s="22"/>
      <c r="KSE417" s="22"/>
      <c r="KSF417" s="22"/>
      <c r="KSG417" s="22"/>
      <c r="KSH417" s="22"/>
      <c r="KSI417" s="22"/>
      <c r="KSJ417" s="22"/>
      <c r="KSK417" s="22"/>
      <c r="KSL417" s="22"/>
      <c r="KSM417" s="22"/>
      <c r="KSN417" s="22"/>
      <c r="KSO417" s="22"/>
      <c r="KSP417" s="22"/>
      <c r="KSQ417" s="22"/>
      <c r="KSR417" s="22"/>
      <c r="KSS417" s="22"/>
      <c r="KST417" s="22"/>
      <c r="KSU417" s="22"/>
      <c r="KSV417" s="22"/>
      <c r="KSW417" s="22"/>
      <c r="KSX417" s="22"/>
      <c r="KSY417" s="22"/>
      <c r="KSZ417" s="22"/>
      <c r="KTA417" s="22"/>
      <c r="KTB417" s="22"/>
      <c r="KTC417" s="22"/>
      <c r="KTD417" s="22"/>
      <c r="KTE417" s="22"/>
      <c r="KTF417" s="22"/>
      <c r="KTG417" s="22"/>
      <c r="KTH417" s="22"/>
      <c r="KTI417" s="22"/>
      <c r="KTJ417" s="22"/>
      <c r="KTK417" s="22"/>
      <c r="KTL417" s="22"/>
      <c r="KTM417" s="22"/>
      <c r="KTN417" s="22"/>
      <c r="KTO417" s="22"/>
      <c r="KTP417" s="22"/>
      <c r="KTQ417" s="22"/>
      <c r="KTR417" s="22"/>
      <c r="KTS417" s="22"/>
      <c r="KTT417" s="22"/>
      <c r="KTU417" s="22"/>
      <c r="KTV417" s="22"/>
      <c r="KTW417" s="22"/>
      <c r="KTX417" s="22"/>
      <c r="KTY417" s="22"/>
      <c r="KTZ417" s="22"/>
      <c r="KUA417" s="22"/>
      <c r="KUB417" s="22"/>
      <c r="KUC417" s="22"/>
      <c r="KUD417" s="22"/>
      <c r="KUE417" s="22"/>
      <c r="KUF417" s="22"/>
      <c r="KUG417" s="22"/>
      <c r="KUH417" s="22"/>
      <c r="KUI417" s="22"/>
      <c r="KUJ417" s="22"/>
      <c r="KUK417" s="22"/>
      <c r="KUL417" s="22"/>
      <c r="KUM417" s="22"/>
      <c r="KUN417" s="22"/>
      <c r="KUO417" s="22"/>
      <c r="KUP417" s="22"/>
      <c r="KUQ417" s="22"/>
      <c r="KUR417" s="22"/>
      <c r="KUS417" s="22"/>
      <c r="KUT417" s="22"/>
      <c r="KUU417" s="22"/>
      <c r="KUV417" s="22"/>
      <c r="KUW417" s="22"/>
      <c r="KUX417" s="22"/>
      <c r="KUY417" s="22"/>
      <c r="KUZ417" s="22"/>
      <c r="KVA417" s="22"/>
      <c r="KVB417" s="22"/>
      <c r="KVC417" s="22"/>
      <c r="KVD417" s="22"/>
      <c r="KVE417" s="22"/>
      <c r="KVF417" s="22"/>
      <c r="KVG417" s="22"/>
      <c r="KVH417" s="22"/>
      <c r="KVI417" s="22"/>
      <c r="KVJ417" s="22"/>
      <c r="KVK417" s="22"/>
      <c r="KVL417" s="22"/>
      <c r="KVM417" s="22"/>
      <c r="KVN417" s="22"/>
      <c r="KVO417" s="22"/>
      <c r="KVP417" s="22"/>
      <c r="KVQ417" s="22"/>
      <c r="KVR417" s="22"/>
      <c r="KVS417" s="22"/>
      <c r="KVT417" s="22"/>
      <c r="KVU417" s="22"/>
      <c r="KVV417" s="22"/>
      <c r="KVW417" s="22"/>
      <c r="KVX417" s="22"/>
      <c r="KVY417" s="22"/>
      <c r="KVZ417" s="22"/>
      <c r="KWA417" s="22"/>
      <c r="KWB417" s="22"/>
      <c r="KWC417" s="22"/>
      <c r="KWD417" s="22"/>
      <c r="KWE417" s="22"/>
      <c r="KWF417" s="22"/>
      <c r="KWG417" s="22"/>
      <c r="KWH417" s="22"/>
      <c r="KWI417" s="22"/>
      <c r="KWJ417" s="22"/>
      <c r="KWK417" s="22"/>
      <c r="KWL417" s="22"/>
      <c r="KWM417" s="22"/>
      <c r="KWN417" s="22"/>
      <c r="KWO417" s="22"/>
      <c r="KWP417" s="22"/>
      <c r="KWQ417" s="22"/>
      <c r="KWR417" s="22"/>
      <c r="KWS417" s="22"/>
      <c r="KWT417" s="22"/>
      <c r="KWU417" s="22"/>
      <c r="KWV417" s="22"/>
      <c r="KWW417" s="22"/>
      <c r="KWX417" s="22"/>
      <c r="KWY417" s="22"/>
      <c r="KWZ417" s="22"/>
      <c r="KXA417" s="22"/>
      <c r="KXB417" s="22"/>
      <c r="KXC417" s="22"/>
      <c r="KXD417" s="22"/>
      <c r="KXE417" s="22"/>
      <c r="KXF417" s="22"/>
      <c r="KXG417" s="22"/>
      <c r="KXH417" s="22"/>
      <c r="KXI417" s="22"/>
      <c r="KXJ417" s="22"/>
      <c r="KXK417" s="22"/>
      <c r="KXL417" s="22"/>
      <c r="KXM417" s="22"/>
      <c r="KXN417" s="22"/>
      <c r="KXO417" s="22"/>
      <c r="KXP417" s="22"/>
      <c r="KXQ417" s="22"/>
      <c r="KXR417" s="22"/>
      <c r="KXS417" s="22"/>
      <c r="KXT417" s="22"/>
      <c r="KXU417" s="22"/>
      <c r="KXV417" s="22"/>
      <c r="KXW417" s="22"/>
      <c r="KXX417" s="22"/>
      <c r="KXY417" s="22"/>
      <c r="KXZ417" s="22"/>
      <c r="KYA417" s="22"/>
      <c r="KYB417" s="22"/>
      <c r="KYC417" s="22"/>
      <c r="KYD417" s="22"/>
      <c r="KYE417" s="22"/>
      <c r="KYF417" s="22"/>
      <c r="KYG417" s="22"/>
      <c r="KYH417" s="22"/>
      <c r="KYI417" s="22"/>
      <c r="KYJ417" s="22"/>
      <c r="KYK417" s="22"/>
      <c r="KYL417" s="22"/>
      <c r="KYM417" s="22"/>
      <c r="KYN417" s="22"/>
      <c r="KYO417" s="22"/>
      <c r="KYP417" s="22"/>
      <c r="KYQ417" s="22"/>
      <c r="KYR417" s="22"/>
      <c r="KYS417" s="22"/>
      <c r="KYT417" s="22"/>
      <c r="KYU417" s="22"/>
      <c r="KYV417" s="22"/>
      <c r="KYW417" s="22"/>
      <c r="KYX417" s="22"/>
      <c r="KYY417" s="22"/>
      <c r="KYZ417" s="22"/>
      <c r="KZA417" s="22"/>
      <c r="KZB417" s="22"/>
      <c r="KZC417" s="22"/>
      <c r="KZD417" s="22"/>
      <c r="KZE417" s="22"/>
      <c r="KZF417" s="22"/>
      <c r="KZG417" s="22"/>
      <c r="KZH417" s="22"/>
      <c r="KZI417" s="22"/>
      <c r="KZJ417" s="22"/>
      <c r="KZK417" s="22"/>
      <c r="KZL417" s="22"/>
      <c r="KZM417" s="22"/>
      <c r="KZN417" s="22"/>
      <c r="KZO417" s="22"/>
      <c r="KZP417" s="22"/>
      <c r="KZQ417" s="22"/>
      <c r="KZR417" s="22"/>
      <c r="KZS417" s="22"/>
      <c r="KZT417" s="22"/>
      <c r="KZU417" s="22"/>
      <c r="KZV417" s="22"/>
      <c r="KZW417" s="22"/>
      <c r="KZX417" s="22"/>
      <c r="KZY417" s="22"/>
      <c r="KZZ417" s="22"/>
      <c r="LAA417" s="22"/>
      <c r="LAB417" s="22"/>
      <c r="LAC417" s="22"/>
      <c r="LAD417" s="22"/>
      <c r="LAE417" s="22"/>
      <c r="LAF417" s="22"/>
      <c r="LAG417" s="22"/>
      <c r="LAH417" s="22"/>
      <c r="LAI417" s="22"/>
      <c r="LAJ417" s="22"/>
      <c r="LAK417" s="22"/>
      <c r="LAL417" s="22"/>
      <c r="LAM417" s="22"/>
      <c r="LAN417" s="22"/>
      <c r="LAO417" s="22"/>
      <c r="LAP417" s="22"/>
      <c r="LAQ417" s="22"/>
      <c r="LAR417" s="22"/>
      <c r="LAS417" s="22"/>
      <c r="LAT417" s="22"/>
      <c r="LAU417" s="22"/>
      <c r="LAV417" s="22"/>
      <c r="LAW417" s="22"/>
      <c r="LAX417" s="22"/>
      <c r="LAY417" s="22"/>
      <c r="LAZ417" s="22"/>
      <c r="LBA417" s="22"/>
      <c r="LBB417" s="22"/>
      <c r="LBC417" s="22"/>
      <c r="LBD417" s="22"/>
      <c r="LBE417" s="22"/>
      <c r="LBF417" s="22"/>
      <c r="LBG417" s="22"/>
      <c r="LBH417" s="22"/>
      <c r="LBI417" s="22"/>
      <c r="LBJ417" s="22"/>
      <c r="LBK417" s="22"/>
      <c r="LBL417" s="22"/>
      <c r="LBM417" s="22"/>
      <c r="LBN417" s="22"/>
      <c r="LBO417" s="22"/>
      <c r="LBP417" s="22"/>
      <c r="LBQ417" s="22"/>
      <c r="LBR417" s="22"/>
      <c r="LBS417" s="22"/>
      <c r="LBT417" s="22"/>
      <c r="LBU417" s="22"/>
      <c r="LBV417" s="22"/>
      <c r="LBW417" s="22"/>
      <c r="LBX417" s="22"/>
      <c r="LBY417" s="22"/>
      <c r="LBZ417" s="22"/>
      <c r="LCA417" s="22"/>
      <c r="LCB417" s="22"/>
      <c r="LCC417" s="22"/>
      <c r="LCD417" s="22"/>
      <c r="LCE417" s="22"/>
      <c r="LCF417" s="22"/>
      <c r="LCG417" s="22"/>
      <c r="LCH417" s="22"/>
      <c r="LCI417" s="22"/>
      <c r="LCJ417" s="22"/>
      <c r="LCK417" s="22"/>
      <c r="LCL417" s="22"/>
      <c r="LCM417" s="22"/>
      <c r="LCN417" s="22"/>
      <c r="LCO417" s="22"/>
      <c r="LCP417" s="22"/>
      <c r="LCQ417" s="22"/>
      <c r="LCR417" s="22"/>
      <c r="LCS417" s="22"/>
      <c r="LCT417" s="22"/>
      <c r="LCU417" s="22"/>
      <c r="LCV417" s="22"/>
      <c r="LCW417" s="22"/>
      <c r="LCX417" s="22"/>
      <c r="LCY417" s="22"/>
      <c r="LCZ417" s="22"/>
      <c r="LDA417" s="22"/>
      <c r="LDB417" s="22"/>
      <c r="LDC417" s="22"/>
      <c r="LDD417" s="22"/>
      <c r="LDE417" s="22"/>
      <c r="LDF417" s="22"/>
      <c r="LDG417" s="22"/>
      <c r="LDH417" s="22"/>
      <c r="LDI417" s="22"/>
      <c r="LDJ417" s="22"/>
      <c r="LDK417" s="22"/>
      <c r="LDL417" s="22"/>
      <c r="LDM417" s="22"/>
      <c r="LDN417" s="22"/>
      <c r="LDO417" s="22"/>
      <c r="LDP417" s="22"/>
      <c r="LDQ417" s="22"/>
      <c r="LDR417" s="22"/>
      <c r="LDS417" s="22"/>
      <c r="LDT417" s="22"/>
      <c r="LDU417" s="22"/>
      <c r="LDV417" s="22"/>
      <c r="LDW417" s="22"/>
      <c r="LDX417" s="22"/>
      <c r="LDY417" s="22"/>
      <c r="LDZ417" s="22"/>
      <c r="LEA417" s="22"/>
      <c r="LEB417" s="22"/>
      <c r="LEC417" s="22"/>
      <c r="LED417" s="22"/>
      <c r="LEE417" s="22"/>
      <c r="LEF417" s="22"/>
      <c r="LEG417" s="22"/>
      <c r="LEH417" s="22"/>
      <c r="LEI417" s="22"/>
      <c r="LEJ417" s="22"/>
      <c r="LEK417" s="22"/>
      <c r="LEL417" s="22"/>
      <c r="LEM417" s="22"/>
      <c r="LEN417" s="22"/>
      <c r="LEO417" s="22"/>
      <c r="LEP417" s="22"/>
      <c r="LEQ417" s="22"/>
      <c r="LER417" s="22"/>
      <c r="LES417" s="22"/>
      <c r="LET417" s="22"/>
      <c r="LEU417" s="22"/>
      <c r="LEV417" s="22"/>
      <c r="LEW417" s="22"/>
      <c r="LEX417" s="22"/>
      <c r="LEY417" s="22"/>
      <c r="LEZ417" s="22"/>
      <c r="LFA417" s="22"/>
      <c r="LFB417" s="22"/>
      <c r="LFC417" s="22"/>
      <c r="LFD417" s="22"/>
      <c r="LFE417" s="22"/>
      <c r="LFF417" s="22"/>
      <c r="LFG417" s="22"/>
      <c r="LFH417" s="22"/>
      <c r="LFI417" s="22"/>
      <c r="LFJ417" s="22"/>
      <c r="LFK417" s="22"/>
      <c r="LFL417" s="22"/>
      <c r="LFM417" s="22"/>
      <c r="LFN417" s="22"/>
      <c r="LFO417" s="22"/>
      <c r="LFP417" s="22"/>
      <c r="LFQ417" s="22"/>
      <c r="LFR417" s="22"/>
      <c r="LFS417" s="22"/>
      <c r="LFT417" s="22"/>
      <c r="LFU417" s="22"/>
      <c r="LFV417" s="22"/>
      <c r="LFW417" s="22"/>
      <c r="LFX417" s="22"/>
      <c r="LFY417" s="22"/>
      <c r="LFZ417" s="22"/>
      <c r="LGA417" s="22"/>
      <c r="LGB417" s="22"/>
      <c r="LGC417" s="22"/>
      <c r="LGD417" s="22"/>
      <c r="LGE417" s="22"/>
      <c r="LGF417" s="22"/>
      <c r="LGG417" s="22"/>
      <c r="LGH417" s="22"/>
      <c r="LGI417" s="22"/>
      <c r="LGJ417" s="22"/>
      <c r="LGK417" s="22"/>
      <c r="LGL417" s="22"/>
      <c r="LGM417" s="22"/>
      <c r="LGN417" s="22"/>
      <c r="LGO417" s="22"/>
      <c r="LGP417" s="22"/>
      <c r="LGQ417" s="22"/>
      <c r="LGR417" s="22"/>
      <c r="LGS417" s="22"/>
      <c r="LGT417" s="22"/>
      <c r="LGU417" s="22"/>
      <c r="LGV417" s="22"/>
      <c r="LGW417" s="22"/>
      <c r="LGX417" s="22"/>
      <c r="LGY417" s="22"/>
      <c r="LGZ417" s="22"/>
      <c r="LHA417" s="22"/>
      <c r="LHB417" s="22"/>
      <c r="LHC417" s="22"/>
      <c r="LHD417" s="22"/>
      <c r="LHE417" s="22"/>
      <c r="LHF417" s="22"/>
      <c r="LHG417" s="22"/>
      <c r="LHH417" s="22"/>
      <c r="LHI417" s="22"/>
      <c r="LHJ417" s="22"/>
      <c r="LHK417" s="22"/>
      <c r="LHL417" s="22"/>
      <c r="LHM417" s="22"/>
      <c r="LHN417" s="22"/>
      <c r="LHO417" s="22"/>
      <c r="LHP417" s="22"/>
      <c r="LHQ417" s="22"/>
      <c r="LHR417" s="22"/>
      <c r="LHS417" s="22"/>
      <c r="LHT417" s="22"/>
      <c r="LHU417" s="22"/>
      <c r="LHV417" s="22"/>
      <c r="LHW417" s="22"/>
      <c r="LHX417" s="22"/>
      <c r="LHY417" s="22"/>
      <c r="LHZ417" s="22"/>
      <c r="LIA417" s="22"/>
      <c r="LIB417" s="22"/>
      <c r="LIC417" s="22"/>
      <c r="LID417" s="22"/>
      <c r="LIE417" s="22"/>
      <c r="LIF417" s="22"/>
      <c r="LIG417" s="22"/>
      <c r="LIH417" s="22"/>
      <c r="LII417" s="22"/>
      <c r="LIJ417" s="22"/>
      <c r="LIK417" s="22"/>
      <c r="LIL417" s="22"/>
      <c r="LIM417" s="22"/>
      <c r="LIN417" s="22"/>
      <c r="LIO417" s="22"/>
      <c r="LIP417" s="22"/>
      <c r="LIQ417" s="22"/>
      <c r="LIR417" s="22"/>
      <c r="LIS417" s="22"/>
      <c r="LIT417" s="22"/>
      <c r="LIU417" s="22"/>
      <c r="LIV417" s="22"/>
      <c r="LIW417" s="22"/>
      <c r="LIX417" s="22"/>
      <c r="LIY417" s="22"/>
      <c r="LIZ417" s="22"/>
      <c r="LJA417" s="22"/>
      <c r="LJB417" s="22"/>
      <c r="LJC417" s="22"/>
      <c r="LJD417" s="22"/>
      <c r="LJE417" s="22"/>
      <c r="LJF417" s="22"/>
      <c r="LJG417" s="22"/>
      <c r="LJH417" s="22"/>
      <c r="LJI417" s="22"/>
      <c r="LJJ417" s="22"/>
      <c r="LJK417" s="22"/>
      <c r="LJL417" s="22"/>
      <c r="LJM417" s="22"/>
      <c r="LJN417" s="22"/>
      <c r="LJO417" s="22"/>
      <c r="LJP417" s="22"/>
      <c r="LJQ417" s="22"/>
      <c r="LJR417" s="22"/>
      <c r="LJS417" s="22"/>
      <c r="LJT417" s="22"/>
      <c r="LJU417" s="22"/>
      <c r="LJV417" s="22"/>
      <c r="LJW417" s="22"/>
      <c r="LJX417" s="22"/>
      <c r="LJY417" s="22"/>
      <c r="LJZ417" s="22"/>
      <c r="LKA417" s="22"/>
      <c r="LKB417" s="22"/>
      <c r="LKC417" s="22"/>
      <c r="LKD417" s="22"/>
      <c r="LKE417" s="22"/>
      <c r="LKF417" s="22"/>
      <c r="LKG417" s="22"/>
      <c r="LKH417" s="22"/>
      <c r="LKI417" s="22"/>
      <c r="LKJ417" s="22"/>
      <c r="LKK417" s="22"/>
      <c r="LKL417" s="22"/>
      <c r="LKM417" s="22"/>
      <c r="LKN417" s="22"/>
      <c r="LKO417" s="22"/>
      <c r="LKP417" s="22"/>
      <c r="LKQ417" s="22"/>
      <c r="LKR417" s="22"/>
      <c r="LKS417" s="22"/>
      <c r="LKT417" s="22"/>
      <c r="LKU417" s="22"/>
      <c r="LKV417" s="22"/>
      <c r="LKW417" s="22"/>
      <c r="LKX417" s="22"/>
      <c r="LKY417" s="22"/>
      <c r="LKZ417" s="22"/>
      <c r="LLA417" s="22"/>
      <c r="LLB417" s="22"/>
      <c r="LLC417" s="22"/>
      <c r="LLD417" s="22"/>
      <c r="LLE417" s="22"/>
      <c r="LLF417" s="22"/>
      <c r="LLG417" s="22"/>
      <c r="LLH417" s="22"/>
      <c r="LLI417" s="22"/>
      <c r="LLJ417" s="22"/>
      <c r="LLK417" s="22"/>
      <c r="LLL417" s="22"/>
      <c r="LLM417" s="22"/>
      <c r="LLN417" s="22"/>
      <c r="LLO417" s="22"/>
      <c r="LLP417" s="22"/>
      <c r="LLQ417" s="22"/>
      <c r="LLR417" s="22"/>
      <c r="LLS417" s="22"/>
      <c r="LLT417" s="22"/>
      <c r="LLU417" s="22"/>
      <c r="LLV417" s="22"/>
      <c r="LLW417" s="22"/>
      <c r="LLX417" s="22"/>
      <c r="LLY417" s="22"/>
      <c r="LLZ417" s="22"/>
      <c r="LMA417" s="22"/>
      <c r="LMB417" s="22"/>
      <c r="LMC417" s="22"/>
      <c r="LMD417" s="22"/>
      <c r="LME417" s="22"/>
      <c r="LMF417" s="22"/>
      <c r="LMG417" s="22"/>
      <c r="LMH417" s="22"/>
      <c r="LMI417" s="22"/>
      <c r="LMJ417" s="22"/>
      <c r="LMK417" s="22"/>
      <c r="LML417" s="22"/>
      <c r="LMM417" s="22"/>
      <c r="LMN417" s="22"/>
      <c r="LMO417" s="22"/>
      <c r="LMP417" s="22"/>
      <c r="LMQ417" s="22"/>
      <c r="LMR417" s="22"/>
      <c r="LMS417" s="22"/>
      <c r="LMT417" s="22"/>
      <c r="LMU417" s="22"/>
      <c r="LMV417" s="22"/>
      <c r="LMW417" s="22"/>
      <c r="LMX417" s="22"/>
      <c r="LMY417" s="22"/>
      <c r="LMZ417" s="22"/>
      <c r="LNA417" s="22"/>
      <c r="LNB417" s="22"/>
      <c r="LNC417" s="22"/>
      <c r="LND417" s="22"/>
      <c r="LNE417" s="22"/>
      <c r="LNF417" s="22"/>
      <c r="LNG417" s="22"/>
      <c r="LNH417" s="22"/>
      <c r="LNI417" s="22"/>
      <c r="LNJ417" s="22"/>
      <c r="LNK417" s="22"/>
      <c r="LNL417" s="22"/>
      <c r="LNM417" s="22"/>
      <c r="LNN417" s="22"/>
      <c r="LNO417" s="22"/>
      <c r="LNP417" s="22"/>
      <c r="LNQ417" s="22"/>
      <c r="LNR417" s="22"/>
      <c r="LNS417" s="22"/>
      <c r="LNT417" s="22"/>
      <c r="LNU417" s="22"/>
      <c r="LNV417" s="22"/>
      <c r="LNW417" s="22"/>
      <c r="LNX417" s="22"/>
      <c r="LNY417" s="22"/>
      <c r="LNZ417" s="22"/>
      <c r="LOA417" s="22"/>
      <c r="LOB417" s="22"/>
      <c r="LOC417" s="22"/>
      <c r="LOD417" s="22"/>
      <c r="LOE417" s="22"/>
      <c r="LOF417" s="22"/>
      <c r="LOG417" s="22"/>
      <c r="LOH417" s="22"/>
      <c r="LOI417" s="22"/>
      <c r="LOJ417" s="22"/>
      <c r="LOK417" s="22"/>
      <c r="LOL417" s="22"/>
      <c r="LOM417" s="22"/>
      <c r="LON417" s="22"/>
      <c r="LOO417" s="22"/>
      <c r="LOP417" s="22"/>
      <c r="LOQ417" s="22"/>
      <c r="LOR417" s="22"/>
      <c r="LOS417" s="22"/>
      <c r="LOT417" s="22"/>
      <c r="LOU417" s="22"/>
      <c r="LOV417" s="22"/>
      <c r="LOW417" s="22"/>
      <c r="LOX417" s="22"/>
      <c r="LOY417" s="22"/>
      <c r="LOZ417" s="22"/>
      <c r="LPA417" s="22"/>
      <c r="LPB417" s="22"/>
      <c r="LPC417" s="22"/>
      <c r="LPD417" s="22"/>
      <c r="LPE417" s="22"/>
      <c r="LPF417" s="22"/>
      <c r="LPG417" s="22"/>
      <c r="LPH417" s="22"/>
      <c r="LPI417" s="22"/>
      <c r="LPJ417" s="22"/>
      <c r="LPK417" s="22"/>
      <c r="LPL417" s="22"/>
      <c r="LPM417" s="22"/>
      <c r="LPN417" s="22"/>
      <c r="LPO417" s="22"/>
      <c r="LPP417" s="22"/>
      <c r="LPQ417" s="22"/>
      <c r="LPR417" s="22"/>
      <c r="LPS417" s="22"/>
      <c r="LPT417" s="22"/>
      <c r="LPU417" s="22"/>
      <c r="LPV417" s="22"/>
      <c r="LPW417" s="22"/>
      <c r="LPX417" s="22"/>
      <c r="LPY417" s="22"/>
      <c r="LPZ417" s="22"/>
      <c r="LQA417" s="22"/>
      <c r="LQB417" s="22"/>
      <c r="LQC417" s="22"/>
      <c r="LQD417" s="22"/>
      <c r="LQE417" s="22"/>
      <c r="LQF417" s="22"/>
      <c r="LQG417" s="22"/>
      <c r="LQH417" s="22"/>
      <c r="LQI417" s="22"/>
      <c r="LQJ417" s="22"/>
      <c r="LQK417" s="22"/>
      <c r="LQL417" s="22"/>
      <c r="LQM417" s="22"/>
      <c r="LQN417" s="22"/>
      <c r="LQO417" s="22"/>
      <c r="LQP417" s="22"/>
      <c r="LQQ417" s="22"/>
      <c r="LQR417" s="22"/>
      <c r="LQS417" s="22"/>
      <c r="LQT417" s="22"/>
      <c r="LQU417" s="22"/>
      <c r="LQV417" s="22"/>
      <c r="LQW417" s="22"/>
      <c r="LQX417" s="22"/>
      <c r="LQY417" s="22"/>
      <c r="LQZ417" s="22"/>
      <c r="LRA417" s="22"/>
      <c r="LRB417" s="22"/>
      <c r="LRC417" s="22"/>
      <c r="LRD417" s="22"/>
      <c r="LRE417" s="22"/>
      <c r="LRF417" s="22"/>
      <c r="LRG417" s="22"/>
      <c r="LRH417" s="22"/>
      <c r="LRI417" s="22"/>
      <c r="LRJ417" s="22"/>
      <c r="LRK417" s="22"/>
      <c r="LRL417" s="22"/>
      <c r="LRM417" s="22"/>
      <c r="LRN417" s="22"/>
      <c r="LRO417" s="22"/>
      <c r="LRP417" s="22"/>
      <c r="LRQ417" s="22"/>
      <c r="LRR417" s="22"/>
      <c r="LRS417" s="22"/>
      <c r="LRT417" s="22"/>
      <c r="LRU417" s="22"/>
      <c r="LRV417" s="22"/>
      <c r="LRW417" s="22"/>
      <c r="LRX417" s="22"/>
      <c r="LRY417" s="22"/>
      <c r="LRZ417" s="22"/>
      <c r="LSA417" s="22"/>
      <c r="LSB417" s="22"/>
      <c r="LSC417" s="22"/>
      <c r="LSD417" s="22"/>
      <c r="LSE417" s="22"/>
      <c r="LSF417" s="22"/>
      <c r="LSG417" s="22"/>
      <c r="LSH417" s="22"/>
      <c r="LSI417" s="22"/>
      <c r="LSJ417" s="22"/>
      <c r="LSK417" s="22"/>
      <c r="LSL417" s="22"/>
      <c r="LSM417" s="22"/>
      <c r="LSN417" s="22"/>
      <c r="LSO417" s="22"/>
      <c r="LSP417" s="22"/>
      <c r="LSQ417" s="22"/>
      <c r="LSR417" s="22"/>
      <c r="LSS417" s="22"/>
      <c r="LST417" s="22"/>
      <c r="LSU417" s="22"/>
      <c r="LSV417" s="22"/>
      <c r="LSW417" s="22"/>
      <c r="LSX417" s="22"/>
      <c r="LSY417" s="22"/>
      <c r="LSZ417" s="22"/>
      <c r="LTA417" s="22"/>
      <c r="LTB417" s="22"/>
      <c r="LTC417" s="22"/>
      <c r="LTD417" s="22"/>
      <c r="LTE417" s="22"/>
      <c r="LTF417" s="22"/>
      <c r="LTG417" s="22"/>
      <c r="LTH417" s="22"/>
      <c r="LTI417" s="22"/>
      <c r="LTJ417" s="22"/>
      <c r="LTK417" s="22"/>
      <c r="LTL417" s="22"/>
      <c r="LTM417" s="22"/>
      <c r="LTN417" s="22"/>
      <c r="LTO417" s="22"/>
      <c r="LTP417" s="22"/>
      <c r="LTQ417" s="22"/>
      <c r="LTR417" s="22"/>
      <c r="LTS417" s="22"/>
      <c r="LTT417" s="22"/>
      <c r="LTU417" s="22"/>
      <c r="LTV417" s="22"/>
      <c r="LTW417" s="22"/>
      <c r="LTX417" s="22"/>
      <c r="LTY417" s="22"/>
      <c r="LTZ417" s="22"/>
      <c r="LUA417" s="22"/>
      <c r="LUB417" s="22"/>
      <c r="LUC417" s="22"/>
      <c r="LUD417" s="22"/>
      <c r="LUE417" s="22"/>
      <c r="LUF417" s="22"/>
      <c r="LUG417" s="22"/>
      <c r="LUH417" s="22"/>
      <c r="LUI417" s="22"/>
      <c r="LUJ417" s="22"/>
      <c r="LUK417" s="22"/>
      <c r="LUL417" s="22"/>
      <c r="LUM417" s="22"/>
      <c r="LUN417" s="22"/>
      <c r="LUO417" s="22"/>
      <c r="LUP417" s="22"/>
      <c r="LUQ417" s="22"/>
      <c r="LUR417" s="22"/>
      <c r="LUS417" s="22"/>
      <c r="LUT417" s="22"/>
      <c r="LUU417" s="22"/>
      <c r="LUV417" s="22"/>
      <c r="LUW417" s="22"/>
      <c r="LUX417" s="22"/>
      <c r="LUY417" s="22"/>
      <c r="LUZ417" s="22"/>
      <c r="LVA417" s="22"/>
      <c r="LVB417" s="22"/>
      <c r="LVC417" s="22"/>
      <c r="LVD417" s="22"/>
      <c r="LVE417" s="22"/>
      <c r="LVF417" s="22"/>
      <c r="LVG417" s="22"/>
      <c r="LVH417" s="22"/>
      <c r="LVI417" s="22"/>
      <c r="LVJ417" s="22"/>
      <c r="LVK417" s="22"/>
      <c r="LVL417" s="22"/>
      <c r="LVM417" s="22"/>
      <c r="LVN417" s="22"/>
      <c r="LVO417" s="22"/>
      <c r="LVP417" s="22"/>
      <c r="LVQ417" s="22"/>
      <c r="LVR417" s="22"/>
      <c r="LVS417" s="22"/>
      <c r="LVT417" s="22"/>
      <c r="LVU417" s="22"/>
      <c r="LVV417" s="22"/>
      <c r="LVW417" s="22"/>
      <c r="LVX417" s="22"/>
      <c r="LVY417" s="22"/>
      <c r="LVZ417" s="22"/>
      <c r="LWA417" s="22"/>
      <c r="LWB417" s="22"/>
      <c r="LWC417" s="22"/>
      <c r="LWD417" s="22"/>
      <c r="LWE417" s="22"/>
      <c r="LWF417" s="22"/>
      <c r="LWG417" s="22"/>
      <c r="LWH417" s="22"/>
      <c r="LWI417" s="22"/>
      <c r="LWJ417" s="22"/>
      <c r="LWK417" s="22"/>
      <c r="LWL417" s="22"/>
      <c r="LWM417" s="22"/>
      <c r="LWN417" s="22"/>
      <c r="LWO417" s="22"/>
      <c r="LWP417" s="22"/>
      <c r="LWQ417" s="22"/>
      <c r="LWR417" s="22"/>
      <c r="LWS417" s="22"/>
      <c r="LWT417" s="22"/>
      <c r="LWU417" s="22"/>
      <c r="LWV417" s="22"/>
      <c r="LWW417" s="22"/>
      <c r="LWX417" s="22"/>
      <c r="LWY417" s="22"/>
      <c r="LWZ417" s="22"/>
      <c r="LXA417" s="22"/>
      <c r="LXB417" s="22"/>
      <c r="LXC417" s="22"/>
      <c r="LXD417" s="22"/>
      <c r="LXE417" s="22"/>
      <c r="LXF417" s="22"/>
      <c r="LXG417" s="22"/>
      <c r="LXH417" s="22"/>
      <c r="LXI417" s="22"/>
      <c r="LXJ417" s="22"/>
      <c r="LXK417" s="22"/>
      <c r="LXL417" s="22"/>
      <c r="LXM417" s="22"/>
      <c r="LXN417" s="22"/>
      <c r="LXO417" s="22"/>
      <c r="LXP417" s="22"/>
      <c r="LXQ417" s="22"/>
      <c r="LXR417" s="22"/>
      <c r="LXS417" s="22"/>
      <c r="LXT417" s="22"/>
      <c r="LXU417" s="22"/>
      <c r="LXV417" s="22"/>
      <c r="LXW417" s="22"/>
      <c r="LXX417" s="22"/>
      <c r="LXY417" s="22"/>
      <c r="LXZ417" s="22"/>
      <c r="LYA417" s="22"/>
      <c r="LYB417" s="22"/>
      <c r="LYC417" s="22"/>
      <c r="LYD417" s="22"/>
      <c r="LYE417" s="22"/>
      <c r="LYF417" s="22"/>
      <c r="LYG417" s="22"/>
      <c r="LYH417" s="22"/>
      <c r="LYI417" s="22"/>
      <c r="LYJ417" s="22"/>
      <c r="LYK417" s="22"/>
      <c r="LYL417" s="22"/>
      <c r="LYM417" s="22"/>
      <c r="LYN417" s="22"/>
      <c r="LYO417" s="22"/>
      <c r="LYP417" s="22"/>
      <c r="LYQ417" s="22"/>
      <c r="LYR417" s="22"/>
      <c r="LYS417" s="22"/>
      <c r="LYT417" s="22"/>
      <c r="LYU417" s="22"/>
      <c r="LYV417" s="22"/>
      <c r="LYW417" s="22"/>
      <c r="LYX417" s="22"/>
      <c r="LYY417" s="22"/>
      <c r="LYZ417" s="22"/>
      <c r="LZA417" s="22"/>
      <c r="LZB417" s="22"/>
      <c r="LZC417" s="22"/>
      <c r="LZD417" s="22"/>
      <c r="LZE417" s="22"/>
      <c r="LZF417" s="22"/>
      <c r="LZG417" s="22"/>
      <c r="LZH417" s="22"/>
      <c r="LZI417" s="22"/>
      <c r="LZJ417" s="22"/>
      <c r="LZK417" s="22"/>
      <c r="LZL417" s="22"/>
      <c r="LZM417" s="22"/>
      <c r="LZN417" s="22"/>
      <c r="LZO417" s="22"/>
      <c r="LZP417" s="22"/>
      <c r="LZQ417" s="22"/>
      <c r="LZR417" s="22"/>
      <c r="LZS417" s="22"/>
      <c r="LZT417" s="22"/>
      <c r="LZU417" s="22"/>
      <c r="LZV417" s="22"/>
      <c r="LZW417" s="22"/>
      <c r="LZX417" s="22"/>
      <c r="LZY417" s="22"/>
      <c r="LZZ417" s="22"/>
      <c r="MAA417" s="22"/>
      <c r="MAB417" s="22"/>
      <c r="MAC417" s="22"/>
      <c r="MAD417" s="22"/>
      <c r="MAE417" s="22"/>
      <c r="MAF417" s="22"/>
      <c r="MAG417" s="22"/>
      <c r="MAH417" s="22"/>
      <c r="MAI417" s="22"/>
      <c r="MAJ417" s="22"/>
      <c r="MAK417" s="22"/>
      <c r="MAL417" s="22"/>
      <c r="MAM417" s="22"/>
      <c r="MAN417" s="22"/>
      <c r="MAO417" s="22"/>
      <c r="MAP417" s="22"/>
      <c r="MAQ417" s="22"/>
      <c r="MAR417" s="22"/>
      <c r="MAS417" s="22"/>
      <c r="MAT417" s="22"/>
      <c r="MAU417" s="22"/>
      <c r="MAV417" s="22"/>
      <c r="MAW417" s="22"/>
      <c r="MAX417" s="22"/>
      <c r="MAY417" s="22"/>
      <c r="MAZ417" s="22"/>
      <c r="MBA417" s="22"/>
      <c r="MBB417" s="22"/>
      <c r="MBC417" s="22"/>
      <c r="MBD417" s="22"/>
      <c r="MBE417" s="22"/>
      <c r="MBF417" s="22"/>
      <c r="MBG417" s="22"/>
      <c r="MBH417" s="22"/>
      <c r="MBI417" s="22"/>
      <c r="MBJ417" s="22"/>
      <c r="MBK417" s="22"/>
      <c r="MBL417" s="22"/>
      <c r="MBM417" s="22"/>
      <c r="MBN417" s="22"/>
      <c r="MBO417" s="22"/>
      <c r="MBP417" s="22"/>
      <c r="MBQ417" s="22"/>
      <c r="MBR417" s="22"/>
      <c r="MBS417" s="22"/>
      <c r="MBT417" s="22"/>
      <c r="MBU417" s="22"/>
      <c r="MBV417" s="22"/>
      <c r="MBW417" s="22"/>
      <c r="MBX417" s="22"/>
      <c r="MBY417" s="22"/>
      <c r="MBZ417" s="22"/>
      <c r="MCA417" s="22"/>
      <c r="MCB417" s="22"/>
      <c r="MCC417" s="22"/>
      <c r="MCD417" s="22"/>
      <c r="MCE417" s="22"/>
      <c r="MCF417" s="22"/>
      <c r="MCG417" s="22"/>
      <c r="MCH417" s="22"/>
      <c r="MCI417" s="22"/>
      <c r="MCJ417" s="22"/>
      <c r="MCK417" s="22"/>
      <c r="MCL417" s="22"/>
      <c r="MCM417" s="22"/>
      <c r="MCN417" s="22"/>
      <c r="MCO417" s="22"/>
      <c r="MCP417" s="22"/>
      <c r="MCQ417" s="22"/>
      <c r="MCR417" s="22"/>
      <c r="MCS417" s="22"/>
      <c r="MCT417" s="22"/>
      <c r="MCU417" s="22"/>
      <c r="MCV417" s="22"/>
      <c r="MCW417" s="22"/>
      <c r="MCX417" s="22"/>
      <c r="MCY417" s="22"/>
      <c r="MCZ417" s="22"/>
      <c r="MDA417" s="22"/>
      <c r="MDB417" s="22"/>
      <c r="MDC417" s="22"/>
      <c r="MDD417" s="22"/>
      <c r="MDE417" s="22"/>
      <c r="MDF417" s="22"/>
      <c r="MDG417" s="22"/>
      <c r="MDH417" s="22"/>
      <c r="MDI417" s="22"/>
      <c r="MDJ417" s="22"/>
      <c r="MDK417" s="22"/>
      <c r="MDL417" s="22"/>
      <c r="MDM417" s="22"/>
      <c r="MDN417" s="22"/>
      <c r="MDO417" s="22"/>
      <c r="MDP417" s="22"/>
      <c r="MDQ417" s="22"/>
      <c r="MDR417" s="22"/>
      <c r="MDS417" s="22"/>
      <c r="MDT417" s="22"/>
      <c r="MDU417" s="22"/>
      <c r="MDV417" s="22"/>
      <c r="MDW417" s="22"/>
      <c r="MDX417" s="22"/>
      <c r="MDY417" s="22"/>
      <c r="MDZ417" s="22"/>
      <c r="MEA417" s="22"/>
      <c r="MEB417" s="22"/>
      <c r="MEC417" s="22"/>
      <c r="MED417" s="22"/>
      <c r="MEE417" s="22"/>
      <c r="MEF417" s="22"/>
      <c r="MEG417" s="22"/>
      <c r="MEH417" s="22"/>
      <c r="MEI417" s="22"/>
      <c r="MEJ417" s="22"/>
      <c r="MEK417" s="22"/>
      <c r="MEL417" s="22"/>
      <c r="MEM417" s="22"/>
      <c r="MEN417" s="22"/>
      <c r="MEO417" s="22"/>
      <c r="MEP417" s="22"/>
      <c r="MEQ417" s="22"/>
      <c r="MER417" s="22"/>
      <c r="MES417" s="22"/>
      <c r="MET417" s="22"/>
      <c r="MEU417" s="22"/>
      <c r="MEV417" s="22"/>
      <c r="MEW417" s="22"/>
      <c r="MEX417" s="22"/>
      <c r="MEY417" s="22"/>
      <c r="MEZ417" s="22"/>
      <c r="MFA417" s="22"/>
      <c r="MFB417" s="22"/>
      <c r="MFC417" s="22"/>
      <c r="MFD417" s="22"/>
      <c r="MFE417" s="22"/>
      <c r="MFF417" s="22"/>
      <c r="MFG417" s="22"/>
      <c r="MFH417" s="22"/>
      <c r="MFI417" s="22"/>
      <c r="MFJ417" s="22"/>
      <c r="MFK417" s="22"/>
      <c r="MFL417" s="22"/>
      <c r="MFM417" s="22"/>
      <c r="MFN417" s="22"/>
      <c r="MFO417" s="22"/>
      <c r="MFP417" s="22"/>
      <c r="MFQ417" s="22"/>
      <c r="MFR417" s="22"/>
      <c r="MFS417" s="22"/>
      <c r="MFT417" s="22"/>
      <c r="MFU417" s="22"/>
      <c r="MFV417" s="22"/>
      <c r="MFW417" s="22"/>
      <c r="MFX417" s="22"/>
      <c r="MFY417" s="22"/>
      <c r="MFZ417" s="22"/>
      <c r="MGA417" s="22"/>
      <c r="MGB417" s="22"/>
      <c r="MGC417" s="22"/>
      <c r="MGD417" s="22"/>
      <c r="MGE417" s="22"/>
      <c r="MGF417" s="22"/>
      <c r="MGG417" s="22"/>
      <c r="MGH417" s="22"/>
      <c r="MGI417" s="22"/>
      <c r="MGJ417" s="22"/>
      <c r="MGK417" s="22"/>
      <c r="MGL417" s="22"/>
      <c r="MGM417" s="22"/>
      <c r="MGN417" s="22"/>
      <c r="MGO417" s="22"/>
      <c r="MGP417" s="22"/>
      <c r="MGQ417" s="22"/>
      <c r="MGR417" s="22"/>
      <c r="MGS417" s="22"/>
      <c r="MGT417" s="22"/>
      <c r="MGU417" s="22"/>
      <c r="MGV417" s="22"/>
      <c r="MGW417" s="22"/>
      <c r="MGX417" s="22"/>
      <c r="MGY417" s="22"/>
      <c r="MGZ417" s="22"/>
      <c r="MHA417" s="22"/>
      <c r="MHB417" s="22"/>
      <c r="MHC417" s="22"/>
      <c r="MHD417" s="22"/>
      <c r="MHE417" s="22"/>
      <c r="MHF417" s="22"/>
      <c r="MHG417" s="22"/>
      <c r="MHH417" s="22"/>
      <c r="MHI417" s="22"/>
      <c r="MHJ417" s="22"/>
      <c r="MHK417" s="22"/>
      <c r="MHL417" s="22"/>
      <c r="MHM417" s="22"/>
      <c r="MHN417" s="22"/>
      <c r="MHO417" s="22"/>
      <c r="MHP417" s="22"/>
      <c r="MHQ417" s="22"/>
      <c r="MHR417" s="22"/>
      <c r="MHS417" s="22"/>
      <c r="MHT417" s="22"/>
      <c r="MHU417" s="22"/>
      <c r="MHV417" s="22"/>
      <c r="MHW417" s="22"/>
      <c r="MHX417" s="22"/>
      <c r="MHY417" s="22"/>
      <c r="MHZ417" s="22"/>
      <c r="MIA417" s="22"/>
      <c r="MIB417" s="22"/>
      <c r="MIC417" s="22"/>
      <c r="MID417" s="22"/>
      <c r="MIE417" s="22"/>
      <c r="MIF417" s="22"/>
      <c r="MIG417" s="22"/>
      <c r="MIH417" s="22"/>
      <c r="MII417" s="22"/>
      <c r="MIJ417" s="22"/>
      <c r="MIK417" s="22"/>
      <c r="MIL417" s="22"/>
      <c r="MIM417" s="22"/>
      <c r="MIN417" s="22"/>
      <c r="MIO417" s="22"/>
      <c r="MIP417" s="22"/>
      <c r="MIQ417" s="22"/>
      <c r="MIR417" s="22"/>
      <c r="MIS417" s="22"/>
      <c r="MIT417" s="22"/>
      <c r="MIU417" s="22"/>
      <c r="MIV417" s="22"/>
      <c r="MIW417" s="22"/>
      <c r="MIX417" s="22"/>
      <c r="MIY417" s="22"/>
      <c r="MIZ417" s="22"/>
      <c r="MJA417" s="22"/>
      <c r="MJB417" s="22"/>
      <c r="MJC417" s="22"/>
      <c r="MJD417" s="22"/>
      <c r="MJE417" s="22"/>
      <c r="MJF417" s="22"/>
      <c r="MJG417" s="22"/>
      <c r="MJH417" s="22"/>
      <c r="MJI417" s="22"/>
      <c r="MJJ417" s="22"/>
      <c r="MJK417" s="22"/>
      <c r="MJL417" s="22"/>
      <c r="MJM417" s="22"/>
      <c r="MJN417" s="22"/>
      <c r="MJO417" s="22"/>
      <c r="MJP417" s="22"/>
      <c r="MJQ417" s="22"/>
      <c r="MJR417" s="22"/>
      <c r="MJS417" s="22"/>
      <c r="MJT417" s="22"/>
      <c r="MJU417" s="22"/>
      <c r="MJV417" s="22"/>
      <c r="MJW417" s="22"/>
      <c r="MJX417" s="22"/>
      <c r="MJY417" s="22"/>
      <c r="MJZ417" s="22"/>
      <c r="MKA417" s="22"/>
      <c r="MKB417" s="22"/>
      <c r="MKC417" s="22"/>
      <c r="MKD417" s="22"/>
      <c r="MKE417" s="22"/>
      <c r="MKF417" s="22"/>
      <c r="MKG417" s="22"/>
      <c r="MKH417" s="22"/>
      <c r="MKI417" s="22"/>
      <c r="MKJ417" s="22"/>
      <c r="MKK417" s="22"/>
      <c r="MKL417" s="22"/>
      <c r="MKM417" s="22"/>
      <c r="MKN417" s="22"/>
      <c r="MKO417" s="22"/>
      <c r="MKP417" s="22"/>
      <c r="MKQ417" s="22"/>
      <c r="MKR417" s="22"/>
      <c r="MKS417" s="22"/>
      <c r="MKT417" s="22"/>
      <c r="MKU417" s="22"/>
      <c r="MKV417" s="22"/>
      <c r="MKW417" s="22"/>
      <c r="MKX417" s="22"/>
      <c r="MKY417" s="22"/>
      <c r="MKZ417" s="22"/>
      <c r="MLA417" s="22"/>
      <c r="MLB417" s="22"/>
      <c r="MLC417" s="22"/>
      <c r="MLD417" s="22"/>
      <c r="MLE417" s="22"/>
      <c r="MLF417" s="22"/>
      <c r="MLG417" s="22"/>
      <c r="MLH417" s="22"/>
      <c r="MLI417" s="22"/>
      <c r="MLJ417" s="22"/>
      <c r="MLK417" s="22"/>
      <c r="MLL417" s="22"/>
      <c r="MLM417" s="22"/>
      <c r="MLN417" s="22"/>
      <c r="MLO417" s="22"/>
      <c r="MLP417" s="22"/>
      <c r="MLQ417" s="22"/>
      <c r="MLR417" s="22"/>
      <c r="MLS417" s="22"/>
      <c r="MLT417" s="22"/>
      <c r="MLU417" s="22"/>
      <c r="MLV417" s="22"/>
      <c r="MLW417" s="22"/>
      <c r="MLX417" s="22"/>
      <c r="MLY417" s="22"/>
      <c r="MLZ417" s="22"/>
      <c r="MMA417" s="22"/>
      <c r="MMB417" s="22"/>
      <c r="MMC417" s="22"/>
      <c r="MMD417" s="22"/>
      <c r="MME417" s="22"/>
      <c r="MMF417" s="22"/>
      <c r="MMG417" s="22"/>
      <c r="MMH417" s="22"/>
      <c r="MMI417" s="22"/>
      <c r="MMJ417" s="22"/>
      <c r="MMK417" s="22"/>
      <c r="MML417" s="22"/>
      <c r="MMM417" s="22"/>
      <c r="MMN417" s="22"/>
      <c r="MMO417" s="22"/>
      <c r="MMP417" s="22"/>
      <c r="MMQ417" s="22"/>
      <c r="MMR417" s="22"/>
      <c r="MMS417" s="22"/>
      <c r="MMT417" s="22"/>
      <c r="MMU417" s="22"/>
      <c r="MMV417" s="22"/>
      <c r="MMW417" s="22"/>
      <c r="MMX417" s="22"/>
      <c r="MMY417" s="22"/>
      <c r="MMZ417" s="22"/>
      <c r="MNA417" s="22"/>
      <c r="MNB417" s="22"/>
      <c r="MNC417" s="22"/>
      <c r="MND417" s="22"/>
      <c r="MNE417" s="22"/>
      <c r="MNF417" s="22"/>
      <c r="MNG417" s="22"/>
      <c r="MNH417" s="22"/>
      <c r="MNI417" s="22"/>
      <c r="MNJ417" s="22"/>
      <c r="MNK417" s="22"/>
      <c r="MNL417" s="22"/>
      <c r="MNM417" s="22"/>
      <c r="MNN417" s="22"/>
      <c r="MNO417" s="22"/>
      <c r="MNP417" s="22"/>
      <c r="MNQ417" s="22"/>
      <c r="MNR417" s="22"/>
      <c r="MNS417" s="22"/>
      <c r="MNT417" s="22"/>
      <c r="MNU417" s="22"/>
      <c r="MNV417" s="22"/>
      <c r="MNW417" s="22"/>
      <c r="MNX417" s="22"/>
      <c r="MNY417" s="22"/>
      <c r="MNZ417" s="22"/>
      <c r="MOA417" s="22"/>
      <c r="MOB417" s="22"/>
      <c r="MOC417" s="22"/>
      <c r="MOD417" s="22"/>
      <c r="MOE417" s="22"/>
      <c r="MOF417" s="22"/>
      <c r="MOG417" s="22"/>
      <c r="MOH417" s="22"/>
      <c r="MOI417" s="22"/>
      <c r="MOJ417" s="22"/>
      <c r="MOK417" s="22"/>
      <c r="MOL417" s="22"/>
      <c r="MOM417" s="22"/>
      <c r="MON417" s="22"/>
      <c r="MOO417" s="22"/>
      <c r="MOP417" s="22"/>
      <c r="MOQ417" s="22"/>
      <c r="MOR417" s="22"/>
      <c r="MOS417" s="22"/>
      <c r="MOT417" s="22"/>
      <c r="MOU417" s="22"/>
      <c r="MOV417" s="22"/>
      <c r="MOW417" s="22"/>
      <c r="MOX417" s="22"/>
      <c r="MOY417" s="22"/>
      <c r="MOZ417" s="22"/>
      <c r="MPA417" s="22"/>
      <c r="MPB417" s="22"/>
      <c r="MPC417" s="22"/>
      <c r="MPD417" s="22"/>
      <c r="MPE417" s="22"/>
      <c r="MPF417" s="22"/>
      <c r="MPG417" s="22"/>
      <c r="MPH417" s="22"/>
      <c r="MPI417" s="22"/>
      <c r="MPJ417" s="22"/>
      <c r="MPK417" s="22"/>
      <c r="MPL417" s="22"/>
      <c r="MPM417" s="22"/>
      <c r="MPN417" s="22"/>
      <c r="MPO417" s="22"/>
      <c r="MPP417" s="22"/>
      <c r="MPQ417" s="22"/>
      <c r="MPR417" s="22"/>
      <c r="MPS417" s="22"/>
      <c r="MPT417" s="22"/>
      <c r="MPU417" s="22"/>
      <c r="MPV417" s="22"/>
      <c r="MPW417" s="22"/>
      <c r="MPX417" s="22"/>
      <c r="MPY417" s="22"/>
      <c r="MPZ417" s="22"/>
      <c r="MQA417" s="22"/>
      <c r="MQB417" s="22"/>
      <c r="MQC417" s="22"/>
      <c r="MQD417" s="22"/>
      <c r="MQE417" s="22"/>
      <c r="MQF417" s="22"/>
      <c r="MQG417" s="22"/>
      <c r="MQH417" s="22"/>
      <c r="MQI417" s="22"/>
      <c r="MQJ417" s="22"/>
      <c r="MQK417" s="22"/>
      <c r="MQL417" s="22"/>
      <c r="MQM417" s="22"/>
      <c r="MQN417" s="22"/>
      <c r="MQO417" s="22"/>
      <c r="MQP417" s="22"/>
      <c r="MQQ417" s="22"/>
      <c r="MQR417" s="22"/>
      <c r="MQS417" s="22"/>
      <c r="MQT417" s="22"/>
      <c r="MQU417" s="22"/>
      <c r="MQV417" s="22"/>
      <c r="MQW417" s="22"/>
      <c r="MQX417" s="22"/>
      <c r="MQY417" s="22"/>
      <c r="MQZ417" s="22"/>
      <c r="MRA417" s="22"/>
      <c r="MRB417" s="22"/>
      <c r="MRC417" s="22"/>
      <c r="MRD417" s="22"/>
      <c r="MRE417" s="22"/>
      <c r="MRF417" s="22"/>
      <c r="MRG417" s="22"/>
      <c r="MRH417" s="22"/>
      <c r="MRI417" s="22"/>
      <c r="MRJ417" s="22"/>
      <c r="MRK417" s="22"/>
      <c r="MRL417" s="22"/>
      <c r="MRM417" s="22"/>
      <c r="MRN417" s="22"/>
      <c r="MRO417" s="22"/>
      <c r="MRP417" s="22"/>
      <c r="MRQ417" s="22"/>
      <c r="MRR417" s="22"/>
      <c r="MRS417" s="22"/>
      <c r="MRT417" s="22"/>
      <c r="MRU417" s="22"/>
      <c r="MRV417" s="22"/>
      <c r="MRW417" s="22"/>
      <c r="MRX417" s="22"/>
      <c r="MRY417" s="22"/>
      <c r="MRZ417" s="22"/>
      <c r="MSA417" s="22"/>
      <c r="MSB417" s="22"/>
      <c r="MSC417" s="22"/>
      <c r="MSD417" s="22"/>
      <c r="MSE417" s="22"/>
      <c r="MSF417" s="22"/>
      <c r="MSG417" s="22"/>
      <c r="MSH417" s="22"/>
      <c r="MSI417" s="22"/>
      <c r="MSJ417" s="22"/>
      <c r="MSK417" s="22"/>
      <c r="MSL417" s="22"/>
      <c r="MSM417" s="22"/>
      <c r="MSN417" s="22"/>
      <c r="MSO417" s="22"/>
      <c r="MSP417" s="22"/>
      <c r="MSQ417" s="22"/>
      <c r="MSR417" s="22"/>
      <c r="MSS417" s="22"/>
      <c r="MST417" s="22"/>
      <c r="MSU417" s="22"/>
      <c r="MSV417" s="22"/>
      <c r="MSW417" s="22"/>
      <c r="MSX417" s="22"/>
      <c r="MSY417" s="22"/>
      <c r="MSZ417" s="22"/>
      <c r="MTA417" s="22"/>
      <c r="MTB417" s="22"/>
      <c r="MTC417" s="22"/>
      <c r="MTD417" s="22"/>
      <c r="MTE417" s="22"/>
      <c r="MTF417" s="22"/>
      <c r="MTG417" s="22"/>
      <c r="MTH417" s="22"/>
      <c r="MTI417" s="22"/>
      <c r="MTJ417" s="22"/>
      <c r="MTK417" s="22"/>
      <c r="MTL417" s="22"/>
      <c r="MTM417" s="22"/>
      <c r="MTN417" s="22"/>
      <c r="MTO417" s="22"/>
      <c r="MTP417" s="22"/>
      <c r="MTQ417" s="22"/>
      <c r="MTR417" s="22"/>
      <c r="MTS417" s="22"/>
      <c r="MTT417" s="22"/>
      <c r="MTU417" s="22"/>
      <c r="MTV417" s="22"/>
      <c r="MTW417" s="22"/>
      <c r="MTX417" s="22"/>
      <c r="MTY417" s="22"/>
      <c r="MTZ417" s="22"/>
      <c r="MUA417" s="22"/>
      <c r="MUB417" s="22"/>
      <c r="MUC417" s="22"/>
      <c r="MUD417" s="22"/>
      <c r="MUE417" s="22"/>
      <c r="MUF417" s="22"/>
      <c r="MUG417" s="22"/>
      <c r="MUH417" s="22"/>
      <c r="MUI417" s="22"/>
      <c r="MUJ417" s="22"/>
      <c r="MUK417" s="22"/>
      <c r="MUL417" s="22"/>
      <c r="MUM417" s="22"/>
      <c r="MUN417" s="22"/>
      <c r="MUO417" s="22"/>
      <c r="MUP417" s="22"/>
      <c r="MUQ417" s="22"/>
      <c r="MUR417" s="22"/>
      <c r="MUS417" s="22"/>
      <c r="MUT417" s="22"/>
      <c r="MUU417" s="22"/>
      <c r="MUV417" s="22"/>
      <c r="MUW417" s="22"/>
      <c r="MUX417" s="22"/>
      <c r="MUY417" s="22"/>
      <c r="MUZ417" s="22"/>
      <c r="MVA417" s="22"/>
      <c r="MVB417" s="22"/>
      <c r="MVC417" s="22"/>
      <c r="MVD417" s="22"/>
      <c r="MVE417" s="22"/>
      <c r="MVF417" s="22"/>
      <c r="MVG417" s="22"/>
      <c r="MVH417" s="22"/>
      <c r="MVI417" s="22"/>
      <c r="MVJ417" s="22"/>
      <c r="MVK417" s="22"/>
      <c r="MVL417" s="22"/>
      <c r="MVM417" s="22"/>
      <c r="MVN417" s="22"/>
      <c r="MVO417" s="22"/>
      <c r="MVP417" s="22"/>
      <c r="MVQ417" s="22"/>
      <c r="MVR417" s="22"/>
      <c r="MVS417" s="22"/>
      <c r="MVT417" s="22"/>
      <c r="MVU417" s="22"/>
      <c r="MVV417" s="22"/>
      <c r="MVW417" s="22"/>
      <c r="MVX417" s="22"/>
      <c r="MVY417" s="22"/>
      <c r="MVZ417" s="22"/>
      <c r="MWA417" s="22"/>
      <c r="MWB417" s="22"/>
      <c r="MWC417" s="22"/>
      <c r="MWD417" s="22"/>
      <c r="MWE417" s="22"/>
      <c r="MWF417" s="22"/>
      <c r="MWG417" s="22"/>
      <c r="MWH417" s="22"/>
      <c r="MWI417" s="22"/>
      <c r="MWJ417" s="22"/>
      <c r="MWK417" s="22"/>
      <c r="MWL417" s="22"/>
      <c r="MWM417" s="22"/>
      <c r="MWN417" s="22"/>
      <c r="MWO417" s="22"/>
      <c r="MWP417" s="22"/>
      <c r="MWQ417" s="22"/>
      <c r="MWR417" s="22"/>
      <c r="MWS417" s="22"/>
      <c r="MWT417" s="22"/>
      <c r="MWU417" s="22"/>
      <c r="MWV417" s="22"/>
      <c r="MWW417" s="22"/>
      <c r="MWX417" s="22"/>
      <c r="MWY417" s="22"/>
      <c r="MWZ417" s="22"/>
      <c r="MXA417" s="22"/>
      <c r="MXB417" s="22"/>
      <c r="MXC417" s="22"/>
      <c r="MXD417" s="22"/>
      <c r="MXE417" s="22"/>
      <c r="MXF417" s="22"/>
      <c r="MXG417" s="22"/>
      <c r="MXH417" s="22"/>
      <c r="MXI417" s="22"/>
      <c r="MXJ417" s="22"/>
      <c r="MXK417" s="22"/>
      <c r="MXL417" s="22"/>
      <c r="MXM417" s="22"/>
      <c r="MXN417" s="22"/>
      <c r="MXO417" s="22"/>
      <c r="MXP417" s="22"/>
      <c r="MXQ417" s="22"/>
      <c r="MXR417" s="22"/>
      <c r="MXS417" s="22"/>
      <c r="MXT417" s="22"/>
      <c r="MXU417" s="22"/>
      <c r="MXV417" s="22"/>
      <c r="MXW417" s="22"/>
      <c r="MXX417" s="22"/>
      <c r="MXY417" s="22"/>
      <c r="MXZ417" s="22"/>
      <c r="MYA417" s="22"/>
      <c r="MYB417" s="22"/>
      <c r="MYC417" s="22"/>
      <c r="MYD417" s="22"/>
      <c r="MYE417" s="22"/>
      <c r="MYF417" s="22"/>
      <c r="MYG417" s="22"/>
      <c r="MYH417" s="22"/>
      <c r="MYI417" s="22"/>
      <c r="MYJ417" s="22"/>
      <c r="MYK417" s="22"/>
      <c r="MYL417" s="22"/>
      <c r="MYM417" s="22"/>
      <c r="MYN417" s="22"/>
      <c r="MYO417" s="22"/>
      <c r="MYP417" s="22"/>
      <c r="MYQ417" s="22"/>
      <c r="MYR417" s="22"/>
      <c r="MYS417" s="22"/>
      <c r="MYT417" s="22"/>
      <c r="MYU417" s="22"/>
      <c r="MYV417" s="22"/>
      <c r="MYW417" s="22"/>
      <c r="MYX417" s="22"/>
      <c r="MYY417" s="22"/>
      <c r="MYZ417" s="22"/>
      <c r="MZA417" s="22"/>
      <c r="MZB417" s="22"/>
      <c r="MZC417" s="22"/>
      <c r="MZD417" s="22"/>
      <c r="MZE417" s="22"/>
      <c r="MZF417" s="22"/>
      <c r="MZG417" s="22"/>
      <c r="MZH417" s="22"/>
      <c r="MZI417" s="22"/>
      <c r="MZJ417" s="22"/>
      <c r="MZK417" s="22"/>
      <c r="MZL417" s="22"/>
      <c r="MZM417" s="22"/>
      <c r="MZN417" s="22"/>
      <c r="MZO417" s="22"/>
      <c r="MZP417" s="22"/>
      <c r="MZQ417" s="22"/>
      <c r="MZR417" s="22"/>
      <c r="MZS417" s="22"/>
      <c r="MZT417" s="22"/>
      <c r="MZU417" s="22"/>
      <c r="MZV417" s="22"/>
      <c r="MZW417" s="22"/>
      <c r="MZX417" s="22"/>
      <c r="MZY417" s="22"/>
      <c r="MZZ417" s="22"/>
      <c r="NAA417" s="22"/>
      <c r="NAB417" s="22"/>
      <c r="NAC417" s="22"/>
      <c r="NAD417" s="22"/>
      <c r="NAE417" s="22"/>
      <c r="NAF417" s="22"/>
      <c r="NAG417" s="22"/>
      <c r="NAH417" s="22"/>
      <c r="NAI417" s="22"/>
      <c r="NAJ417" s="22"/>
      <c r="NAK417" s="22"/>
      <c r="NAL417" s="22"/>
      <c r="NAM417" s="22"/>
      <c r="NAN417" s="22"/>
      <c r="NAO417" s="22"/>
      <c r="NAP417" s="22"/>
      <c r="NAQ417" s="22"/>
      <c r="NAR417" s="22"/>
      <c r="NAS417" s="22"/>
      <c r="NAT417" s="22"/>
      <c r="NAU417" s="22"/>
      <c r="NAV417" s="22"/>
      <c r="NAW417" s="22"/>
      <c r="NAX417" s="22"/>
      <c r="NAY417" s="22"/>
      <c r="NAZ417" s="22"/>
      <c r="NBA417" s="22"/>
      <c r="NBB417" s="22"/>
      <c r="NBC417" s="22"/>
      <c r="NBD417" s="22"/>
      <c r="NBE417" s="22"/>
      <c r="NBF417" s="22"/>
      <c r="NBG417" s="22"/>
      <c r="NBH417" s="22"/>
      <c r="NBI417" s="22"/>
      <c r="NBJ417" s="22"/>
      <c r="NBK417" s="22"/>
      <c r="NBL417" s="22"/>
      <c r="NBM417" s="22"/>
      <c r="NBN417" s="22"/>
      <c r="NBO417" s="22"/>
      <c r="NBP417" s="22"/>
      <c r="NBQ417" s="22"/>
      <c r="NBR417" s="22"/>
      <c r="NBS417" s="22"/>
      <c r="NBT417" s="22"/>
      <c r="NBU417" s="22"/>
      <c r="NBV417" s="22"/>
      <c r="NBW417" s="22"/>
      <c r="NBX417" s="22"/>
      <c r="NBY417" s="22"/>
      <c r="NBZ417" s="22"/>
      <c r="NCA417" s="22"/>
      <c r="NCB417" s="22"/>
      <c r="NCC417" s="22"/>
      <c r="NCD417" s="22"/>
      <c r="NCE417" s="22"/>
      <c r="NCF417" s="22"/>
      <c r="NCG417" s="22"/>
      <c r="NCH417" s="22"/>
      <c r="NCI417" s="22"/>
      <c r="NCJ417" s="22"/>
      <c r="NCK417" s="22"/>
      <c r="NCL417" s="22"/>
      <c r="NCM417" s="22"/>
      <c r="NCN417" s="22"/>
      <c r="NCO417" s="22"/>
      <c r="NCP417" s="22"/>
      <c r="NCQ417" s="22"/>
      <c r="NCR417" s="22"/>
      <c r="NCS417" s="22"/>
      <c r="NCT417" s="22"/>
      <c r="NCU417" s="22"/>
      <c r="NCV417" s="22"/>
      <c r="NCW417" s="22"/>
      <c r="NCX417" s="22"/>
      <c r="NCY417" s="22"/>
      <c r="NCZ417" s="22"/>
      <c r="NDA417" s="22"/>
      <c r="NDB417" s="22"/>
      <c r="NDC417" s="22"/>
      <c r="NDD417" s="22"/>
      <c r="NDE417" s="22"/>
      <c r="NDF417" s="22"/>
      <c r="NDG417" s="22"/>
      <c r="NDH417" s="22"/>
      <c r="NDI417" s="22"/>
      <c r="NDJ417" s="22"/>
      <c r="NDK417" s="22"/>
      <c r="NDL417" s="22"/>
      <c r="NDM417" s="22"/>
      <c r="NDN417" s="22"/>
      <c r="NDO417" s="22"/>
      <c r="NDP417" s="22"/>
      <c r="NDQ417" s="22"/>
      <c r="NDR417" s="22"/>
      <c r="NDS417" s="22"/>
      <c r="NDT417" s="22"/>
      <c r="NDU417" s="22"/>
      <c r="NDV417" s="22"/>
      <c r="NDW417" s="22"/>
      <c r="NDX417" s="22"/>
      <c r="NDY417" s="22"/>
      <c r="NDZ417" s="22"/>
      <c r="NEA417" s="22"/>
      <c r="NEB417" s="22"/>
      <c r="NEC417" s="22"/>
      <c r="NED417" s="22"/>
      <c r="NEE417" s="22"/>
      <c r="NEF417" s="22"/>
      <c r="NEG417" s="22"/>
      <c r="NEH417" s="22"/>
      <c r="NEI417" s="22"/>
      <c r="NEJ417" s="22"/>
      <c r="NEK417" s="22"/>
      <c r="NEL417" s="22"/>
      <c r="NEM417" s="22"/>
      <c r="NEN417" s="22"/>
      <c r="NEO417" s="22"/>
      <c r="NEP417" s="22"/>
      <c r="NEQ417" s="22"/>
      <c r="NER417" s="22"/>
      <c r="NES417" s="22"/>
      <c r="NET417" s="22"/>
      <c r="NEU417" s="22"/>
      <c r="NEV417" s="22"/>
      <c r="NEW417" s="22"/>
      <c r="NEX417" s="22"/>
      <c r="NEY417" s="22"/>
      <c r="NEZ417" s="22"/>
      <c r="NFA417" s="22"/>
      <c r="NFB417" s="22"/>
      <c r="NFC417" s="22"/>
      <c r="NFD417" s="22"/>
      <c r="NFE417" s="22"/>
      <c r="NFF417" s="22"/>
      <c r="NFG417" s="22"/>
      <c r="NFH417" s="22"/>
      <c r="NFI417" s="22"/>
      <c r="NFJ417" s="22"/>
      <c r="NFK417" s="22"/>
      <c r="NFL417" s="22"/>
      <c r="NFM417" s="22"/>
      <c r="NFN417" s="22"/>
      <c r="NFO417" s="22"/>
      <c r="NFP417" s="22"/>
      <c r="NFQ417" s="22"/>
      <c r="NFR417" s="22"/>
      <c r="NFS417" s="22"/>
      <c r="NFT417" s="22"/>
      <c r="NFU417" s="22"/>
      <c r="NFV417" s="22"/>
      <c r="NFW417" s="22"/>
      <c r="NFX417" s="22"/>
      <c r="NFY417" s="22"/>
      <c r="NFZ417" s="22"/>
      <c r="NGA417" s="22"/>
      <c r="NGB417" s="22"/>
      <c r="NGC417" s="22"/>
      <c r="NGD417" s="22"/>
      <c r="NGE417" s="22"/>
      <c r="NGF417" s="22"/>
      <c r="NGG417" s="22"/>
      <c r="NGH417" s="22"/>
      <c r="NGI417" s="22"/>
      <c r="NGJ417" s="22"/>
      <c r="NGK417" s="22"/>
      <c r="NGL417" s="22"/>
      <c r="NGM417" s="22"/>
      <c r="NGN417" s="22"/>
      <c r="NGO417" s="22"/>
      <c r="NGP417" s="22"/>
      <c r="NGQ417" s="22"/>
      <c r="NGR417" s="22"/>
      <c r="NGS417" s="22"/>
      <c r="NGT417" s="22"/>
      <c r="NGU417" s="22"/>
      <c r="NGV417" s="22"/>
      <c r="NGW417" s="22"/>
      <c r="NGX417" s="22"/>
      <c r="NGY417" s="22"/>
      <c r="NGZ417" s="22"/>
      <c r="NHA417" s="22"/>
      <c r="NHB417" s="22"/>
      <c r="NHC417" s="22"/>
      <c r="NHD417" s="22"/>
      <c r="NHE417" s="22"/>
      <c r="NHF417" s="22"/>
      <c r="NHG417" s="22"/>
      <c r="NHH417" s="22"/>
      <c r="NHI417" s="22"/>
      <c r="NHJ417" s="22"/>
      <c r="NHK417" s="22"/>
      <c r="NHL417" s="22"/>
      <c r="NHM417" s="22"/>
      <c r="NHN417" s="22"/>
      <c r="NHO417" s="22"/>
      <c r="NHP417" s="22"/>
      <c r="NHQ417" s="22"/>
      <c r="NHR417" s="22"/>
      <c r="NHS417" s="22"/>
      <c r="NHT417" s="22"/>
      <c r="NHU417" s="22"/>
      <c r="NHV417" s="22"/>
      <c r="NHW417" s="22"/>
      <c r="NHX417" s="22"/>
      <c r="NHY417" s="22"/>
      <c r="NHZ417" s="22"/>
      <c r="NIA417" s="22"/>
      <c r="NIB417" s="22"/>
      <c r="NIC417" s="22"/>
      <c r="NID417" s="22"/>
      <c r="NIE417" s="22"/>
      <c r="NIF417" s="22"/>
      <c r="NIG417" s="22"/>
      <c r="NIH417" s="22"/>
      <c r="NII417" s="22"/>
      <c r="NIJ417" s="22"/>
      <c r="NIK417" s="22"/>
      <c r="NIL417" s="22"/>
      <c r="NIM417" s="22"/>
      <c r="NIN417" s="22"/>
      <c r="NIO417" s="22"/>
      <c r="NIP417" s="22"/>
      <c r="NIQ417" s="22"/>
      <c r="NIR417" s="22"/>
      <c r="NIS417" s="22"/>
      <c r="NIT417" s="22"/>
      <c r="NIU417" s="22"/>
      <c r="NIV417" s="22"/>
      <c r="NIW417" s="22"/>
      <c r="NIX417" s="22"/>
      <c r="NIY417" s="22"/>
      <c r="NIZ417" s="22"/>
      <c r="NJA417" s="22"/>
      <c r="NJB417" s="22"/>
      <c r="NJC417" s="22"/>
      <c r="NJD417" s="22"/>
      <c r="NJE417" s="22"/>
      <c r="NJF417" s="22"/>
      <c r="NJG417" s="22"/>
      <c r="NJH417" s="22"/>
      <c r="NJI417" s="22"/>
      <c r="NJJ417" s="22"/>
      <c r="NJK417" s="22"/>
      <c r="NJL417" s="22"/>
      <c r="NJM417" s="22"/>
      <c r="NJN417" s="22"/>
      <c r="NJO417" s="22"/>
      <c r="NJP417" s="22"/>
      <c r="NJQ417" s="22"/>
      <c r="NJR417" s="22"/>
      <c r="NJS417" s="22"/>
      <c r="NJT417" s="22"/>
      <c r="NJU417" s="22"/>
      <c r="NJV417" s="22"/>
      <c r="NJW417" s="22"/>
      <c r="NJX417" s="22"/>
      <c r="NJY417" s="22"/>
      <c r="NJZ417" s="22"/>
      <c r="NKA417" s="22"/>
      <c r="NKB417" s="22"/>
      <c r="NKC417" s="22"/>
      <c r="NKD417" s="22"/>
      <c r="NKE417" s="22"/>
      <c r="NKF417" s="22"/>
      <c r="NKG417" s="22"/>
      <c r="NKH417" s="22"/>
      <c r="NKI417" s="22"/>
      <c r="NKJ417" s="22"/>
      <c r="NKK417" s="22"/>
      <c r="NKL417" s="22"/>
      <c r="NKM417" s="22"/>
      <c r="NKN417" s="22"/>
      <c r="NKO417" s="22"/>
      <c r="NKP417" s="22"/>
      <c r="NKQ417" s="22"/>
      <c r="NKR417" s="22"/>
      <c r="NKS417" s="22"/>
      <c r="NKT417" s="22"/>
      <c r="NKU417" s="22"/>
      <c r="NKV417" s="22"/>
      <c r="NKW417" s="22"/>
      <c r="NKX417" s="22"/>
      <c r="NKY417" s="22"/>
      <c r="NKZ417" s="22"/>
      <c r="NLA417" s="22"/>
      <c r="NLB417" s="22"/>
      <c r="NLC417" s="22"/>
      <c r="NLD417" s="22"/>
      <c r="NLE417" s="22"/>
      <c r="NLF417" s="22"/>
      <c r="NLG417" s="22"/>
      <c r="NLH417" s="22"/>
      <c r="NLI417" s="22"/>
      <c r="NLJ417" s="22"/>
      <c r="NLK417" s="22"/>
      <c r="NLL417" s="22"/>
      <c r="NLM417" s="22"/>
      <c r="NLN417" s="22"/>
      <c r="NLO417" s="22"/>
      <c r="NLP417" s="22"/>
      <c r="NLQ417" s="22"/>
      <c r="NLR417" s="22"/>
      <c r="NLS417" s="22"/>
      <c r="NLT417" s="22"/>
      <c r="NLU417" s="22"/>
      <c r="NLV417" s="22"/>
      <c r="NLW417" s="22"/>
      <c r="NLX417" s="22"/>
      <c r="NLY417" s="22"/>
      <c r="NLZ417" s="22"/>
      <c r="NMA417" s="22"/>
      <c r="NMB417" s="22"/>
      <c r="NMC417" s="22"/>
      <c r="NMD417" s="22"/>
      <c r="NME417" s="22"/>
      <c r="NMF417" s="22"/>
      <c r="NMG417" s="22"/>
      <c r="NMH417" s="22"/>
      <c r="NMI417" s="22"/>
      <c r="NMJ417" s="22"/>
      <c r="NMK417" s="22"/>
      <c r="NML417" s="22"/>
      <c r="NMM417" s="22"/>
      <c r="NMN417" s="22"/>
      <c r="NMO417" s="22"/>
      <c r="NMP417" s="22"/>
      <c r="NMQ417" s="22"/>
      <c r="NMR417" s="22"/>
      <c r="NMS417" s="22"/>
      <c r="NMT417" s="22"/>
      <c r="NMU417" s="22"/>
      <c r="NMV417" s="22"/>
      <c r="NMW417" s="22"/>
      <c r="NMX417" s="22"/>
      <c r="NMY417" s="22"/>
      <c r="NMZ417" s="22"/>
      <c r="NNA417" s="22"/>
      <c r="NNB417" s="22"/>
      <c r="NNC417" s="22"/>
      <c r="NND417" s="22"/>
      <c r="NNE417" s="22"/>
      <c r="NNF417" s="22"/>
      <c r="NNG417" s="22"/>
      <c r="NNH417" s="22"/>
      <c r="NNI417" s="22"/>
      <c r="NNJ417" s="22"/>
      <c r="NNK417" s="22"/>
      <c r="NNL417" s="22"/>
      <c r="NNM417" s="22"/>
      <c r="NNN417" s="22"/>
      <c r="NNO417" s="22"/>
      <c r="NNP417" s="22"/>
      <c r="NNQ417" s="22"/>
      <c r="NNR417" s="22"/>
      <c r="NNS417" s="22"/>
      <c r="NNT417" s="22"/>
      <c r="NNU417" s="22"/>
      <c r="NNV417" s="22"/>
      <c r="NNW417" s="22"/>
      <c r="NNX417" s="22"/>
      <c r="NNY417" s="22"/>
      <c r="NNZ417" s="22"/>
      <c r="NOA417" s="22"/>
      <c r="NOB417" s="22"/>
      <c r="NOC417" s="22"/>
      <c r="NOD417" s="22"/>
      <c r="NOE417" s="22"/>
      <c r="NOF417" s="22"/>
      <c r="NOG417" s="22"/>
      <c r="NOH417" s="22"/>
      <c r="NOI417" s="22"/>
      <c r="NOJ417" s="22"/>
      <c r="NOK417" s="22"/>
      <c r="NOL417" s="22"/>
      <c r="NOM417" s="22"/>
      <c r="NON417" s="22"/>
      <c r="NOO417" s="22"/>
      <c r="NOP417" s="22"/>
      <c r="NOQ417" s="22"/>
      <c r="NOR417" s="22"/>
      <c r="NOS417" s="22"/>
      <c r="NOT417" s="22"/>
      <c r="NOU417" s="22"/>
      <c r="NOV417" s="22"/>
      <c r="NOW417" s="22"/>
      <c r="NOX417" s="22"/>
      <c r="NOY417" s="22"/>
      <c r="NOZ417" s="22"/>
      <c r="NPA417" s="22"/>
      <c r="NPB417" s="22"/>
      <c r="NPC417" s="22"/>
      <c r="NPD417" s="22"/>
      <c r="NPE417" s="22"/>
      <c r="NPF417" s="22"/>
      <c r="NPG417" s="22"/>
      <c r="NPH417" s="22"/>
      <c r="NPI417" s="22"/>
      <c r="NPJ417" s="22"/>
      <c r="NPK417" s="22"/>
      <c r="NPL417" s="22"/>
      <c r="NPM417" s="22"/>
      <c r="NPN417" s="22"/>
      <c r="NPO417" s="22"/>
      <c r="NPP417" s="22"/>
      <c r="NPQ417" s="22"/>
      <c r="NPR417" s="22"/>
      <c r="NPS417" s="22"/>
      <c r="NPT417" s="22"/>
      <c r="NPU417" s="22"/>
      <c r="NPV417" s="22"/>
      <c r="NPW417" s="22"/>
      <c r="NPX417" s="22"/>
      <c r="NPY417" s="22"/>
      <c r="NPZ417" s="22"/>
      <c r="NQA417" s="22"/>
      <c r="NQB417" s="22"/>
      <c r="NQC417" s="22"/>
      <c r="NQD417" s="22"/>
      <c r="NQE417" s="22"/>
      <c r="NQF417" s="22"/>
      <c r="NQG417" s="22"/>
      <c r="NQH417" s="22"/>
      <c r="NQI417" s="22"/>
      <c r="NQJ417" s="22"/>
      <c r="NQK417" s="22"/>
      <c r="NQL417" s="22"/>
      <c r="NQM417" s="22"/>
      <c r="NQN417" s="22"/>
      <c r="NQO417" s="22"/>
      <c r="NQP417" s="22"/>
      <c r="NQQ417" s="22"/>
      <c r="NQR417" s="22"/>
      <c r="NQS417" s="22"/>
      <c r="NQT417" s="22"/>
      <c r="NQU417" s="22"/>
      <c r="NQV417" s="22"/>
      <c r="NQW417" s="22"/>
      <c r="NQX417" s="22"/>
      <c r="NQY417" s="22"/>
      <c r="NQZ417" s="22"/>
      <c r="NRA417" s="22"/>
      <c r="NRB417" s="22"/>
      <c r="NRC417" s="22"/>
      <c r="NRD417" s="22"/>
      <c r="NRE417" s="22"/>
      <c r="NRF417" s="22"/>
      <c r="NRG417" s="22"/>
      <c r="NRH417" s="22"/>
      <c r="NRI417" s="22"/>
      <c r="NRJ417" s="22"/>
      <c r="NRK417" s="22"/>
      <c r="NRL417" s="22"/>
      <c r="NRM417" s="22"/>
      <c r="NRN417" s="22"/>
      <c r="NRO417" s="22"/>
      <c r="NRP417" s="22"/>
      <c r="NRQ417" s="22"/>
      <c r="NRR417" s="22"/>
      <c r="NRS417" s="22"/>
      <c r="NRT417" s="22"/>
      <c r="NRU417" s="22"/>
      <c r="NRV417" s="22"/>
      <c r="NRW417" s="22"/>
      <c r="NRX417" s="22"/>
      <c r="NRY417" s="22"/>
      <c r="NRZ417" s="22"/>
      <c r="NSA417" s="22"/>
      <c r="NSB417" s="22"/>
      <c r="NSC417" s="22"/>
      <c r="NSD417" s="22"/>
      <c r="NSE417" s="22"/>
      <c r="NSF417" s="22"/>
      <c r="NSG417" s="22"/>
      <c r="NSH417" s="22"/>
      <c r="NSI417" s="22"/>
      <c r="NSJ417" s="22"/>
      <c r="NSK417" s="22"/>
      <c r="NSL417" s="22"/>
      <c r="NSM417" s="22"/>
      <c r="NSN417" s="22"/>
      <c r="NSO417" s="22"/>
      <c r="NSP417" s="22"/>
      <c r="NSQ417" s="22"/>
      <c r="NSR417" s="22"/>
      <c r="NSS417" s="22"/>
      <c r="NST417" s="22"/>
      <c r="NSU417" s="22"/>
      <c r="NSV417" s="22"/>
      <c r="NSW417" s="22"/>
      <c r="NSX417" s="22"/>
      <c r="NSY417" s="22"/>
      <c r="NSZ417" s="22"/>
      <c r="NTA417" s="22"/>
      <c r="NTB417" s="22"/>
      <c r="NTC417" s="22"/>
      <c r="NTD417" s="22"/>
      <c r="NTE417" s="22"/>
      <c r="NTF417" s="22"/>
      <c r="NTG417" s="22"/>
      <c r="NTH417" s="22"/>
      <c r="NTI417" s="22"/>
      <c r="NTJ417" s="22"/>
      <c r="NTK417" s="22"/>
      <c r="NTL417" s="22"/>
      <c r="NTM417" s="22"/>
      <c r="NTN417" s="22"/>
      <c r="NTO417" s="22"/>
      <c r="NTP417" s="22"/>
      <c r="NTQ417" s="22"/>
      <c r="NTR417" s="22"/>
      <c r="NTS417" s="22"/>
      <c r="NTT417" s="22"/>
      <c r="NTU417" s="22"/>
      <c r="NTV417" s="22"/>
      <c r="NTW417" s="22"/>
      <c r="NTX417" s="22"/>
      <c r="NTY417" s="22"/>
      <c r="NTZ417" s="22"/>
      <c r="NUA417" s="22"/>
      <c r="NUB417" s="22"/>
      <c r="NUC417" s="22"/>
      <c r="NUD417" s="22"/>
      <c r="NUE417" s="22"/>
      <c r="NUF417" s="22"/>
      <c r="NUG417" s="22"/>
      <c r="NUH417" s="22"/>
      <c r="NUI417" s="22"/>
      <c r="NUJ417" s="22"/>
      <c r="NUK417" s="22"/>
      <c r="NUL417" s="22"/>
      <c r="NUM417" s="22"/>
      <c r="NUN417" s="22"/>
      <c r="NUO417" s="22"/>
      <c r="NUP417" s="22"/>
      <c r="NUQ417" s="22"/>
      <c r="NUR417" s="22"/>
      <c r="NUS417" s="22"/>
      <c r="NUT417" s="22"/>
      <c r="NUU417" s="22"/>
      <c r="NUV417" s="22"/>
      <c r="NUW417" s="22"/>
      <c r="NUX417" s="22"/>
      <c r="NUY417" s="22"/>
      <c r="NUZ417" s="22"/>
      <c r="NVA417" s="22"/>
      <c r="NVB417" s="22"/>
      <c r="NVC417" s="22"/>
      <c r="NVD417" s="22"/>
      <c r="NVE417" s="22"/>
      <c r="NVF417" s="22"/>
      <c r="NVG417" s="22"/>
      <c r="NVH417" s="22"/>
      <c r="NVI417" s="22"/>
      <c r="NVJ417" s="22"/>
      <c r="NVK417" s="22"/>
      <c r="NVL417" s="22"/>
      <c r="NVM417" s="22"/>
      <c r="NVN417" s="22"/>
      <c r="NVO417" s="22"/>
      <c r="NVP417" s="22"/>
      <c r="NVQ417" s="22"/>
      <c r="NVR417" s="22"/>
      <c r="NVS417" s="22"/>
      <c r="NVT417" s="22"/>
      <c r="NVU417" s="22"/>
      <c r="NVV417" s="22"/>
      <c r="NVW417" s="22"/>
      <c r="NVX417" s="22"/>
      <c r="NVY417" s="22"/>
      <c r="NVZ417" s="22"/>
      <c r="NWA417" s="22"/>
      <c r="NWB417" s="22"/>
      <c r="NWC417" s="22"/>
      <c r="NWD417" s="22"/>
      <c r="NWE417" s="22"/>
      <c r="NWF417" s="22"/>
      <c r="NWG417" s="22"/>
      <c r="NWH417" s="22"/>
      <c r="NWI417" s="22"/>
      <c r="NWJ417" s="22"/>
      <c r="NWK417" s="22"/>
      <c r="NWL417" s="22"/>
      <c r="NWM417" s="22"/>
      <c r="NWN417" s="22"/>
      <c r="NWO417" s="22"/>
      <c r="NWP417" s="22"/>
      <c r="NWQ417" s="22"/>
      <c r="NWR417" s="22"/>
      <c r="NWS417" s="22"/>
      <c r="NWT417" s="22"/>
      <c r="NWU417" s="22"/>
      <c r="NWV417" s="22"/>
      <c r="NWW417" s="22"/>
      <c r="NWX417" s="22"/>
      <c r="NWY417" s="22"/>
      <c r="NWZ417" s="22"/>
      <c r="NXA417" s="22"/>
      <c r="NXB417" s="22"/>
      <c r="NXC417" s="22"/>
      <c r="NXD417" s="22"/>
      <c r="NXE417" s="22"/>
      <c r="NXF417" s="22"/>
      <c r="NXG417" s="22"/>
      <c r="NXH417" s="22"/>
      <c r="NXI417" s="22"/>
      <c r="NXJ417" s="22"/>
      <c r="NXK417" s="22"/>
      <c r="NXL417" s="22"/>
      <c r="NXM417" s="22"/>
      <c r="NXN417" s="22"/>
      <c r="NXO417" s="22"/>
      <c r="NXP417" s="22"/>
      <c r="NXQ417" s="22"/>
      <c r="NXR417" s="22"/>
      <c r="NXS417" s="22"/>
      <c r="NXT417" s="22"/>
      <c r="NXU417" s="22"/>
      <c r="NXV417" s="22"/>
      <c r="NXW417" s="22"/>
      <c r="NXX417" s="22"/>
      <c r="NXY417" s="22"/>
      <c r="NXZ417" s="22"/>
      <c r="NYA417" s="22"/>
      <c r="NYB417" s="22"/>
      <c r="NYC417" s="22"/>
      <c r="NYD417" s="22"/>
      <c r="NYE417" s="22"/>
      <c r="NYF417" s="22"/>
      <c r="NYG417" s="22"/>
      <c r="NYH417" s="22"/>
      <c r="NYI417" s="22"/>
      <c r="NYJ417" s="22"/>
      <c r="NYK417" s="22"/>
      <c r="NYL417" s="22"/>
      <c r="NYM417" s="22"/>
      <c r="NYN417" s="22"/>
      <c r="NYO417" s="22"/>
      <c r="NYP417" s="22"/>
      <c r="NYQ417" s="22"/>
      <c r="NYR417" s="22"/>
      <c r="NYS417" s="22"/>
      <c r="NYT417" s="22"/>
      <c r="NYU417" s="22"/>
      <c r="NYV417" s="22"/>
      <c r="NYW417" s="22"/>
      <c r="NYX417" s="22"/>
      <c r="NYY417" s="22"/>
      <c r="NYZ417" s="22"/>
      <c r="NZA417" s="22"/>
      <c r="NZB417" s="22"/>
      <c r="NZC417" s="22"/>
      <c r="NZD417" s="22"/>
      <c r="NZE417" s="22"/>
      <c r="NZF417" s="22"/>
      <c r="NZG417" s="22"/>
      <c r="NZH417" s="22"/>
      <c r="NZI417" s="22"/>
      <c r="NZJ417" s="22"/>
      <c r="NZK417" s="22"/>
      <c r="NZL417" s="22"/>
      <c r="NZM417" s="22"/>
      <c r="NZN417" s="22"/>
      <c r="NZO417" s="22"/>
      <c r="NZP417" s="22"/>
      <c r="NZQ417" s="22"/>
      <c r="NZR417" s="22"/>
      <c r="NZS417" s="22"/>
      <c r="NZT417" s="22"/>
      <c r="NZU417" s="22"/>
      <c r="NZV417" s="22"/>
      <c r="NZW417" s="22"/>
      <c r="NZX417" s="22"/>
      <c r="NZY417" s="22"/>
      <c r="NZZ417" s="22"/>
      <c r="OAA417" s="22"/>
      <c r="OAB417" s="22"/>
      <c r="OAC417" s="22"/>
      <c r="OAD417" s="22"/>
      <c r="OAE417" s="22"/>
      <c r="OAF417" s="22"/>
      <c r="OAG417" s="22"/>
      <c r="OAH417" s="22"/>
      <c r="OAI417" s="22"/>
      <c r="OAJ417" s="22"/>
      <c r="OAK417" s="22"/>
      <c r="OAL417" s="22"/>
      <c r="OAM417" s="22"/>
      <c r="OAN417" s="22"/>
      <c r="OAO417" s="22"/>
      <c r="OAP417" s="22"/>
      <c r="OAQ417" s="22"/>
      <c r="OAR417" s="22"/>
      <c r="OAS417" s="22"/>
      <c r="OAT417" s="22"/>
      <c r="OAU417" s="22"/>
      <c r="OAV417" s="22"/>
      <c r="OAW417" s="22"/>
      <c r="OAX417" s="22"/>
      <c r="OAY417" s="22"/>
      <c r="OAZ417" s="22"/>
      <c r="OBA417" s="22"/>
      <c r="OBB417" s="22"/>
      <c r="OBC417" s="22"/>
      <c r="OBD417" s="22"/>
      <c r="OBE417" s="22"/>
      <c r="OBF417" s="22"/>
      <c r="OBG417" s="22"/>
      <c r="OBH417" s="22"/>
      <c r="OBI417" s="22"/>
      <c r="OBJ417" s="22"/>
      <c r="OBK417" s="22"/>
      <c r="OBL417" s="22"/>
      <c r="OBM417" s="22"/>
      <c r="OBN417" s="22"/>
      <c r="OBO417" s="22"/>
      <c r="OBP417" s="22"/>
      <c r="OBQ417" s="22"/>
      <c r="OBR417" s="22"/>
      <c r="OBS417" s="22"/>
      <c r="OBT417" s="22"/>
      <c r="OBU417" s="22"/>
      <c r="OBV417" s="22"/>
      <c r="OBW417" s="22"/>
      <c r="OBX417" s="22"/>
      <c r="OBY417" s="22"/>
      <c r="OBZ417" s="22"/>
      <c r="OCA417" s="22"/>
      <c r="OCB417" s="22"/>
      <c r="OCC417" s="22"/>
      <c r="OCD417" s="22"/>
      <c r="OCE417" s="22"/>
      <c r="OCF417" s="22"/>
      <c r="OCG417" s="22"/>
      <c r="OCH417" s="22"/>
      <c r="OCI417" s="22"/>
      <c r="OCJ417" s="22"/>
      <c r="OCK417" s="22"/>
      <c r="OCL417" s="22"/>
      <c r="OCM417" s="22"/>
      <c r="OCN417" s="22"/>
      <c r="OCO417" s="22"/>
      <c r="OCP417" s="22"/>
      <c r="OCQ417" s="22"/>
      <c r="OCR417" s="22"/>
      <c r="OCS417" s="22"/>
      <c r="OCT417" s="22"/>
      <c r="OCU417" s="22"/>
      <c r="OCV417" s="22"/>
      <c r="OCW417" s="22"/>
      <c r="OCX417" s="22"/>
      <c r="OCY417" s="22"/>
      <c r="OCZ417" s="22"/>
      <c r="ODA417" s="22"/>
      <c r="ODB417" s="22"/>
      <c r="ODC417" s="22"/>
      <c r="ODD417" s="22"/>
      <c r="ODE417" s="22"/>
      <c r="ODF417" s="22"/>
      <c r="ODG417" s="22"/>
      <c r="ODH417" s="22"/>
      <c r="ODI417" s="22"/>
      <c r="ODJ417" s="22"/>
      <c r="ODK417" s="22"/>
      <c r="ODL417" s="22"/>
      <c r="ODM417" s="22"/>
      <c r="ODN417" s="22"/>
      <c r="ODO417" s="22"/>
      <c r="ODP417" s="22"/>
      <c r="ODQ417" s="22"/>
      <c r="ODR417" s="22"/>
      <c r="ODS417" s="22"/>
      <c r="ODT417" s="22"/>
      <c r="ODU417" s="22"/>
      <c r="ODV417" s="22"/>
      <c r="ODW417" s="22"/>
      <c r="ODX417" s="22"/>
      <c r="ODY417" s="22"/>
      <c r="ODZ417" s="22"/>
      <c r="OEA417" s="22"/>
      <c r="OEB417" s="22"/>
      <c r="OEC417" s="22"/>
      <c r="OED417" s="22"/>
      <c r="OEE417" s="22"/>
      <c r="OEF417" s="22"/>
      <c r="OEG417" s="22"/>
      <c r="OEH417" s="22"/>
      <c r="OEI417" s="22"/>
      <c r="OEJ417" s="22"/>
      <c r="OEK417" s="22"/>
      <c r="OEL417" s="22"/>
      <c r="OEM417" s="22"/>
      <c r="OEN417" s="22"/>
      <c r="OEO417" s="22"/>
      <c r="OEP417" s="22"/>
      <c r="OEQ417" s="22"/>
      <c r="OER417" s="22"/>
      <c r="OES417" s="22"/>
      <c r="OET417" s="22"/>
      <c r="OEU417" s="22"/>
      <c r="OEV417" s="22"/>
      <c r="OEW417" s="22"/>
      <c r="OEX417" s="22"/>
      <c r="OEY417" s="22"/>
      <c r="OEZ417" s="22"/>
      <c r="OFA417" s="22"/>
      <c r="OFB417" s="22"/>
      <c r="OFC417" s="22"/>
      <c r="OFD417" s="22"/>
      <c r="OFE417" s="22"/>
      <c r="OFF417" s="22"/>
      <c r="OFG417" s="22"/>
      <c r="OFH417" s="22"/>
      <c r="OFI417" s="22"/>
      <c r="OFJ417" s="22"/>
      <c r="OFK417" s="22"/>
      <c r="OFL417" s="22"/>
      <c r="OFM417" s="22"/>
      <c r="OFN417" s="22"/>
      <c r="OFO417" s="22"/>
      <c r="OFP417" s="22"/>
      <c r="OFQ417" s="22"/>
      <c r="OFR417" s="22"/>
      <c r="OFS417" s="22"/>
      <c r="OFT417" s="22"/>
      <c r="OFU417" s="22"/>
      <c r="OFV417" s="22"/>
      <c r="OFW417" s="22"/>
      <c r="OFX417" s="22"/>
      <c r="OFY417" s="22"/>
      <c r="OFZ417" s="22"/>
      <c r="OGA417" s="22"/>
      <c r="OGB417" s="22"/>
      <c r="OGC417" s="22"/>
      <c r="OGD417" s="22"/>
      <c r="OGE417" s="22"/>
      <c r="OGF417" s="22"/>
      <c r="OGG417" s="22"/>
      <c r="OGH417" s="22"/>
      <c r="OGI417" s="22"/>
      <c r="OGJ417" s="22"/>
      <c r="OGK417" s="22"/>
      <c r="OGL417" s="22"/>
      <c r="OGM417" s="22"/>
      <c r="OGN417" s="22"/>
      <c r="OGO417" s="22"/>
      <c r="OGP417" s="22"/>
      <c r="OGQ417" s="22"/>
      <c r="OGR417" s="22"/>
      <c r="OGS417" s="22"/>
      <c r="OGT417" s="22"/>
      <c r="OGU417" s="22"/>
      <c r="OGV417" s="22"/>
      <c r="OGW417" s="22"/>
      <c r="OGX417" s="22"/>
      <c r="OGY417" s="22"/>
      <c r="OGZ417" s="22"/>
      <c r="OHA417" s="22"/>
      <c r="OHB417" s="22"/>
      <c r="OHC417" s="22"/>
      <c r="OHD417" s="22"/>
      <c r="OHE417" s="22"/>
      <c r="OHF417" s="22"/>
      <c r="OHG417" s="22"/>
      <c r="OHH417" s="22"/>
      <c r="OHI417" s="22"/>
      <c r="OHJ417" s="22"/>
      <c r="OHK417" s="22"/>
      <c r="OHL417" s="22"/>
      <c r="OHM417" s="22"/>
      <c r="OHN417" s="22"/>
      <c r="OHO417" s="22"/>
      <c r="OHP417" s="22"/>
      <c r="OHQ417" s="22"/>
      <c r="OHR417" s="22"/>
      <c r="OHS417" s="22"/>
      <c r="OHT417" s="22"/>
      <c r="OHU417" s="22"/>
      <c r="OHV417" s="22"/>
      <c r="OHW417" s="22"/>
      <c r="OHX417" s="22"/>
      <c r="OHY417" s="22"/>
      <c r="OHZ417" s="22"/>
      <c r="OIA417" s="22"/>
      <c r="OIB417" s="22"/>
      <c r="OIC417" s="22"/>
      <c r="OID417" s="22"/>
      <c r="OIE417" s="22"/>
      <c r="OIF417" s="22"/>
      <c r="OIG417" s="22"/>
      <c r="OIH417" s="22"/>
      <c r="OII417" s="22"/>
      <c r="OIJ417" s="22"/>
      <c r="OIK417" s="22"/>
      <c r="OIL417" s="22"/>
      <c r="OIM417" s="22"/>
      <c r="OIN417" s="22"/>
      <c r="OIO417" s="22"/>
      <c r="OIP417" s="22"/>
      <c r="OIQ417" s="22"/>
      <c r="OIR417" s="22"/>
      <c r="OIS417" s="22"/>
      <c r="OIT417" s="22"/>
      <c r="OIU417" s="22"/>
      <c r="OIV417" s="22"/>
      <c r="OIW417" s="22"/>
      <c r="OIX417" s="22"/>
      <c r="OIY417" s="22"/>
      <c r="OIZ417" s="22"/>
      <c r="OJA417" s="22"/>
      <c r="OJB417" s="22"/>
      <c r="OJC417" s="22"/>
      <c r="OJD417" s="22"/>
      <c r="OJE417" s="22"/>
      <c r="OJF417" s="22"/>
      <c r="OJG417" s="22"/>
      <c r="OJH417" s="22"/>
      <c r="OJI417" s="22"/>
      <c r="OJJ417" s="22"/>
      <c r="OJK417" s="22"/>
      <c r="OJL417" s="22"/>
      <c r="OJM417" s="22"/>
      <c r="OJN417" s="22"/>
      <c r="OJO417" s="22"/>
      <c r="OJP417" s="22"/>
      <c r="OJQ417" s="22"/>
      <c r="OJR417" s="22"/>
      <c r="OJS417" s="22"/>
      <c r="OJT417" s="22"/>
      <c r="OJU417" s="22"/>
      <c r="OJV417" s="22"/>
      <c r="OJW417" s="22"/>
      <c r="OJX417" s="22"/>
      <c r="OJY417" s="22"/>
      <c r="OJZ417" s="22"/>
      <c r="OKA417" s="22"/>
      <c r="OKB417" s="22"/>
      <c r="OKC417" s="22"/>
      <c r="OKD417" s="22"/>
      <c r="OKE417" s="22"/>
      <c r="OKF417" s="22"/>
      <c r="OKG417" s="22"/>
      <c r="OKH417" s="22"/>
      <c r="OKI417" s="22"/>
      <c r="OKJ417" s="22"/>
      <c r="OKK417" s="22"/>
      <c r="OKL417" s="22"/>
      <c r="OKM417" s="22"/>
      <c r="OKN417" s="22"/>
      <c r="OKO417" s="22"/>
      <c r="OKP417" s="22"/>
      <c r="OKQ417" s="22"/>
      <c r="OKR417" s="22"/>
      <c r="OKS417" s="22"/>
      <c r="OKT417" s="22"/>
      <c r="OKU417" s="22"/>
      <c r="OKV417" s="22"/>
      <c r="OKW417" s="22"/>
      <c r="OKX417" s="22"/>
      <c r="OKY417" s="22"/>
      <c r="OKZ417" s="22"/>
      <c r="OLA417" s="22"/>
      <c r="OLB417" s="22"/>
      <c r="OLC417" s="22"/>
      <c r="OLD417" s="22"/>
      <c r="OLE417" s="22"/>
      <c r="OLF417" s="22"/>
      <c r="OLG417" s="22"/>
      <c r="OLH417" s="22"/>
      <c r="OLI417" s="22"/>
      <c r="OLJ417" s="22"/>
      <c r="OLK417" s="22"/>
      <c r="OLL417" s="22"/>
      <c r="OLM417" s="22"/>
      <c r="OLN417" s="22"/>
      <c r="OLO417" s="22"/>
      <c r="OLP417" s="22"/>
      <c r="OLQ417" s="22"/>
      <c r="OLR417" s="22"/>
      <c r="OLS417" s="22"/>
      <c r="OLT417" s="22"/>
      <c r="OLU417" s="22"/>
      <c r="OLV417" s="22"/>
      <c r="OLW417" s="22"/>
      <c r="OLX417" s="22"/>
      <c r="OLY417" s="22"/>
      <c r="OLZ417" s="22"/>
      <c r="OMA417" s="22"/>
      <c r="OMB417" s="22"/>
      <c r="OMC417" s="22"/>
      <c r="OMD417" s="22"/>
      <c r="OME417" s="22"/>
      <c r="OMF417" s="22"/>
      <c r="OMG417" s="22"/>
      <c r="OMH417" s="22"/>
      <c r="OMI417" s="22"/>
      <c r="OMJ417" s="22"/>
      <c r="OMK417" s="22"/>
      <c r="OML417" s="22"/>
      <c r="OMM417" s="22"/>
      <c r="OMN417" s="22"/>
      <c r="OMO417" s="22"/>
      <c r="OMP417" s="22"/>
      <c r="OMQ417" s="22"/>
      <c r="OMR417" s="22"/>
      <c r="OMS417" s="22"/>
      <c r="OMT417" s="22"/>
      <c r="OMU417" s="22"/>
      <c r="OMV417" s="22"/>
      <c r="OMW417" s="22"/>
      <c r="OMX417" s="22"/>
      <c r="OMY417" s="22"/>
      <c r="OMZ417" s="22"/>
      <c r="ONA417" s="22"/>
      <c r="ONB417" s="22"/>
      <c r="ONC417" s="22"/>
      <c r="OND417" s="22"/>
      <c r="ONE417" s="22"/>
      <c r="ONF417" s="22"/>
      <c r="ONG417" s="22"/>
      <c r="ONH417" s="22"/>
      <c r="ONI417" s="22"/>
      <c r="ONJ417" s="22"/>
      <c r="ONK417" s="22"/>
      <c r="ONL417" s="22"/>
      <c r="ONM417" s="22"/>
      <c r="ONN417" s="22"/>
      <c r="ONO417" s="22"/>
      <c r="ONP417" s="22"/>
      <c r="ONQ417" s="22"/>
      <c r="ONR417" s="22"/>
      <c r="ONS417" s="22"/>
      <c r="ONT417" s="22"/>
      <c r="ONU417" s="22"/>
      <c r="ONV417" s="22"/>
      <c r="ONW417" s="22"/>
      <c r="ONX417" s="22"/>
      <c r="ONY417" s="22"/>
      <c r="ONZ417" s="22"/>
      <c r="OOA417" s="22"/>
      <c r="OOB417" s="22"/>
      <c r="OOC417" s="22"/>
      <c r="OOD417" s="22"/>
      <c r="OOE417" s="22"/>
      <c r="OOF417" s="22"/>
      <c r="OOG417" s="22"/>
      <c r="OOH417" s="22"/>
      <c r="OOI417" s="22"/>
      <c r="OOJ417" s="22"/>
      <c r="OOK417" s="22"/>
      <c r="OOL417" s="22"/>
      <c r="OOM417" s="22"/>
      <c r="OON417" s="22"/>
      <c r="OOO417" s="22"/>
      <c r="OOP417" s="22"/>
      <c r="OOQ417" s="22"/>
      <c r="OOR417" s="22"/>
      <c r="OOS417" s="22"/>
      <c r="OOT417" s="22"/>
      <c r="OOU417" s="22"/>
      <c r="OOV417" s="22"/>
      <c r="OOW417" s="22"/>
      <c r="OOX417" s="22"/>
      <c r="OOY417" s="22"/>
      <c r="OOZ417" s="22"/>
      <c r="OPA417" s="22"/>
      <c r="OPB417" s="22"/>
      <c r="OPC417" s="22"/>
      <c r="OPD417" s="22"/>
      <c r="OPE417" s="22"/>
      <c r="OPF417" s="22"/>
      <c r="OPG417" s="22"/>
      <c r="OPH417" s="22"/>
      <c r="OPI417" s="22"/>
      <c r="OPJ417" s="22"/>
      <c r="OPK417" s="22"/>
      <c r="OPL417" s="22"/>
      <c r="OPM417" s="22"/>
      <c r="OPN417" s="22"/>
      <c r="OPO417" s="22"/>
      <c r="OPP417" s="22"/>
      <c r="OPQ417" s="22"/>
      <c r="OPR417" s="22"/>
      <c r="OPS417" s="22"/>
      <c r="OPT417" s="22"/>
      <c r="OPU417" s="22"/>
      <c r="OPV417" s="22"/>
      <c r="OPW417" s="22"/>
      <c r="OPX417" s="22"/>
      <c r="OPY417" s="22"/>
      <c r="OPZ417" s="22"/>
      <c r="OQA417" s="22"/>
      <c r="OQB417" s="22"/>
      <c r="OQC417" s="22"/>
      <c r="OQD417" s="22"/>
      <c r="OQE417" s="22"/>
      <c r="OQF417" s="22"/>
      <c r="OQG417" s="22"/>
      <c r="OQH417" s="22"/>
      <c r="OQI417" s="22"/>
      <c r="OQJ417" s="22"/>
      <c r="OQK417" s="22"/>
      <c r="OQL417" s="22"/>
      <c r="OQM417" s="22"/>
      <c r="OQN417" s="22"/>
      <c r="OQO417" s="22"/>
      <c r="OQP417" s="22"/>
      <c r="OQQ417" s="22"/>
      <c r="OQR417" s="22"/>
      <c r="OQS417" s="22"/>
      <c r="OQT417" s="22"/>
      <c r="OQU417" s="22"/>
      <c r="OQV417" s="22"/>
      <c r="OQW417" s="22"/>
      <c r="OQX417" s="22"/>
      <c r="OQY417" s="22"/>
      <c r="OQZ417" s="22"/>
      <c r="ORA417" s="22"/>
      <c r="ORB417" s="22"/>
      <c r="ORC417" s="22"/>
      <c r="ORD417" s="22"/>
      <c r="ORE417" s="22"/>
      <c r="ORF417" s="22"/>
      <c r="ORG417" s="22"/>
      <c r="ORH417" s="22"/>
      <c r="ORI417" s="22"/>
      <c r="ORJ417" s="22"/>
      <c r="ORK417" s="22"/>
      <c r="ORL417" s="22"/>
      <c r="ORM417" s="22"/>
      <c r="ORN417" s="22"/>
      <c r="ORO417" s="22"/>
      <c r="ORP417" s="22"/>
      <c r="ORQ417" s="22"/>
      <c r="ORR417" s="22"/>
      <c r="ORS417" s="22"/>
      <c r="ORT417" s="22"/>
      <c r="ORU417" s="22"/>
      <c r="ORV417" s="22"/>
      <c r="ORW417" s="22"/>
      <c r="ORX417" s="22"/>
      <c r="ORY417" s="22"/>
      <c r="ORZ417" s="22"/>
      <c r="OSA417" s="22"/>
      <c r="OSB417" s="22"/>
      <c r="OSC417" s="22"/>
      <c r="OSD417" s="22"/>
      <c r="OSE417" s="22"/>
      <c r="OSF417" s="22"/>
      <c r="OSG417" s="22"/>
      <c r="OSH417" s="22"/>
      <c r="OSI417" s="22"/>
      <c r="OSJ417" s="22"/>
      <c r="OSK417" s="22"/>
      <c r="OSL417" s="22"/>
      <c r="OSM417" s="22"/>
      <c r="OSN417" s="22"/>
      <c r="OSO417" s="22"/>
      <c r="OSP417" s="22"/>
      <c r="OSQ417" s="22"/>
      <c r="OSR417" s="22"/>
      <c r="OSS417" s="22"/>
      <c r="OST417" s="22"/>
      <c r="OSU417" s="22"/>
      <c r="OSV417" s="22"/>
      <c r="OSW417" s="22"/>
      <c r="OSX417" s="22"/>
      <c r="OSY417" s="22"/>
      <c r="OSZ417" s="22"/>
      <c r="OTA417" s="22"/>
      <c r="OTB417" s="22"/>
      <c r="OTC417" s="22"/>
      <c r="OTD417" s="22"/>
      <c r="OTE417" s="22"/>
      <c r="OTF417" s="22"/>
      <c r="OTG417" s="22"/>
      <c r="OTH417" s="22"/>
      <c r="OTI417" s="22"/>
      <c r="OTJ417" s="22"/>
      <c r="OTK417" s="22"/>
      <c r="OTL417" s="22"/>
      <c r="OTM417" s="22"/>
      <c r="OTN417" s="22"/>
      <c r="OTO417" s="22"/>
      <c r="OTP417" s="22"/>
      <c r="OTQ417" s="22"/>
      <c r="OTR417" s="22"/>
      <c r="OTS417" s="22"/>
      <c r="OTT417" s="22"/>
      <c r="OTU417" s="22"/>
      <c r="OTV417" s="22"/>
      <c r="OTW417" s="22"/>
      <c r="OTX417" s="22"/>
      <c r="OTY417" s="22"/>
      <c r="OTZ417" s="22"/>
      <c r="OUA417" s="22"/>
      <c r="OUB417" s="22"/>
      <c r="OUC417" s="22"/>
      <c r="OUD417" s="22"/>
      <c r="OUE417" s="22"/>
      <c r="OUF417" s="22"/>
      <c r="OUG417" s="22"/>
      <c r="OUH417" s="22"/>
      <c r="OUI417" s="22"/>
      <c r="OUJ417" s="22"/>
      <c r="OUK417" s="22"/>
      <c r="OUL417" s="22"/>
      <c r="OUM417" s="22"/>
      <c r="OUN417" s="22"/>
      <c r="OUO417" s="22"/>
      <c r="OUP417" s="22"/>
      <c r="OUQ417" s="22"/>
      <c r="OUR417" s="22"/>
      <c r="OUS417" s="22"/>
      <c r="OUT417" s="22"/>
      <c r="OUU417" s="22"/>
      <c r="OUV417" s="22"/>
      <c r="OUW417" s="22"/>
      <c r="OUX417" s="22"/>
      <c r="OUY417" s="22"/>
      <c r="OUZ417" s="22"/>
      <c r="OVA417" s="22"/>
      <c r="OVB417" s="22"/>
      <c r="OVC417" s="22"/>
      <c r="OVD417" s="22"/>
      <c r="OVE417" s="22"/>
      <c r="OVF417" s="22"/>
      <c r="OVG417" s="22"/>
      <c r="OVH417" s="22"/>
      <c r="OVI417" s="22"/>
      <c r="OVJ417" s="22"/>
      <c r="OVK417" s="22"/>
      <c r="OVL417" s="22"/>
      <c r="OVM417" s="22"/>
      <c r="OVN417" s="22"/>
      <c r="OVO417" s="22"/>
      <c r="OVP417" s="22"/>
      <c r="OVQ417" s="22"/>
      <c r="OVR417" s="22"/>
      <c r="OVS417" s="22"/>
      <c r="OVT417" s="22"/>
      <c r="OVU417" s="22"/>
      <c r="OVV417" s="22"/>
      <c r="OVW417" s="22"/>
      <c r="OVX417" s="22"/>
      <c r="OVY417" s="22"/>
      <c r="OVZ417" s="22"/>
      <c r="OWA417" s="22"/>
      <c r="OWB417" s="22"/>
      <c r="OWC417" s="22"/>
      <c r="OWD417" s="22"/>
      <c r="OWE417" s="22"/>
      <c r="OWF417" s="22"/>
      <c r="OWG417" s="22"/>
      <c r="OWH417" s="22"/>
      <c r="OWI417" s="22"/>
      <c r="OWJ417" s="22"/>
      <c r="OWK417" s="22"/>
      <c r="OWL417" s="22"/>
      <c r="OWM417" s="22"/>
      <c r="OWN417" s="22"/>
      <c r="OWO417" s="22"/>
      <c r="OWP417" s="22"/>
      <c r="OWQ417" s="22"/>
      <c r="OWR417" s="22"/>
      <c r="OWS417" s="22"/>
      <c r="OWT417" s="22"/>
      <c r="OWU417" s="22"/>
      <c r="OWV417" s="22"/>
      <c r="OWW417" s="22"/>
      <c r="OWX417" s="22"/>
      <c r="OWY417" s="22"/>
      <c r="OWZ417" s="22"/>
      <c r="OXA417" s="22"/>
      <c r="OXB417" s="22"/>
      <c r="OXC417" s="22"/>
      <c r="OXD417" s="22"/>
      <c r="OXE417" s="22"/>
      <c r="OXF417" s="22"/>
      <c r="OXG417" s="22"/>
      <c r="OXH417" s="22"/>
      <c r="OXI417" s="22"/>
      <c r="OXJ417" s="22"/>
      <c r="OXK417" s="22"/>
      <c r="OXL417" s="22"/>
      <c r="OXM417" s="22"/>
      <c r="OXN417" s="22"/>
      <c r="OXO417" s="22"/>
      <c r="OXP417" s="22"/>
      <c r="OXQ417" s="22"/>
      <c r="OXR417" s="22"/>
      <c r="OXS417" s="22"/>
      <c r="OXT417" s="22"/>
      <c r="OXU417" s="22"/>
      <c r="OXV417" s="22"/>
      <c r="OXW417" s="22"/>
      <c r="OXX417" s="22"/>
      <c r="OXY417" s="22"/>
      <c r="OXZ417" s="22"/>
      <c r="OYA417" s="22"/>
      <c r="OYB417" s="22"/>
      <c r="OYC417" s="22"/>
      <c r="OYD417" s="22"/>
      <c r="OYE417" s="22"/>
      <c r="OYF417" s="22"/>
      <c r="OYG417" s="22"/>
      <c r="OYH417" s="22"/>
      <c r="OYI417" s="22"/>
      <c r="OYJ417" s="22"/>
      <c r="OYK417" s="22"/>
      <c r="OYL417" s="22"/>
      <c r="OYM417" s="22"/>
      <c r="OYN417" s="22"/>
      <c r="OYO417" s="22"/>
      <c r="OYP417" s="22"/>
      <c r="OYQ417" s="22"/>
      <c r="OYR417" s="22"/>
      <c r="OYS417" s="22"/>
      <c r="OYT417" s="22"/>
      <c r="OYU417" s="22"/>
      <c r="OYV417" s="22"/>
      <c r="OYW417" s="22"/>
      <c r="OYX417" s="22"/>
      <c r="OYY417" s="22"/>
      <c r="OYZ417" s="22"/>
      <c r="OZA417" s="22"/>
      <c r="OZB417" s="22"/>
      <c r="OZC417" s="22"/>
      <c r="OZD417" s="22"/>
      <c r="OZE417" s="22"/>
      <c r="OZF417" s="22"/>
      <c r="OZG417" s="22"/>
      <c r="OZH417" s="22"/>
      <c r="OZI417" s="22"/>
      <c r="OZJ417" s="22"/>
      <c r="OZK417" s="22"/>
      <c r="OZL417" s="22"/>
      <c r="OZM417" s="22"/>
      <c r="OZN417" s="22"/>
      <c r="OZO417" s="22"/>
      <c r="OZP417" s="22"/>
      <c r="OZQ417" s="22"/>
      <c r="OZR417" s="22"/>
      <c r="OZS417" s="22"/>
      <c r="OZT417" s="22"/>
      <c r="OZU417" s="22"/>
      <c r="OZV417" s="22"/>
      <c r="OZW417" s="22"/>
      <c r="OZX417" s="22"/>
      <c r="OZY417" s="22"/>
      <c r="OZZ417" s="22"/>
      <c r="PAA417" s="22"/>
      <c r="PAB417" s="22"/>
      <c r="PAC417" s="22"/>
      <c r="PAD417" s="22"/>
      <c r="PAE417" s="22"/>
      <c r="PAF417" s="22"/>
      <c r="PAG417" s="22"/>
      <c r="PAH417" s="22"/>
      <c r="PAI417" s="22"/>
      <c r="PAJ417" s="22"/>
      <c r="PAK417" s="22"/>
      <c r="PAL417" s="22"/>
      <c r="PAM417" s="22"/>
      <c r="PAN417" s="22"/>
      <c r="PAO417" s="22"/>
      <c r="PAP417" s="22"/>
      <c r="PAQ417" s="22"/>
      <c r="PAR417" s="22"/>
      <c r="PAS417" s="22"/>
      <c r="PAT417" s="22"/>
      <c r="PAU417" s="22"/>
      <c r="PAV417" s="22"/>
      <c r="PAW417" s="22"/>
      <c r="PAX417" s="22"/>
      <c r="PAY417" s="22"/>
      <c r="PAZ417" s="22"/>
      <c r="PBA417" s="22"/>
      <c r="PBB417" s="22"/>
      <c r="PBC417" s="22"/>
      <c r="PBD417" s="22"/>
      <c r="PBE417" s="22"/>
      <c r="PBF417" s="22"/>
      <c r="PBG417" s="22"/>
      <c r="PBH417" s="22"/>
      <c r="PBI417" s="22"/>
      <c r="PBJ417" s="22"/>
      <c r="PBK417" s="22"/>
      <c r="PBL417" s="22"/>
      <c r="PBM417" s="22"/>
      <c r="PBN417" s="22"/>
      <c r="PBO417" s="22"/>
      <c r="PBP417" s="22"/>
      <c r="PBQ417" s="22"/>
      <c r="PBR417" s="22"/>
      <c r="PBS417" s="22"/>
      <c r="PBT417" s="22"/>
      <c r="PBU417" s="22"/>
      <c r="PBV417" s="22"/>
      <c r="PBW417" s="22"/>
      <c r="PBX417" s="22"/>
      <c r="PBY417" s="22"/>
      <c r="PBZ417" s="22"/>
      <c r="PCA417" s="22"/>
      <c r="PCB417" s="22"/>
      <c r="PCC417" s="22"/>
      <c r="PCD417" s="22"/>
      <c r="PCE417" s="22"/>
      <c r="PCF417" s="22"/>
      <c r="PCG417" s="22"/>
      <c r="PCH417" s="22"/>
      <c r="PCI417" s="22"/>
      <c r="PCJ417" s="22"/>
      <c r="PCK417" s="22"/>
      <c r="PCL417" s="22"/>
      <c r="PCM417" s="22"/>
      <c r="PCN417" s="22"/>
      <c r="PCO417" s="22"/>
      <c r="PCP417" s="22"/>
      <c r="PCQ417" s="22"/>
      <c r="PCR417" s="22"/>
      <c r="PCS417" s="22"/>
      <c r="PCT417" s="22"/>
      <c r="PCU417" s="22"/>
      <c r="PCV417" s="22"/>
      <c r="PCW417" s="22"/>
      <c r="PCX417" s="22"/>
      <c r="PCY417" s="22"/>
      <c r="PCZ417" s="22"/>
      <c r="PDA417" s="22"/>
      <c r="PDB417" s="22"/>
      <c r="PDC417" s="22"/>
      <c r="PDD417" s="22"/>
      <c r="PDE417" s="22"/>
      <c r="PDF417" s="22"/>
      <c r="PDG417" s="22"/>
      <c r="PDH417" s="22"/>
      <c r="PDI417" s="22"/>
      <c r="PDJ417" s="22"/>
      <c r="PDK417" s="22"/>
      <c r="PDL417" s="22"/>
      <c r="PDM417" s="22"/>
      <c r="PDN417" s="22"/>
      <c r="PDO417" s="22"/>
      <c r="PDP417" s="22"/>
      <c r="PDQ417" s="22"/>
      <c r="PDR417" s="22"/>
      <c r="PDS417" s="22"/>
      <c r="PDT417" s="22"/>
      <c r="PDU417" s="22"/>
      <c r="PDV417" s="22"/>
      <c r="PDW417" s="22"/>
      <c r="PDX417" s="22"/>
      <c r="PDY417" s="22"/>
      <c r="PDZ417" s="22"/>
      <c r="PEA417" s="22"/>
      <c r="PEB417" s="22"/>
      <c r="PEC417" s="22"/>
      <c r="PED417" s="22"/>
      <c r="PEE417" s="22"/>
      <c r="PEF417" s="22"/>
      <c r="PEG417" s="22"/>
      <c r="PEH417" s="22"/>
      <c r="PEI417" s="22"/>
      <c r="PEJ417" s="22"/>
      <c r="PEK417" s="22"/>
      <c r="PEL417" s="22"/>
      <c r="PEM417" s="22"/>
      <c r="PEN417" s="22"/>
      <c r="PEO417" s="22"/>
      <c r="PEP417" s="22"/>
      <c r="PEQ417" s="22"/>
      <c r="PER417" s="22"/>
      <c r="PES417" s="22"/>
      <c r="PET417" s="22"/>
      <c r="PEU417" s="22"/>
      <c r="PEV417" s="22"/>
      <c r="PEW417" s="22"/>
      <c r="PEX417" s="22"/>
      <c r="PEY417" s="22"/>
      <c r="PEZ417" s="22"/>
      <c r="PFA417" s="22"/>
      <c r="PFB417" s="22"/>
      <c r="PFC417" s="22"/>
      <c r="PFD417" s="22"/>
      <c r="PFE417" s="22"/>
      <c r="PFF417" s="22"/>
      <c r="PFG417" s="22"/>
      <c r="PFH417" s="22"/>
      <c r="PFI417" s="22"/>
      <c r="PFJ417" s="22"/>
      <c r="PFK417" s="22"/>
      <c r="PFL417" s="22"/>
      <c r="PFM417" s="22"/>
      <c r="PFN417" s="22"/>
      <c r="PFO417" s="22"/>
      <c r="PFP417" s="22"/>
      <c r="PFQ417" s="22"/>
      <c r="PFR417" s="22"/>
      <c r="PFS417" s="22"/>
      <c r="PFT417" s="22"/>
      <c r="PFU417" s="22"/>
      <c r="PFV417" s="22"/>
      <c r="PFW417" s="22"/>
      <c r="PFX417" s="22"/>
      <c r="PFY417" s="22"/>
      <c r="PFZ417" s="22"/>
      <c r="PGA417" s="22"/>
      <c r="PGB417" s="22"/>
      <c r="PGC417" s="22"/>
      <c r="PGD417" s="22"/>
      <c r="PGE417" s="22"/>
      <c r="PGF417" s="22"/>
      <c r="PGG417" s="22"/>
      <c r="PGH417" s="22"/>
      <c r="PGI417" s="22"/>
      <c r="PGJ417" s="22"/>
      <c r="PGK417" s="22"/>
      <c r="PGL417" s="22"/>
      <c r="PGM417" s="22"/>
      <c r="PGN417" s="22"/>
      <c r="PGO417" s="22"/>
      <c r="PGP417" s="22"/>
      <c r="PGQ417" s="22"/>
      <c r="PGR417" s="22"/>
      <c r="PGS417" s="22"/>
      <c r="PGT417" s="22"/>
      <c r="PGU417" s="22"/>
      <c r="PGV417" s="22"/>
      <c r="PGW417" s="22"/>
      <c r="PGX417" s="22"/>
      <c r="PGY417" s="22"/>
      <c r="PGZ417" s="22"/>
      <c r="PHA417" s="22"/>
      <c r="PHB417" s="22"/>
      <c r="PHC417" s="22"/>
      <c r="PHD417" s="22"/>
      <c r="PHE417" s="22"/>
      <c r="PHF417" s="22"/>
      <c r="PHG417" s="22"/>
      <c r="PHH417" s="22"/>
      <c r="PHI417" s="22"/>
      <c r="PHJ417" s="22"/>
      <c r="PHK417" s="22"/>
      <c r="PHL417" s="22"/>
      <c r="PHM417" s="22"/>
      <c r="PHN417" s="22"/>
      <c r="PHO417" s="22"/>
      <c r="PHP417" s="22"/>
      <c r="PHQ417" s="22"/>
      <c r="PHR417" s="22"/>
      <c r="PHS417" s="22"/>
      <c r="PHT417" s="22"/>
      <c r="PHU417" s="22"/>
      <c r="PHV417" s="22"/>
      <c r="PHW417" s="22"/>
      <c r="PHX417" s="22"/>
      <c r="PHY417" s="22"/>
      <c r="PHZ417" s="22"/>
      <c r="PIA417" s="22"/>
      <c r="PIB417" s="22"/>
      <c r="PIC417" s="22"/>
      <c r="PID417" s="22"/>
      <c r="PIE417" s="22"/>
      <c r="PIF417" s="22"/>
      <c r="PIG417" s="22"/>
      <c r="PIH417" s="22"/>
      <c r="PII417" s="22"/>
      <c r="PIJ417" s="22"/>
      <c r="PIK417" s="22"/>
      <c r="PIL417" s="22"/>
      <c r="PIM417" s="22"/>
      <c r="PIN417" s="22"/>
      <c r="PIO417" s="22"/>
      <c r="PIP417" s="22"/>
      <c r="PIQ417" s="22"/>
      <c r="PIR417" s="22"/>
      <c r="PIS417" s="22"/>
      <c r="PIT417" s="22"/>
      <c r="PIU417" s="22"/>
      <c r="PIV417" s="22"/>
      <c r="PIW417" s="22"/>
      <c r="PIX417" s="22"/>
      <c r="PIY417" s="22"/>
      <c r="PIZ417" s="22"/>
      <c r="PJA417" s="22"/>
      <c r="PJB417" s="22"/>
      <c r="PJC417" s="22"/>
      <c r="PJD417" s="22"/>
      <c r="PJE417" s="22"/>
      <c r="PJF417" s="22"/>
      <c r="PJG417" s="22"/>
      <c r="PJH417" s="22"/>
      <c r="PJI417" s="22"/>
      <c r="PJJ417" s="22"/>
      <c r="PJK417" s="22"/>
      <c r="PJL417" s="22"/>
      <c r="PJM417" s="22"/>
      <c r="PJN417" s="22"/>
      <c r="PJO417" s="22"/>
      <c r="PJP417" s="22"/>
      <c r="PJQ417" s="22"/>
      <c r="PJR417" s="22"/>
      <c r="PJS417" s="22"/>
      <c r="PJT417" s="22"/>
      <c r="PJU417" s="22"/>
      <c r="PJV417" s="22"/>
      <c r="PJW417" s="22"/>
      <c r="PJX417" s="22"/>
      <c r="PJY417" s="22"/>
      <c r="PJZ417" s="22"/>
      <c r="PKA417" s="22"/>
      <c r="PKB417" s="22"/>
      <c r="PKC417" s="22"/>
      <c r="PKD417" s="22"/>
      <c r="PKE417" s="22"/>
      <c r="PKF417" s="22"/>
      <c r="PKG417" s="22"/>
      <c r="PKH417" s="22"/>
      <c r="PKI417" s="22"/>
      <c r="PKJ417" s="22"/>
      <c r="PKK417" s="22"/>
      <c r="PKL417" s="22"/>
      <c r="PKM417" s="22"/>
      <c r="PKN417" s="22"/>
      <c r="PKO417" s="22"/>
      <c r="PKP417" s="22"/>
      <c r="PKQ417" s="22"/>
      <c r="PKR417" s="22"/>
      <c r="PKS417" s="22"/>
      <c r="PKT417" s="22"/>
      <c r="PKU417" s="22"/>
      <c r="PKV417" s="22"/>
      <c r="PKW417" s="22"/>
      <c r="PKX417" s="22"/>
      <c r="PKY417" s="22"/>
      <c r="PKZ417" s="22"/>
      <c r="PLA417" s="22"/>
      <c r="PLB417" s="22"/>
      <c r="PLC417" s="22"/>
      <c r="PLD417" s="22"/>
      <c r="PLE417" s="22"/>
      <c r="PLF417" s="22"/>
      <c r="PLG417" s="22"/>
      <c r="PLH417" s="22"/>
      <c r="PLI417" s="22"/>
      <c r="PLJ417" s="22"/>
      <c r="PLK417" s="22"/>
      <c r="PLL417" s="22"/>
      <c r="PLM417" s="22"/>
      <c r="PLN417" s="22"/>
      <c r="PLO417" s="22"/>
      <c r="PLP417" s="22"/>
      <c r="PLQ417" s="22"/>
      <c r="PLR417" s="22"/>
      <c r="PLS417" s="22"/>
      <c r="PLT417" s="22"/>
      <c r="PLU417" s="22"/>
      <c r="PLV417" s="22"/>
      <c r="PLW417" s="22"/>
      <c r="PLX417" s="22"/>
      <c r="PLY417" s="22"/>
      <c r="PLZ417" s="22"/>
      <c r="PMA417" s="22"/>
      <c r="PMB417" s="22"/>
      <c r="PMC417" s="22"/>
      <c r="PMD417" s="22"/>
      <c r="PME417" s="22"/>
      <c r="PMF417" s="22"/>
      <c r="PMG417" s="22"/>
      <c r="PMH417" s="22"/>
      <c r="PMI417" s="22"/>
      <c r="PMJ417" s="22"/>
      <c r="PMK417" s="22"/>
      <c r="PML417" s="22"/>
      <c r="PMM417" s="22"/>
      <c r="PMN417" s="22"/>
      <c r="PMO417" s="22"/>
      <c r="PMP417" s="22"/>
      <c r="PMQ417" s="22"/>
      <c r="PMR417" s="22"/>
      <c r="PMS417" s="22"/>
      <c r="PMT417" s="22"/>
      <c r="PMU417" s="22"/>
      <c r="PMV417" s="22"/>
      <c r="PMW417" s="22"/>
      <c r="PMX417" s="22"/>
      <c r="PMY417" s="22"/>
      <c r="PMZ417" s="22"/>
      <c r="PNA417" s="22"/>
      <c r="PNB417" s="22"/>
      <c r="PNC417" s="22"/>
      <c r="PND417" s="22"/>
      <c r="PNE417" s="22"/>
      <c r="PNF417" s="22"/>
      <c r="PNG417" s="22"/>
      <c r="PNH417" s="22"/>
      <c r="PNI417" s="22"/>
      <c r="PNJ417" s="22"/>
      <c r="PNK417" s="22"/>
      <c r="PNL417" s="22"/>
      <c r="PNM417" s="22"/>
      <c r="PNN417" s="22"/>
      <c r="PNO417" s="22"/>
      <c r="PNP417" s="22"/>
      <c r="PNQ417" s="22"/>
      <c r="PNR417" s="22"/>
      <c r="PNS417" s="22"/>
      <c r="PNT417" s="22"/>
      <c r="PNU417" s="22"/>
      <c r="PNV417" s="22"/>
      <c r="PNW417" s="22"/>
      <c r="PNX417" s="22"/>
      <c r="PNY417" s="22"/>
      <c r="PNZ417" s="22"/>
      <c r="POA417" s="22"/>
      <c r="POB417" s="22"/>
      <c r="POC417" s="22"/>
      <c r="POD417" s="22"/>
      <c r="POE417" s="22"/>
      <c r="POF417" s="22"/>
      <c r="POG417" s="22"/>
      <c r="POH417" s="22"/>
      <c r="POI417" s="22"/>
      <c r="POJ417" s="22"/>
      <c r="POK417" s="22"/>
      <c r="POL417" s="22"/>
      <c r="POM417" s="22"/>
      <c r="PON417" s="22"/>
      <c r="POO417" s="22"/>
      <c r="POP417" s="22"/>
      <c r="POQ417" s="22"/>
      <c r="POR417" s="22"/>
      <c r="POS417" s="22"/>
      <c r="POT417" s="22"/>
      <c r="POU417" s="22"/>
      <c r="POV417" s="22"/>
      <c r="POW417" s="22"/>
      <c r="POX417" s="22"/>
      <c r="POY417" s="22"/>
      <c r="POZ417" s="22"/>
      <c r="PPA417" s="22"/>
      <c r="PPB417" s="22"/>
      <c r="PPC417" s="22"/>
      <c r="PPD417" s="22"/>
      <c r="PPE417" s="22"/>
      <c r="PPF417" s="22"/>
      <c r="PPG417" s="22"/>
      <c r="PPH417" s="22"/>
      <c r="PPI417" s="22"/>
      <c r="PPJ417" s="22"/>
      <c r="PPK417" s="22"/>
      <c r="PPL417" s="22"/>
      <c r="PPM417" s="22"/>
      <c r="PPN417" s="22"/>
      <c r="PPO417" s="22"/>
      <c r="PPP417" s="22"/>
      <c r="PPQ417" s="22"/>
      <c r="PPR417" s="22"/>
      <c r="PPS417" s="22"/>
      <c r="PPT417" s="22"/>
      <c r="PPU417" s="22"/>
      <c r="PPV417" s="22"/>
      <c r="PPW417" s="22"/>
      <c r="PPX417" s="22"/>
      <c r="PPY417" s="22"/>
      <c r="PPZ417" s="22"/>
      <c r="PQA417" s="22"/>
      <c r="PQB417" s="22"/>
      <c r="PQC417" s="22"/>
      <c r="PQD417" s="22"/>
      <c r="PQE417" s="22"/>
      <c r="PQF417" s="22"/>
      <c r="PQG417" s="22"/>
      <c r="PQH417" s="22"/>
      <c r="PQI417" s="22"/>
      <c r="PQJ417" s="22"/>
      <c r="PQK417" s="22"/>
      <c r="PQL417" s="22"/>
      <c r="PQM417" s="22"/>
      <c r="PQN417" s="22"/>
      <c r="PQO417" s="22"/>
      <c r="PQP417" s="22"/>
      <c r="PQQ417" s="22"/>
      <c r="PQR417" s="22"/>
      <c r="PQS417" s="22"/>
      <c r="PQT417" s="22"/>
      <c r="PQU417" s="22"/>
      <c r="PQV417" s="22"/>
      <c r="PQW417" s="22"/>
      <c r="PQX417" s="22"/>
      <c r="PQY417" s="22"/>
      <c r="PQZ417" s="22"/>
      <c r="PRA417" s="22"/>
      <c r="PRB417" s="22"/>
      <c r="PRC417" s="22"/>
      <c r="PRD417" s="22"/>
      <c r="PRE417" s="22"/>
      <c r="PRF417" s="22"/>
      <c r="PRG417" s="22"/>
      <c r="PRH417" s="22"/>
      <c r="PRI417" s="22"/>
      <c r="PRJ417" s="22"/>
      <c r="PRK417" s="22"/>
      <c r="PRL417" s="22"/>
      <c r="PRM417" s="22"/>
      <c r="PRN417" s="22"/>
      <c r="PRO417" s="22"/>
      <c r="PRP417" s="22"/>
      <c r="PRQ417" s="22"/>
      <c r="PRR417" s="22"/>
      <c r="PRS417" s="22"/>
      <c r="PRT417" s="22"/>
      <c r="PRU417" s="22"/>
      <c r="PRV417" s="22"/>
      <c r="PRW417" s="22"/>
      <c r="PRX417" s="22"/>
      <c r="PRY417" s="22"/>
      <c r="PRZ417" s="22"/>
      <c r="PSA417" s="22"/>
      <c r="PSB417" s="22"/>
      <c r="PSC417" s="22"/>
      <c r="PSD417" s="22"/>
      <c r="PSE417" s="22"/>
      <c r="PSF417" s="22"/>
      <c r="PSG417" s="22"/>
      <c r="PSH417" s="22"/>
      <c r="PSI417" s="22"/>
      <c r="PSJ417" s="22"/>
      <c r="PSK417" s="22"/>
      <c r="PSL417" s="22"/>
      <c r="PSM417" s="22"/>
      <c r="PSN417" s="22"/>
      <c r="PSO417" s="22"/>
      <c r="PSP417" s="22"/>
      <c r="PSQ417" s="22"/>
      <c r="PSR417" s="22"/>
      <c r="PSS417" s="22"/>
      <c r="PST417" s="22"/>
      <c r="PSU417" s="22"/>
      <c r="PSV417" s="22"/>
      <c r="PSW417" s="22"/>
      <c r="PSX417" s="22"/>
      <c r="PSY417" s="22"/>
      <c r="PSZ417" s="22"/>
      <c r="PTA417" s="22"/>
      <c r="PTB417" s="22"/>
      <c r="PTC417" s="22"/>
      <c r="PTD417" s="22"/>
      <c r="PTE417" s="22"/>
      <c r="PTF417" s="22"/>
      <c r="PTG417" s="22"/>
      <c r="PTH417" s="22"/>
      <c r="PTI417" s="22"/>
      <c r="PTJ417" s="22"/>
      <c r="PTK417" s="22"/>
      <c r="PTL417" s="22"/>
      <c r="PTM417" s="22"/>
      <c r="PTN417" s="22"/>
      <c r="PTO417" s="22"/>
      <c r="PTP417" s="22"/>
      <c r="PTQ417" s="22"/>
      <c r="PTR417" s="22"/>
      <c r="PTS417" s="22"/>
      <c r="PTT417" s="22"/>
      <c r="PTU417" s="22"/>
      <c r="PTV417" s="22"/>
      <c r="PTW417" s="22"/>
      <c r="PTX417" s="22"/>
      <c r="PTY417" s="22"/>
      <c r="PTZ417" s="22"/>
      <c r="PUA417" s="22"/>
      <c r="PUB417" s="22"/>
      <c r="PUC417" s="22"/>
      <c r="PUD417" s="22"/>
      <c r="PUE417" s="22"/>
      <c r="PUF417" s="22"/>
      <c r="PUG417" s="22"/>
      <c r="PUH417" s="22"/>
      <c r="PUI417" s="22"/>
      <c r="PUJ417" s="22"/>
      <c r="PUK417" s="22"/>
      <c r="PUL417" s="22"/>
      <c r="PUM417" s="22"/>
      <c r="PUN417" s="22"/>
      <c r="PUO417" s="22"/>
      <c r="PUP417" s="22"/>
      <c r="PUQ417" s="22"/>
      <c r="PUR417" s="22"/>
      <c r="PUS417" s="22"/>
      <c r="PUT417" s="22"/>
      <c r="PUU417" s="22"/>
      <c r="PUV417" s="22"/>
      <c r="PUW417" s="22"/>
      <c r="PUX417" s="22"/>
      <c r="PUY417" s="22"/>
      <c r="PUZ417" s="22"/>
      <c r="PVA417" s="22"/>
      <c r="PVB417" s="22"/>
      <c r="PVC417" s="22"/>
      <c r="PVD417" s="22"/>
      <c r="PVE417" s="22"/>
      <c r="PVF417" s="22"/>
      <c r="PVG417" s="22"/>
      <c r="PVH417" s="22"/>
      <c r="PVI417" s="22"/>
      <c r="PVJ417" s="22"/>
      <c r="PVK417" s="22"/>
      <c r="PVL417" s="22"/>
      <c r="PVM417" s="22"/>
      <c r="PVN417" s="22"/>
      <c r="PVO417" s="22"/>
      <c r="PVP417" s="22"/>
      <c r="PVQ417" s="22"/>
      <c r="PVR417" s="22"/>
      <c r="PVS417" s="22"/>
      <c r="PVT417" s="22"/>
      <c r="PVU417" s="22"/>
      <c r="PVV417" s="22"/>
      <c r="PVW417" s="22"/>
      <c r="PVX417" s="22"/>
      <c r="PVY417" s="22"/>
      <c r="PVZ417" s="22"/>
      <c r="PWA417" s="22"/>
      <c r="PWB417" s="22"/>
      <c r="PWC417" s="22"/>
      <c r="PWD417" s="22"/>
      <c r="PWE417" s="22"/>
      <c r="PWF417" s="22"/>
      <c r="PWG417" s="22"/>
      <c r="PWH417" s="22"/>
      <c r="PWI417" s="22"/>
      <c r="PWJ417" s="22"/>
      <c r="PWK417" s="22"/>
      <c r="PWL417" s="22"/>
      <c r="PWM417" s="22"/>
      <c r="PWN417" s="22"/>
      <c r="PWO417" s="22"/>
      <c r="PWP417" s="22"/>
      <c r="PWQ417" s="22"/>
      <c r="PWR417" s="22"/>
      <c r="PWS417" s="22"/>
      <c r="PWT417" s="22"/>
      <c r="PWU417" s="22"/>
      <c r="PWV417" s="22"/>
      <c r="PWW417" s="22"/>
      <c r="PWX417" s="22"/>
      <c r="PWY417" s="22"/>
      <c r="PWZ417" s="22"/>
      <c r="PXA417" s="22"/>
      <c r="PXB417" s="22"/>
      <c r="PXC417" s="22"/>
      <c r="PXD417" s="22"/>
      <c r="PXE417" s="22"/>
      <c r="PXF417" s="22"/>
      <c r="PXG417" s="22"/>
      <c r="PXH417" s="22"/>
      <c r="PXI417" s="22"/>
      <c r="PXJ417" s="22"/>
      <c r="PXK417" s="22"/>
      <c r="PXL417" s="22"/>
      <c r="PXM417" s="22"/>
      <c r="PXN417" s="22"/>
      <c r="PXO417" s="22"/>
      <c r="PXP417" s="22"/>
      <c r="PXQ417" s="22"/>
      <c r="PXR417" s="22"/>
      <c r="PXS417" s="22"/>
      <c r="PXT417" s="22"/>
      <c r="PXU417" s="22"/>
      <c r="PXV417" s="22"/>
      <c r="PXW417" s="22"/>
      <c r="PXX417" s="22"/>
      <c r="PXY417" s="22"/>
      <c r="PXZ417" s="22"/>
      <c r="PYA417" s="22"/>
      <c r="PYB417" s="22"/>
      <c r="PYC417" s="22"/>
      <c r="PYD417" s="22"/>
      <c r="PYE417" s="22"/>
      <c r="PYF417" s="22"/>
      <c r="PYG417" s="22"/>
      <c r="PYH417" s="22"/>
      <c r="PYI417" s="22"/>
      <c r="PYJ417" s="22"/>
      <c r="PYK417" s="22"/>
      <c r="PYL417" s="22"/>
      <c r="PYM417" s="22"/>
      <c r="PYN417" s="22"/>
      <c r="PYO417" s="22"/>
      <c r="PYP417" s="22"/>
      <c r="PYQ417" s="22"/>
      <c r="PYR417" s="22"/>
      <c r="PYS417" s="22"/>
      <c r="PYT417" s="22"/>
      <c r="PYU417" s="22"/>
      <c r="PYV417" s="22"/>
      <c r="PYW417" s="22"/>
      <c r="PYX417" s="22"/>
      <c r="PYY417" s="22"/>
      <c r="PYZ417" s="22"/>
      <c r="PZA417" s="22"/>
      <c r="PZB417" s="22"/>
      <c r="PZC417" s="22"/>
      <c r="PZD417" s="22"/>
      <c r="PZE417" s="22"/>
      <c r="PZF417" s="22"/>
      <c r="PZG417" s="22"/>
      <c r="PZH417" s="22"/>
      <c r="PZI417" s="22"/>
      <c r="PZJ417" s="22"/>
      <c r="PZK417" s="22"/>
      <c r="PZL417" s="22"/>
      <c r="PZM417" s="22"/>
      <c r="PZN417" s="22"/>
      <c r="PZO417" s="22"/>
      <c r="PZP417" s="22"/>
      <c r="PZQ417" s="22"/>
      <c r="PZR417" s="22"/>
      <c r="PZS417" s="22"/>
      <c r="PZT417" s="22"/>
      <c r="PZU417" s="22"/>
      <c r="PZV417" s="22"/>
      <c r="PZW417" s="22"/>
      <c r="PZX417" s="22"/>
      <c r="PZY417" s="22"/>
      <c r="PZZ417" s="22"/>
      <c r="QAA417" s="22"/>
      <c r="QAB417" s="22"/>
      <c r="QAC417" s="22"/>
      <c r="QAD417" s="22"/>
      <c r="QAE417" s="22"/>
      <c r="QAF417" s="22"/>
      <c r="QAG417" s="22"/>
      <c r="QAH417" s="22"/>
      <c r="QAI417" s="22"/>
      <c r="QAJ417" s="22"/>
      <c r="QAK417" s="22"/>
      <c r="QAL417" s="22"/>
      <c r="QAM417" s="22"/>
      <c r="QAN417" s="22"/>
      <c r="QAO417" s="22"/>
      <c r="QAP417" s="22"/>
      <c r="QAQ417" s="22"/>
      <c r="QAR417" s="22"/>
      <c r="QAS417" s="22"/>
      <c r="QAT417" s="22"/>
      <c r="QAU417" s="22"/>
      <c r="QAV417" s="22"/>
      <c r="QAW417" s="22"/>
      <c r="QAX417" s="22"/>
      <c r="QAY417" s="22"/>
      <c r="QAZ417" s="22"/>
      <c r="QBA417" s="22"/>
      <c r="QBB417" s="22"/>
      <c r="QBC417" s="22"/>
      <c r="QBD417" s="22"/>
      <c r="QBE417" s="22"/>
      <c r="QBF417" s="22"/>
      <c r="QBG417" s="22"/>
      <c r="QBH417" s="22"/>
      <c r="QBI417" s="22"/>
      <c r="QBJ417" s="22"/>
      <c r="QBK417" s="22"/>
      <c r="QBL417" s="22"/>
      <c r="QBM417" s="22"/>
      <c r="QBN417" s="22"/>
      <c r="QBO417" s="22"/>
      <c r="QBP417" s="22"/>
      <c r="QBQ417" s="22"/>
      <c r="QBR417" s="22"/>
      <c r="QBS417" s="22"/>
      <c r="QBT417" s="22"/>
      <c r="QBU417" s="22"/>
      <c r="QBV417" s="22"/>
      <c r="QBW417" s="22"/>
      <c r="QBX417" s="22"/>
      <c r="QBY417" s="22"/>
      <c r="QBZ417" s="22"/>
      <c r="QCA417" s="22"/>
      <c r="QCB417" s="22"/>
      <c r="QCC417" s="22"/>
      <c r="QCD417" s="22"/>
      <c r="QCE417" s="22"/>
      <c r="QCF417" s="22"/>
      <c r="QCG417" s="22"/>
      <c r="QCH417" s="22"/>
      <c r="QCI417" s="22"/>
      <c r="QCJ417" s="22"/>
      <c r="QCK417" s="22"/>
      <c r="QCL417" s="22"/>
      <c r="QCM417" s="22"/>
      <c r="QCN417" s="22"/>
      <c r="QCO417" s="22"/>
      <c r="QCP417" s="22"/>
      <c r="QCQ417" s="22"/>
      <c r="QCR417" s="22"/>
      <c r="QCS417" s="22"/>
      <c r="QCT417" s="22"/>
      <c r="QCU417" s="22"/>
      <c r="QCV417" s="22"/>
      <c r="QCW417" s="22"/>
      <c r="QCX417" s="22"/>
      <c r="QCY417" s="22"/>
      <c r="QCZ417" s="22"/>
      <c r="QDA417" s="22"/>
      <c r="QDB417" s="22"/>
      <c r="QDC417" s="22"/>
      <c r="QDD417" s="22"/>
      <c r="QDE417" s="22"/>
      <c r="QDF417" s="22"/>
      <c r="QDG417" s="22"/>
      <c r="QDH417" s="22"/>
      <c r="QDI417" s="22"/>
      <c r="QDJ417" s="22"/>
      <c r="QDK417" s="22"/>
      <c r="QDL417" s="22"/>
      <c r="QDM417" s="22"/>
      <c r="QDN417" s="22"/>
      <c r="QDO417" s="22"/>
      <c r="QDP417" s="22"/>
      <c r="QDQ417" s="22"/>
      <c r="QDR417" s="22"/>
      <c r="QDS417" s="22"/>
      <c r="QDT417" s="22"/>
      <c r="QDU417" s="22"/>
      <c r="QDV417" s="22"/>
      <c r="QDW417" s="22"/>
      <c r="QDX417" s="22"/>
      <c r="QDY417" s="22"/>
      <c r="QDZ417" s="22"/>
      <c r="QEA417" s="22"/>
      <c r="QEB417" s="22"/>
      <c r="QEC417" s="22"/>
      <c r="QED417" s="22"/>
      <c r="QEE417" s="22"/>
      <c r="QEF417" s="22"/>
      <c r="QEG417" s="22"/>
      <c r="QEH417" s="22"/>
      <c r="QEI417" s="22"/>
      <c r="QEJ417" s="22"/>
      <c r="QEK417" s="22"/>
      <c r="QEL417" s="22"/>
      <c r="QEM417" s="22"/>
      <c r="QEN417" s="22"/>
      <c r="QEO417" s="22"/>
      <c r="QEP417" s="22"/>
      <c r="QEQ417" s="22"/>
      <c r="QER417" s="22"/>
      <c r="QES417" s="22"/>
      <c r="QET417" s="22"/>
      <c r="QEU417" s="22"/>
      <c r="QEV417" s="22"/>
      <c r="QEW417" s="22"/>
      <c r="QEX417" s="22"/>
      <c r="QEY417" s="22"/>
      <c r="QEZ417" s="22"/>
      <c r="QFA417" s="22"/>
      <c r="QFB417" s="22"/>
      <c r="QFC417" s="22"/>
      <c r="QFD417" s="22"/>
      <c r="QFE417" s="22"/>
      <c r="QFF417" s="22"/>
      <c r="QFG417" s="22"/>
      <c r="QFH417" s="22"/>
      <c r="QFI417" s="22"/>
      <c r="QFJ417" s="22"/>
      <c r="QFK417" s="22"/>
      <c r="QFL417" s="22"/>
      <c r="QFM417" s="22"/>
      <c r="QFN417" s="22"/>
      <c r="QFO417" s="22"/>
      <c r="QFP417" s="22"/>
      <c r="QFQ417" s="22"/>
      <c r="QFR417" s="22"/>
      <c r="QFS417" s="22"/>
      <c r="QFT417" s="22"/>
      <c r="QFU417" s="22"/>
      <c r="QFV417" s="22"/>
      <c r="QFW417" s="22"/>
      <c r="QFX417" s="22"/>
      <c r="QFY417" s="22"/>
      <c r="QFZ417" s="22"/>
      <c r="QGA417" s="22"/>
      <c r="QGB417" s="22"/>
      <c r="QGC417" s="22"/>
      <c r="QGD417" s="22"/>
      <c r="QGE417" s="22"/>
      <c r="QGF417" s="22"/>
      <c r="QGG417" s="22"/>
      <c r="QGH417" s="22"/>
      <c r="QGI417" s="22"/>
      <c r="QGJ417" s="22"/>
      <c r="QGK417" s="22"/>
      <c r="QGL417" s="22"/>
      <c r="QGM417" s="22"/>
      <c r="QGN417" s="22"/>
      <c r="QGO417" s="22"/>
      <c r="QGP417" s="22"/>
      <c r="QGQ417" s="22"/>
      <c r="QGR417" s="22"/>
      <c r="QGS417" s="22"/>
      <c r="QGT417" s="22"/>
      <c r="QGU417" s="22"/>
      <c r="QGV417" s="22"/>
      <c r="QGW417" s="22"/>
      <c r="QGX417" s="22"/>
      <c r="QGY417" s="22"/>
      <c r="QGZ417" s="22"/>
      <c r="QHA417" s="22"/>
      <c r="QHB417" s="22"/>
      <c r="QHC417" s="22"/>
      <c r="QHD417" s="22"/>
      <c r="QHE417" s="22"/>
      <c r="QHF417" s="22"/>
      <c r="QHG417" s="22"/>
      <c r="QHH417" s="22"/>
      <c r="QHI417" s="22"/>
      <c r="QHJ417" s="22"/>
      <c r="QHK417" s="22"/>
      <c r="QHL417" s="22"/>
      <c r="QHM417" s="22"/>
      <c r="QHN417" s="22"/>
      <c r="QHO417" s="22"/>
      <c r="QHP417" s="22"/>
      <c r="QHQ417" s="22"/>
      <c r="QHR417" s="22"/>
      <c r="QHS417" s="22"/>
      <c r="QHT417" s="22"/>
      <c r="QHU417" s="22"/>
      <c r="QHV417" s="22"/>
      <c r="QHW417" s="22"/>
      <c r="QHX417" s="22"/>
      <c r="QHY417" s="22"/>
      <c r="QHZ417" s="22"/>
      <c r="QIA417" s="22"/>
      <c r="QIB417" s="22"/>
      <c r="QIC417" s="22"/>
      <c r="QID417" s="22"/>
      <c r="QIE417" s="22"/>
      <c r="QIF417" s="22"/>
      <c r="QIG417" s="22"/>
      <c r="QIH417" s="22"/>
      <c r="QII417" s="22"/>
      <c r="QIJ417" s="22"/>
      <c r="QIK417" s="22"/>
      <c r="QIL417" s="22"/>
      <c r="QIM417" s="22"/>
      <c r="QIN417" s="22"/>
      <c r="QIO417" s="22"/>
      <c r="QIP417" s="22"/>
      <c r="QIQ417" s="22"/>
      <c r="QIR417" s="22"/>
      <c r="QIS417" s="22"/>
      <c r="QIT417" s="22"/>
      <c r="QIU417" s="22"/>
      <c r="QIV417" s="22"/>
      <c r="QIW417" s="22"/>
      <c r="QIX417" s="22"/>
      <c r="QIY417" s="22"/>
      <c r="QIZ417" s="22"/>
      <c r="QJA417" s="22"/>
      <c r="QJB417" s="22"/>
      <c r="QJC417" s="22"/>
      <c r="QJD417" s="22"/>
      <c r="QJE417" s="22"/>
      <c r="QJF417" s="22"/>
      <c r="QJG417" s="22"/>
      <c r="QJH417" s="22"/>
      <c r="QJI417" s="22"/>
      <c r="QJJ417" s="22"/>
      <c r="QJK417" s="22"/>
      <c r="QJL417" s="22"/>
      <c r="QJM417" s="22"/>
      <c r="QJN417" s="22"/>
      <c r="QJO417" s="22"/>
      <c r="QJP417" s="22"/>
      <c r="QJQ417" s="22"/>
      <c r="QJR417" s="22"/>
      <c r="QJS417" s="22"/>
      <c r="QJT417" s="22"/>
      <c r="QJU417" s="22"/>
      <c r="QJV417" s="22"/>
      <c r="QJW417" s="22"/>
      <c r="QJX417" s="22"/>
      <c r="QJY417" s="22"/>
      <c r="QJZ417" s="22"/>
      <c r="QKA417" s="22"/>
      <c r="QKB417" s="22"/>
      <c r="QKC417" s="22"/>
      <c r="QKD417" s="22"/>
      <c r="QKE417" s="22"/>
      <c r="QKF417" s="22"/>
      <c r="QKG417" s="22"/>
      <c r="QKH417" s="22"/>
      <c r="QKI417" s="22"/>
      <c r="QKJ417" s="22"/>
      <c r="QKK417" s="22"/>
      <c r="QKL417" s="22"/>
      <c r="QKM417" s="22"/>
      <c r="QKN417" s="22"/>
      <c r="QKO417" s="22"/>
      <c r="QKP417" s="22"/>
      <c r="QKQ417" s="22"/>
      <c r="QKR417" s="22"/>
      <c r="QKS417" s="22"/>
      <c r="QKT417" s="22"/>
      <c r="QKU417" s="22"/>
      <c r="QKV417" s="22"/>
      <c r="QKW417" s="22"/>
      <c r="QKX417" s="22"/>
      <c r="QKY417" s="22"/>
      <c r="QKZ417" s="22"/>
      <c r="QLA417" s="22"/>
      <c r="QLB417" s="22"/>
      <c r="QLC417" s="22"/>
      <c r="QLD417" s="22"/>
      <c r="QLE417" s="22"/>
      <c r="QLF417" s="22"/>
      <c r="QLG417" s="22"/>
      <c r="QLH417" s="22"/>
      <c r="QLI417" s="22"/>
      <c r="QLJ417" s="22"/>
      <c r="QLK417" s="22"/>
      <c r="QLL417" s="22"/>
      <c r="QLM417" s="22"/>
      <c r="QLN417" s="22"/>
      <c r="QLO417" s="22"/>
      <c r="QLP417" s="22"/>
      <c r="QLQ417" s="22"/>
      <c r="QLR417" s="22"/>
      <c r="QLS417" s="22"/>
      <c r="QLT417" s="22"/>
      <c r="QLU417" s="22"/>
      <c r="QLV417" s="22"/>
      <c r="QLW417" s="22"/>
      <c r="QLX417" s="22"/>
      <c r="QLY417" s="22"/>
      <c r="QLZ417" s="22"/>
      <c r="QMA417" s="22"/>
      <c r="QMB417" s="22"/>
      <c r="QMC417" s="22"/>
      <c r="QMD417" s="22"/>
      <c r="QME417" s="22"/>
      <c r="QMF417" s="22"/>
      <c r="QMG417" s="22"/>
      <c r="QMH417" s="22"/>
      <c r="QMI417" s="22"/>
      <c r="QMJ417" s="22"/>
      <c r="QMK417" s="22"/>
      <c r="QML417" s="22"/>
      <c r="QMM417" s="22"/>
      <c r="QMN417" s="22"/>
      <c r="QMO417" s="22"/>
      <c r="QMP417" s="22"/>
      <c r="QMQ417" s="22"/>
      <c r="QMR417" s="22"/>
      <c r="QMS417" s="22"/>
      <c r="QMT417" s="22"/>
      <c r="QMU417" s="22"/>
      <c r="QMV417" s="22"/>
      <c r="QMW417" s="22"/>
      <c r="QMX417" s="22"/>
      <c r="QMY417" s="22"/>
      <c r="QMZ417" s="22"/>
      <c r="QNA417" s="22"/>
      <c r="QNB417" s="22"/>
      <c r="QNC417" s="22"/>
      <c r="QND417" s="22"/>
      <c r="QNE417" s="22"/>
      <c r="QNF417" s="22"/>
      <c r="QNG417" s="22"/>
      <c r="QNH417" s="22"/>
      <c r="QNI417" s="22"/>
      <c r="QNJ417" s="22"/>
      <c r="QNK417" s="22"/>
      <c r="QNL417" s="22"/>
      <c r="QNM417" s="22"/>
      <c r="QNN417" s="22"/>
      <c r="QNO417" s="22"/>
      <c r="QNP417" s="22"/>
      <c r="QNQ417" s="22"/>
      <c r="QNR417" s="22"/>
      <c r="QNS417" s="22"/>
      <c r="QNT417" s="22"/>
      <c r="QNU417" s="22"/>
      <c r="QNV417" s="22"/>
      <c r="QNW417" s="22"/>
      <c r="QNX417" s="22"/>
      <c r="QNY417" s="22"/>
      <c r="QNZ417" s="22"/>
      <c r="QOA417" s="22"/>
      <c r="QOB417" s="22"/>
      <c r="QOC417" s="22"/>
      <c r="QOD417" s="22"/>
      <c r="QOE417" s="22"/>
      <c r="QOF417" s="22"/>
      <c r="QOG417" s="22"/>
      <c r="QOH417" s="22"/>
      <c r="QOI417" s="22"/>
      <c r="QOJ417" s="22"/>
      <c r="QOK417" s="22"/>
      <c r="QOL417" s="22"/>
      <c r="QOM417" s="22"/>
      <c r="QON417" s="22"/>
      <c r="QOO417" s="22"/>
      <c r="QOP417" s="22"/>
      <c r="QOQ417" s="22"/>
      <c r="QOR417" s="22"/>
      <c r="QOS417" s="22"/>
      <c r="QOT417" s="22"/>
      <c r="QOU417" s="22"/>
      <c r="QOV417" s="22"/>
      <c r="QOW417" s="22"/>
      <c r="QOX417" s="22"/>
      <c r="QOY417" s="22"/>
      <c r="QOZ417" s="22"/>
      <c r="QPA417" s="22"/>
      <c r="QPB417" s="22"/>
      <c r="QPC417" s="22"/>
      <c r="QPD417" s="22"/>
      <c r="QPE417" s="22"/>
      <c r="QPF417" s="22"/>
      <c r="QPG417" s="22"/>
      <c r="QPH417" s="22"/>
      <c r="QPI417" s="22"/>
      <c r="QPJ417" s="22"/>
      <c r="QPK417" s="22"/>
      <c r="QPL417" s="22"/>
      <c r="QPM417" s="22"/>
      <c r="QPN417" s="22"/>
      <c r="QPO417" s="22"/>
      <c r="QPP417" s="22"/>
      <c r="QPQ417" s="22"/>
      <c r="QPR417" s="22"/>
      <c r="QPS417" s="22"/>
      <c r="QPT417" s="22"/>
      <c r="QPU417" s="22"/>
      <c r="QPV417" s="22"/>
      <c r="QPW417" s="22"/>
      <c r="QPX417" s="22"/>
      <c r="QPY417" s="22"/>
      <c r="QPZ417" s="22"/>
      <c r="QQA417" s="22"/>
      <c r="QQB417" s="22"/>
      <c r="QQC417" s="22"/>
      <c r="QQD417" s="22"/>
      <c r="QQE417" s="22"/>
      <c r="QQF417" s="22"/>
      <c r="QQG417" s="22"/>
      <c r="QQH417" s="22"/>
      <c r="QQI417" s="22"/>
      <c r="QQJ417" s="22"/>
      <c r="QQK417" s="22"/>
      <c r="QQL417" s="22"/>
      <c r="QQM417" s="22"/>
      <c r="QQN417" s="22"/>
      <c r="QQO417" s="22"/>
      <c r="QQP417" s="22"/>
      <c r="QQQ417" s="22"/>
      <c r="QQR417" s="22"/>
      <c r="QQS417" s="22"/>
      <c r="QQT417" s="22"/>
      <c r="QQU417" s="22"/>
      <c r="QQV417" s="22"/>
      <c r="QQW417" s="22"/>
      <c r="QQX417" s="22"/>
      <c r="QQY417" s="22"/>
      <c r="QQZ417" s="22"/>
      <c r="QRA417" s="22"/>
      <c r="QRB417" s="22"/>
      <c r="QRC417" s="22"/>
      <c r="QRD417" s="22"/>
      <c r="QRE417" s="22"/>
      <c r="QRF417" s="22"/>
      <c r="QRG417" s="22"/>
      <c r="QRH417" s="22"/>
      <c r="QRI417" s="22"/>
      <c r="QRJ417" s="22"/>
      <c r="QRK417" s="22"/>
      <c r="QRL417" s="22"/>
      <c r="QRM417" s="22"/>
      <c r="QRN417" s="22"/>
      <c r="QRO417" s="22"/>
      <c r="QRP417" s="22"/>
      <c r="QRQ417" s="22"/>
      <c r="QRR417" s="22"/>
      <c r="QRS417" s="22"/>
      <c r="QRT417" s="22"/>
      <c r="QRU417" s="22"/>
      <c r="QRV417" s="22"/>
      <c r="QRW417" s="22"/>
      <c r="QRX417" s="22"/>
      <c r="QRY417" s="22"/>
      <c r="QRZ417" s="22"/>
      <c r="QSA417" s="22"/>
      <c r="QSB417" s="22"/>
      <c r="QSC417" s="22"/>
      <c r="QSD417" s="22"/>
      <c r="QSE417" s="22"/>
      <c r="QSF417" s="22"/>
      <c r="QSG417" s="22"/>
      <c r="QSH417" s="22"/>
      <c r="QSI417" s="22"/>
      <c r="QSJ417" s="22"/>
      <c r="QSK417" s="22"/>
      <c r="QSL417" s="22"/>
      <c r="QSM417" s="22"/>
      <c r="QSN417" s="22"/>
      <c r="QSO417" s="22"/>
      <c r="QSP417" s="22"/>
      <c r="QSQ417" s="22"/>
      <c r="QSR417" s="22"/>
      <c r="QSS417" s="22"/>
      <c r="QST417" s="22"/>
      <c r="QSU417" s="22"/>
      <c r="QSV417" s="22"/>
      <c r="QSW417" s="22"/>
      <c r="QSX417" s="22"/>
      <c r="QSY417" s="22"/>
      <c r="QSZ417" s="22"/>
      <c r="QTA417" s="22"/>
      <c r="QTB417" s="22"/>
      <c r="QTC417" s="22"/>
      <c r="QTD417" s="22"/>
      <c r="QTE417" s="22"/>
      <c r="QTF417" s="22"/>
      <c r="QTG417" s="22"/>
      <c r="QTH417" s="22"/>
      <c r="QTI417" s="22"/>
      <c r="QTJ417" s="22"/>
      <c r="QTK417" s="22"/>
      <c r="QTL417" s="22"/>
      <c r="QTM417" s="22"/>
      <c r="QTN417" s="22"/>
      <c r="QTO417" s="22"/>
      <c r="QTP417" s="22"/>
      <c r="QTQ417" s="22"/>
      <c r="QTR417" s="22"/>
      <c r="QTS417" s="22"/>
      <c r="QTT417" s="22"/>
      <c r="QTU417" s="22"/>
      <c r="QTV417" s="22"/>
      <c r="QTW417" s="22"/>
      <c r="QTX417" s="22"/>
      <c r="QTY417" s="22"/>
      <c r="QTZ417" s="22"/>
      <c r="QUA417" s="22"/>
      <c r="QUB417" s="22"/>
      <c r="QUC417" s="22"/>
      <c r="QUD417" s="22"/>
      <c r="QUE417" s="22"/>
      <c r="QUF417" s="22"/>
      <c r="QUG417" s="22"/>
      <c r="QUH417" s="22"/>
      <c r="QUI417" s="22"/>
      <c r="QUJ417" s="22"/>
      <c r="QUK417" s="22"/>
      <c r="QUL417" s="22"/>
      <c r="QUM417" s="22"/>
      <c r="QUN417" s="22"/>
      <c r="QUO417" s="22"/>
      <c r="QUP417" s="22"/>
      <c r="QUQ417" s="22"/>
      <c r="QUR417" s="22"/>
      <c r="QUS417" s="22"/>
      <c r="QUT417" s="22"/>
      <c r="QUU417" s="22"/>
      <c r="QUV417" s="22"/>
      <c r="QUW417" s="22"/>
      <c r="QUX417" s="22"/>
      <c r="QUY417" s="22"/>
      <c r="QUZ417" s="22"/>
      <c r="QVA417" s="22"/>
      <c r="QVB417" s="22"/>
      <c r="QVC417" s="22"/>
      <c r="QVD417" s="22"/>
      <c r="QVE417" s="22"/>
      <c r="QVF417" s="22"/>
      <c r="QVG417" s="22"/>
      <c r="QVH417" s="22"/>
      <c r="QVI417" s="22"/>
      <c r="QVJ417" s="22"/>
      <c r="QVK417" s="22"/>
      <c r="QVL417" s="22"/>
      <c r="QVM417" s="22"/>
      <c r="QVN417" s="22"/>
      <c r="QVO417" s="22"/>
      <c r="QVP417" s="22"/>
      <c r="QVQ417" s="22"/>
      <c r="QVR417" s="22"/>
      <c r="QVS417" s="22"/>
      <c r="QVT417" s="22"/>
      <c r="QVU417" s="22"/>
      <c r="QVV417" s="22"/>
      <c r="QVW417" s="22"/>
      <c r="QVX417" s="22"/>
      <c r="QVY417" s="22"/>
      <c r="QVZ417" s="22"/>
      <c r="QWA417" s="22"/>
      <c r="QWB417" s="22"/>
      <c r="QWC417" s="22"/>
      <c r="QWD417" s="22"/>
      <c r="QWE417" s="22"/>
      <c r="QWF417" s="22"/>
      <c r="QWG417" s="22"/>
      <c r="QWH417" s="22"/>
      <c r="QWI417" s="22"/>
      <c r="QWJ417" s="22"/>
      <c r="QWK417" s="22"/>
      <c r="QWL417" s="22"/>
      <c r="QWM417" s="22"/>
      <c r="QWN417" s="22"/>
      <c r="QWO417" s="22"/>
      <c r="QWP417" s="22"/>
      <c r="QWQ417" s="22"/>
      <c r="QWR417" s="22"/>
      <c r="QWS417" s="22"/>
      <c r="QWT417" s="22"/>
      <c r="QWU417" s="22"/>
      <c r="QWV417" s="22"/>
      <c r="QWW417" s="22"/>
      <c r="QWX417" s="22"/>
      <c r="QWY417" s="22"/>
      <c r="QWZ417" s="22"/>
      <c r="QXA417" s="22"/>
      <c r="QXB417" s="22"/>
      <c r="QXC417" s="22"/>
      <c r="QXD417" s="22"/>
      <c r="QXE417" s="22"/>
      <c r="QXF417" s="22"/>
      <c r="QXG417" s="22"/>
      <c r="QXH417" s="22"/>
      <c r="QXI417" s="22"/>
      <c r="QXJ417" s="22"/>
      <c r="QXK417" s="22"/>
      <c r="QXL417" s="22"/>
      <c r="QXM417" s="22"/>
      <c r="QXN417" s="22"/>
      <c r="QXO417" s="22"/>
      <c r="QXP417" s="22"/>
      <c r="QXQ417" s="22"/>
      <c r="QXR417" s="22"/>
      <c r="QXS417" s="22"/>
      <c r="QXT417" s="22"/>
      <c r="QXU417" s="22"/>
      <c r="QXV417" s="22"/>
      <c r="QXW417" s="22"/>
      <c r="QXX417" s="22"/>
      <c r="QXY417" s="22"/>
      <c r="QXZ417" s="22"/>
      <c r="QYA417" s="22"/>
      <c r="QYB417" s="22"/>
      <c r="QYC417" s="22"/>
      <c r="QYD417" s="22"/>
      <c r="QYE417" s="22"/>
      <c r="QYF417" s="22"/>
      <c r="QYG417" s="22"/>
      <c r="QYH417" s="22"/>
      <c r="QYI417" s="22"/>
      <c r="QYJ417" s="22"/>
      <c r="QYK417" s="22"/>
      <c r="QYL417" s="22"/>
      <c r="QYM417" s="22"/>
      <c r="QYN417" s="22"/>
      <c r="QYO417" s="22"/>
      <c r="QYP417" s="22"/>
      <c r="QYQ417" s="22"/>
      <c r="QYR417" s="22"/>
      <c r="QYS417" s="22"/>
      <c r="QYT417" s="22"/>
      <c r="QYU417" s="22"/>
      <c r="QYV417" s="22"/>
      <c r="QYW417" s="22"/>
      <c r="QYX417" s="22"/>
      <c r="QYY417" s="22"/>
      <c r="QYZ417" s="22"/>
      <c r="QZA417" s="22"/>
      <c r="QZB417" s="22"/>
      <c r="QZC417" s="22"/>
      <c r="QZD417" s="22"/>
      <c r="QZE417" s="22"/>
      <c r="QZF417" s="22"/>
      <c r="QZG417" s="22"/>
      <c r="QZH417" s="22"/>
      <c r="QZI417" s="22"/>
      <c r="QZJ417" s="22"/>
      <c r="QZK417" s="22"/>
      <c r="QZL417" s="22"/>
      <c r="QZM417" s="22"/>
      <c r="QZN417" s="22"/>
      <c r="QZO417" s="22"/>
      <c r="QZP417" s="22"/>
      <c r="QZQ417" s="22"/>
      <c r="QZR417" s="22"/>
      <c r="QZS417" s="22"/>
      <c r="QZT417" s="22"/>
      <c r="QZU417" s="22"/>
      <c r="QZV417" s="22"/>
      <c r="QZW417" s="22"/>
      <c r="QZX417" s="22"/>
      <c r="QZY417" s="22"/>
      <c r="QZZ417" s="22"/>
      <c r="RAA417" s="22"/>
      <c r="RAB417" s="22"/>
      <c r="RAC417" s="22"/>
      <c r="RAD417" s="22"/>
      <c r="RAE417" s="22"/>
      <c r="RAF417" s="22"/>
      <c r="RAG417" s="22"/>
      <c r="RAH417" s="22"/>
      <c r="RAI417" s="22"/>
      <c r="RAJ417" s="22"/>
      <c r="RAK417" s="22"/>
      <c r="RAL417" s="22"/>
      <c r="RAM417" s="22"/>
      <c r="RAN417" s="22"/>
      <c r="RAO417" s="22"/>
      <c r="RAP417" s="22"/>
      <c r="RAQ417" s="22"/>
      <c r="RAR417" s="22"/>
      <c r="RAS417" s="22"/>
      <c r="RAT417" s="22"/>
      <c r="RAU417" s="22"/>
      <c r="RAV417" s="22"/>
      <c r="RAW417" s="22"/>
      <c r="RAX417" s="22"/>
      <c r="RAY417" s="22"/>
      <c r="RAZ417" s="22"/>
      <c r="RBA417" s="22"/>
      <c r="RBB417" s="22"/>
      <c r="RBC417" s="22"/>
      <c r="RBD417" s="22"/>
      <c r="RBE417" s="22"/>
      <c r="RBF417" s="22"/>
      <c r="RBG417" s="22"/>
      <c r="RBH417" s="22"/>
      <c r="RBI417" s="22"/>
      <c r="RBJ417" s="22"/>
      <c r="RBK417" s="22"/>
      <c r="RBL417" s="22"/>
      <c r="RBM417" s="22"/>
      <c r="RBN417" s="22"/>
      <c r="RBO417" s="22"/>
      <c r="RBP417" s="22"/>
      <c r="RBQ417" s="22"/>
      <c r="RBR417" s="22"/>
      <c r="RBS417" s="22"/>
      <c r="RBT417" s="22"/>
      <c r="RBU417" s="22"/>
      <c r="RBV417" s="22"/>
      <c r="RBW417" s="22"/>
      <c r="RBX417" s="22"/>
      <c r="RBY417" s="22"/>
      <c r="RBZ417" s="22"/>
      <c r="RCA417" s="22"/>
      <c r="RCB417" s="22"/>
      <c r="RCC417" s="22"/>
      <c r="RCD417" s="22"/>
      <c r="RCE417" s="22"/>
      <c r="RCF417" s="22"/>
      <c r="RCG417" s="22"/>
      <c r="RCH417" s="22"/>
      <c r="RCI417" s="22"/>
      <c r="RCJ417" s="22"/>
      <c r="RCK417" s="22"/>
      <c r="RCL417" s="22"/>
      <c r="RCM417" s="22"/>
      <c r="RCN417" s="22"/>
      <c r="RCO417" s="22"/>
      <c r="RCP417" s="22"/>
      <c r="RCQ417" s="22"/>
      <c r="RCR417" s="22"/>
      <c r="RCS417" s="22"/>
      <c r="RCT417" s="22"/>
      <c r="RCU417" s="22"/>
      <c r="RCV417" s="22"/>
      <c r="RCW417" s="22"/>
      <c r="RCX417" s="22"/>
      <c r="RCY417" s="22"/>
      <c r="RCZ417" s="22"/>
      <c r="RDA417" s="22"/>
      <c r="RDB417" s="22"/>
      <c r="RDC417" s="22"/>
      <c r="RDD417" s="22"/>
      <c r="RDE417" s="22"/>
      <c r="RDF417" s="22"/>
      <c r="RDG417" s="22"/>
      <c r="RDH417" s="22"/>
      <c r="RDI417" s="22"/>
      <c r="RDJ417" s="22"/>
      <c r="RDK417" s="22"/>
      <c r="RDL417" s="22"/>
      <c r="RDM417" s="22"/>
      <c r="RDN417" s="22"/>
      <c r="RDO417" s="22"/>
      <c r="RDP417" s="22"/>
      <c r="RDQ417" s="22"/>
      <c r="RDR417" s="22"/>
      <c r="RDS417" s="22"/>
      <c r="RDT417" s="22"/>
      <c r="RDU417" s="22"/>
      <c r="RDV417" s="22"/>
      <c r="RDW417" s="22"/>
      <c r="RDX417" s="22"/>
      <c r="RDY417" s="22"/>
      <c r="RDZ417" s="22"/>
      <c r="REA417" s="22"/>
      <c r="REB417" s="22"/>
      <c r="REC417" s="22"/>
      <c r="RED417" s="22"/>
      <c r="REE417" s="22"/>
      <c r="REF417" s="22"/>
      <c r="REG417" s="22"/>
      <c r="REH417" s="22"/>
      <c r="REI417" s="22"/>
      <c r="REJ417" s="22"/>
      <c r="REK417" s="22"/>
      <c r="REL417" s="22"/>
      <c r="REM417" s="22"/>
      <c r="REN417" s="22"/>
      <c r="REO417" s="22"/>
      <c r="REP417" s="22"/>
      <c r="REQ417" s="22"/>
      <c r="RER417" s="22"/>
      <c r="RES417" s="22"/>
      <c r="RET417" s="22"/>
      <c r="REU417" s="22"/>
      <c r="REV417" s="22"/>
      <c r="REW417" s="22"/>
      <c r="REX417" s="22"/>
      <c r="REY417" s="22"/>
      <c r="REZ417" s="22"/>
      <c r="RFA417" s="22"/>
      <c r="RFB417" s="22"/>
      <c r="RFC417" s="22"/>
      <c r="RFD417" s="22"/>
      <c r="RFE417" s="22"/>
      <c r="RFF417" s="22"/>
      <c r="RFG417" s="22"/>
      <c r="RFH417" s="22"/>
      <c r="RFI417" s="22"/>
      <c r="RFJ417" s="22"/>
      <c r="RFK417" s="22"/>
      <c r="RFL417" s="22"/>
      <c r="RFM417" s="22"/>
      <c r="RFN417" s="22"/>
      <c r="RFO417" s="22"/>
      <c r="RFP417" s="22"/>
      <c r="RFQ417" s="22"/>
      <c r="RFR417" s="22"/>
      <c r="RFS417" s="22"/>
      <c r="RFT417" s="22"/>
      <c r="RFU417" s="22"/>
      <c r="RFV417" s="22"/>
      <c r="RFW417" s="22"/>
      <c r="RFX417" s="22"/>
      <c r="RFY417" s="22"/>
      <c r="RFZ417" s="22"/>
      <c r="RGA417" s="22"/>
      <c r="RGB417" s="22"/>
      <c r="RGC417" s="22"/>
      <c r="RGD417" s="22"/>
      <c r="RGE417" s="22"/>
      <c r="RGF417" s="22"/>
      <c r="RGG417" s="22"/>
      <c r="RGH417" s="22"/>
      <c r="RGI417" s="22"/>
      <c r="RGJ417" s="22"/>
      <c r="RGK417" s="22"/>
      <c r="RGL417" s="22"/>
      <c r="RGM417" s="22"/>
      <c r="RGN417" s="22"/>
      <c r="RGO417" s="22"/>
      <c r="RGP417" s="22"/>
      <c r="RGQ417" s="22"/>
      <c r="RGR417" s="22"/>
      <c r="RGS417" s="22"/>
      <c r="RGT417" s="22"/>
      <c r="RGU417" s="22"/>
      <c r="RGV417" s="22"/>
      <c r="RGW417" s="22"/>
      <c r="RGX417" s="22"/>
      <c r="RGY417" s="22"/>
      <c r="RGZ417" s="22"/>
      <c r="RHA417" s="22"/>
      <c r="RHB417" s="22"/>
      <c r="RHC417" s="22"/>
      <c r="RHD417" s="22"/>
      <c r="RHE417" s="22"/>
      <c r="RHF417" s="22"/>
      <c r="RHG417" s="22"/>
      <c r="RHH417" s="22"/>
      <c r="RHI417" s="22"/>
      <c r="RHJ417" s="22"/>
      <c r="RHK417" s="22"/>
      <c r="RHL417" s="22"/>
      <c r="RHM417" s="22"/>
      <c r="RHN417" s="22"/>
      <c r="RHO417" s="22"/>
      <c r="RHP417" s="22"/>
      <c r="RHQ417" s="22"/>
      <c r="RHR417" s="22"/>
      <c r="RHS417" s="22"/>
      <c r="RHT417" s="22"/>
      <c r="RHU417" s="22"/>
      <c r="RHV417" s="22"/>
      <c r="RHW417" s="22"/>
      <c r="RHX417" s="22"/>
      <c r="RHY417" s="22"/>
      <c r="RHZ417" s="22"/>
      <c r="RIA417" s="22"/>
      <c r="RIB417" s="22"/>
      <c r="RIC417" s="22"/>
      <c r="RID417" s="22"/>
      <c r="RIE417" s="22"/>
      <c r="RIF417" s="22"/>
      <c r="RIG417" s="22"/>
      <c r="RIH417" s="22"/>
      <c r="RII417" s="22"/>
      <c r="RIJ417" s="22"/>
      <c r="RIK417" s="22"/>
      <c r="RIL417" s="22"/>
      <c r="RIM417" s="22"/>
      <c r="RIN417" s="22"/>
      <c r="RIO417" s="22"/>
      <c r="RIP417" s="22"/>
      <c r="RIQ417" s="22"/>
      <c r="RIR417" s="22"/>
      <c r="RIS417" s="22"/>
      <c r="RIT417" s="22"/>
      <c r="RIU417" s="22"/>
      <c r="RIV417" s="22"/>
      <c r="RIW417" s="22"/>
      <c r="RIX417" s="22"/>
      <c r="RIY417" s="22"/>
      <c r="RIZ417" s="22"/>
      <c r="RJA417" s="22"/>
      <c r="RJB417" s="22"/>
      <c r="RJC417" s="22"/>
      <c r="RJD417" s="22"/>
      <c r="RJE417" s="22"/>
      <c r="RJF417" s="22"/>
      <c r="RJG417" s="22"/>
      <c r="RJH417" s="22"/>
      <c r="RJI417" s="22"/>
      <c r="RJJ417" s="22"/>
      <c r="RJK417" s="22"/>
      <c r="RJL417" s="22"/>
      <c r="RJM417" s="22"/>
      <c r="RJN417" s="22"/>
      <c r="RJO417" s="22"/>
      <c r="RJP417" s="22"/>
      <c r="RJQ417" s="22"/>
      <c r="RJR417" s="22"/>
      <c r="RJS417" s="22"/>
      <c r="RJT417" s="22"/>
      <c r="RJU417" s="22"/>
      <c r="RJV417" s="22"/>
      <c r="RJW417" s="22"/>
      <c r="RJX417" s="22"/>
      <c r="RJY417" s="22"/>
      <c r="RJZ417" s="22"/>
      <c r="RKA417" s="22"/>
      <c r="RKB417" s="22"/>
      <c r="RKC417" s="22"/>
      <c r="RKD417" s="22"/>
      <c r="RKE417" s="22"/>
      <c r="RKF417" s="22"/>
      <c r="RKG417" s="22"/>
      <c r="RKH417" s="22"/>
      <c r="RKI417" s="22"/>
      <c r="RKJ417" s="22"/>
      <c r="RKK417" s="22"/>
      <c r="RKL417" s="22"/>
      <c r="RKM417" s="22"/>
      <c r="RKN417" s="22"/>
      <c r="RKO417" s="22"/>
      <c r="RKP417" s="22"/>
      <c r="RKQ417" s="22"/>
      <c r="RKR417" s="22"/>
      <c r="RKS417" s="22"/>
      <c r="RKT417" s="22"/>
      <c r="RKU417" s="22"/>
      <c r="RKV417" s="22"/>
      <c r="RKW417" s="22"/>
      <c r="RKX417" s="22"/>
      <c r="RKY417" s="22"/>
      <c r="RKZ417" s="22"/>
      <c r="RLA417" s="22"/>
      <c r="RLB417" s="22"/>
      <c r="RLC417" s="22"/>
      <c r="RLD417" s="22"/>
      <c r="RLE417" s="22"/>
      <c r="RLF417" s="22"/>
      <c r="RLG417" s="22"/>
      <c r="RLH417" s="22"/>
      <c r="RLI417" s="22"/>
      <c r="RLJ417" s="22"/>
      <c r="RLK417" s="22"/>
      <c r="RLL417" s="22"/>
      <c r="RLM417" s="22"/>
      <c r="RLN417" s="22"/>
      <c r="RLO417" s="22"/>
      <c r="RLP417" s="22"/>
      <c r="RLQ417" s="22"/>
      <c r="RLR417" s="22"/>
      <c r="RLS417" s="22"/>
      <c r="RLT417" s="22"/>
      <c r="RLU417" s="22"/>
      <c r="RLV417" s="22"/>
      <c r="RLW417" s="22"/>
      <c r="RLX417" s="22"/>
      <c r="RLY417" s="22"/>
      <c r="RLZ417" s="22"/>
      <c r="RMA417" s="22"/>
      <c r="RMB417" s="22"/>
      <c r="RMC417" s="22"/>
      <c r="RMD417" s="22"/>
      <c r="RME417" s="22"/>
      <c r="RMF417" s="22"/>
      <c r="RMG417" s="22"/>
      <c r="RMH417" s="22"/>
      <c r="RMI417" s="22"/>
      <c r="RMJ417" s="22"/>
      <c r="RMK417" s="22"/>
      <c r="RML417" s="22"/>
      <c r="RMM417" s="22"/>
      <c r="RMN417" s="22"/>
      <c r="RMO417" s="22"/>
      <c r="RMP417" s="22"/>
      <c r="RMQ417" s="22"/>
      <c r="RMR417" s="22"/>
      <c r="RMS417" s="22"/>
      <c r="RMT417" s="22"/>
      <c r="RMU417" s="22"/>
      <c r="RMV417" s="22"/>
      <c r="RMW417" s="22"/>
      <c r="RMX417" s="22"/>
      <c r="RMY417" s="22"/>
      <c r="RMZ417" s="22"/>
      <c r="RNA417" s="22"/>
      <c r="RNB417" s="22"/>
      <c r="RNC417" s="22"/>
      <c r="RND417" s="22"/>
      <c r="RNE417" s="22"/>
      <c r="RNF417" s="22"/>
      <c r="RNG417" s="22"/>
      <c r="RNH417" s="22"/>
      <c r="RNI417" s="22"/>
      <c r="RNJ417" s="22"/>
      <c r="RNK417" s="22"/>
      <c r="RNL417" s="22"/>
      <c r="RNM417" s="22"/>
      <c r="RNN417" s="22"/>
      <c r="RNO417" s="22"/>
      <c r="RNP417" s="22"/>
      <c r="RNQ417" s="22"/>
      <c r="RNR417" s="22"/>
      <c r="RNS417" s="22"/>
      <c r="RNT417" s="22"/>
      <c r="RNU417" s="22"/>
      <c r="RNV417" s="22"/>
      <c r="RNW417" s="22"/>
      <c r="RNX417" s="22"/>
      <c r="RNY417" s="22"/>
      <c r="RNZ417" s="22"/>
      <c r="ROA417" s="22"/>
      <c r="ROB417" s="22"/>
      <c r="ROC417" s="22"/>
      <c r="ROD417" s="22"/>
      <c r="ROE417" s="22"/>
      <c r="ROF417" s="22"/>
      <c r="ROG417" s="22"/>
      <c r="ROH417" s="22"/>
      <c r="ROI417" s="22"/>
      <c r="ROJ417" s="22"/>
      <c r="ROK417" s="22"/>
      <c r="ROL417" s="22"/>
      <c r="ROM417" s="22"/>
      <c r="RON417" s="22"/>
      <c r="ROO417" s="22"/>
      <c r="ROP417" s="22"/>
      <c r="ROQ417" s="22"/>
      <c r="ROR417" s="22"/>
      <c r="ROS417" s="22"/>
      <c r="ROT417" s="22"/>
      <c r="ROU417" s="22"/>
      <c r="ROV417" s="22"/>
      <c r="ROW417" s="22"/>
      <c r="ROX417" s="22"/>
      <c r="ROY417" s="22"/>
      <c r="ROZ417" s="22"/>
      <c r="RPA417" s="22"/>
      <c r="RPB417" s="22"/>
      <c r="RPC417" s="22"/>
      <c r="RPD417" s="22"/>
      <c r="RPE417" s="22"/>
      <c r="RPF417" s="22"/>
      <c r="RPG417" s="22"/>
      <c r="RPH417" s="22"/>
      <c r="RPI417" s="22"/>
      <c r="RPJ417" s="22"/>
      <c r="RPK417" s="22"/>
      <c r="RPL417" s="22"/>
      <c r="RPM417" s="22"/>
      <c r="RPN417" s="22"/>
      <c r="RPO417" s="22"/>
      <c r="RPP417" s="22"/>
      <c r="RPQ417" s="22"/>
      <c r="RPR417" s="22"/>
      <c r="RPS417" s="22"/>
      <c r="RPT417" s="22"/>
      <c r="RPU417" s="22"/>
      <c r="RPV417" s="22"/>
      <c r="RPW417" s="22"/>
      <c r="RPX417" s="22"/>
      <c r="RPY417" s="22"/>
      <c r="RPZ417" s="22"/>
      <c r="RQA417" s="22"/>
      <c r="RQB417" s="22"/>
      <c r="RQC417" s="22"/>
      <c r="RQD417" s="22"/>
      <c r="RQE417" s="22"/>
      <c r="RQF417" s="22"/>
      <c r="RQG417" s="22"/>
      <c r="RQH417" s="22"/>
      <c r="RQI417" s="22"/>
      <c r="RQJ417" s="22"/>
      <c r="RQK417" s="22"/>
      <c r="RQL417" s="22"/>
      <c r="RQM417" s="22"/>
      <c r="RQN417" s="22"/>
      <c r="RQO417" s="22"/>
      <c r="RQP417" s="22"/>
      <c r="RQQ417" s="22"/>
      <c r="RQR417" s="22"/>
      <c r="RQS417" s="22"/>
      <c r="RQT417" s="22"/>
      <c r="RQU417" s="22"/>
      <c r="RQV417" s="22"/>
      <c r="RQW417" s="22"/>
      <c r="RQX417" s="22"/>
      <c r="RQY417" s="22"/>
      <c r="RQZ417" s="22"/>
      <c r="RRA417" s="22"/>
      <c r="RRB417" s="22"/>
      <c r="RRC417" s="22"/>
      <c r="RRD417" s="22"/>
      <c r="RRE417" s="22"/>
      <c r="RRF417" s="22"/>
      <c r="RRG417" s="22"/>
      <c r="RRH417" s="22"/>
      <c r="RRI417" s="22"/>
      <c r="RRJ417" s="22"/>
      <c r="RRK417" s="22"/>
      <c r="RRL417" s="22"/>
      <c r="RRM417" s="22"/>
      <c r="RRN417" s="22"/>
      <c r="RRO417" s="22"/>
      <c r="RRP417" s="22"/>
      <c r="RRQ417" s="22"/>
      <c r="RRR417" s="22"/>
      <c r="RRS417" s="22"/>
      <c r="RRT417" s="22"/>
      <c r="RRU417" s="22"/>
      <c r="RRV417" s="22"/>
      <c r="RRW417" s="22"/>
      <c r="RRX417" s="22"/>
      <c r="RRY417" s="22"/>
      <c r="RRZ417" s="22"/>
      <c r="RSA417" s="22"/>
      <c r="RSB417" s="22"/>
      <c r="RSC417" s="22"/>
      <c r="RSD417" s="22"/>
      <c r="RSE417" s="22"/>
      <c r="RSF417" s="22"/>
      <c r="RSG417" s="22"/>
      <c r="RSH417" s="22"/>
      <c r="RSI417" s="22"/>
      <c r="RSJ417" s="22"/>
      <c r="RSK417" s="22"/>
      <c r="RSL417" s="22"/>
      <c r="RSM417" s="22"/>
      <c r="RSN417" s="22"/>
      <c r="RSO417" s="22"/>
      <c r="RSP417" s="22"/>
      <c r="RSQ417" s="22"/>
      <c r="RSR417" s="22"/>
      <c r="RSS417" s="22"/>
      <c r="RST417" s="22"/>
      <c r="RSU417" s="22"/>
      <c r="RSV417" s="22"/>
      <c r="RSW417" s="22"/>
      <c r="RSX417" s="22"/>
      <c r="RSY417" s="22"/>
      <c r="RSZ417" s="22"/>
      <c r="RTA417" s="22"/>
      <c r="RTB417" s="22"/>
      <c r="RTC417" s="22"/>
      <c r="RTD417" s="22"/>
      <c r="RTE417" s="22"/>
      <c r="RTF417" s="22"/>
      <c r="RTG417" s="22"/>
      <c r="RTH417" s="22"/>
      <c r="RTI417" s="22"/>
      <c r="RTJ417" s="22"/>
      <c r="RTK417" s="22"/>
      <c r="RTL417" s="22"/>
      <c r="RTM417" s="22"/>
      <c r="RTN417" s="22"/>
      <c r="RTO417" s="22"/>
      <c r="RTP417" s="22"/>
      <c r="RTQ417" s="22"/>
      <c r="RTR417" s="22"/>
      <c r="RTS417" s="22"/>
      <c r="RTT417" s="22"/>
      <c r="RTU417" s="22"/>
      <c r="RTV417" s="22"/>
      <c r="RTW417" s="22"/>
      <c r="RTX417" s="22"/>
      <c r="RTY417" s="22"/>
      <c r="RTZ417" s="22"/>
      <c r="RUA417" s="22"/>
      <c r="RUB417" s="22"/>
      <c r="RUC417" s="22"/>
      <c r="RUD417" s="22"/>
      <c r="RUE417" s="22"/>
      <c r="RUF417" s="22"/>
      <c r="RUG417" s="22"/>
      <c r="RUH417" s="22"/>
      <c r="RUI417" s="22"/>
      <c r="RUJ417" s="22"/>
      <c r="RUK417" s="22"/>
      <c r="RUL417" s="22"/>
      <c r="RUM417" s="22"/>
      <c r="RUN417" s="22"/>
      <c r="RUO417" s="22"/>
      <c r="RUP417" s="22"/>
      <c r="RUQ417" s="22"/>
      <c r="RUR417" s="22"/>
      <c r="RUS417" s="22"/>
      <c r="RUT417" s="22"/>
      <c r="RUU417" s="22"/>
      <c r="RUV417" s="22"/>
      <c r="RUW417" s="22"/>
      <c r="RUX417" s="22"/>
      <c r="RUY417" s="22"/>
      <c r="RUZ417" s="22"/>
      <c r="RVA417" s="22"/>
      <c r="RVB417" s="22"/>
      <c r="RVC417" s="22"/>
      <c r="RVD417" s="22"/>
      <c r="RVE417" s="22"/>
      <c r="RVF417" s="22"/>
      <c r="RVG417" s="22"/>
      <c r="RVH417" s="22"/>
      <c r="RVI417" s="22"/>
      <c r="RVJ417" s="22"/>
      <c r="RVK417" s="22"/>
      <c r="RVL417" s="22"/>
      <c r="RVM417" s="22"/>
      <c r="RVN417" s="22"/>
      <c r="RVO417" s="22"/>
      <c r="RVP417" s="22"/>
      <c r="RVQ417" s="22"/>
      <c r="RVR417" s="22"/>
      <c r="RVS417" s="22"/>
      <c r="RVT417" s="22"/>
      <c r="RVU417" s="22"/>
      <c r="RVV417" s="22"/>
      <c r="RVW417" s="22"/>
      <c r="RVX417" s="22"/>
      <c r="RVY417" s="22"/>
      <c r="RVZ417" s="22"/>
      <c r="RWA417" s="22"/>
      <c r="RWB417" s="22"/>
      <c r="RWC417" s="22"/>
      <c r="RWD417" s="22"/>
      <c r="RWE417" s="22"/>
      <c r="RWF417" s="22"/>
      <c r="RWG417" s="22"/>
      <c r="RWH417" s="22"/>
      <c r="RWI417" s="22"/>
      <c r="RWJ417" s="22"/>
      <c r="RWK417" s="22"/>
      <c r="RWL417" s="22"/>
      <c r="RWM417" s="22"/>
      <c r="RWN417" s="22"/>
      <c r="RWO417" s="22"/>
      <c r="RWP417" s="22"/>
      <c r="RWQ417" s="22"/>
      <c r="RWR417" s="22"/>
      <c r="RWS417" s="22"/>
      <c r="RWT417" s="22"/>
      <c r="RWU417" s="22"/>
      <c r="RWV417" s="22"/>
      <c r="RWW417" s="22"/>
      <c r="RWX417" s="22"/>
      <c r="RWY417" s="22"/>
      <c r="RWZ417" s="22"/>
      <c r="RXA417" s="22"/>
      <c r="RXB417" s="22"/>
      <c r="RXC417" s="22"/>
      <c r="RXD417" s="22"/>
      <c r="RXE417" s="22"/>
      <c r="RXF417" s="22"/>
      <c r="RXG417" s="22"/>
      <c r="RXH417" s="22"/>
      <c r="RXI417" s="22"/>
      <c r="RXJ417" s="22"/>
      <c r="RXK417" s="22"/>
      <c r="RXL417" s="22"/>
      <c r="RXM417" s="22"/>
      <c r="RXN417" s="22"/>
      <c r="RXO417" s="22"/>
      <c r="RXP417" s="22"/>
      <c r="RXQ417" s="22"/>
      <c r="RXR417" s="22"/>
      <c r="RXS417" s="22"/>
      <c r="RXT417" s="22"/>
      <c r="RXU417" s="22"/>
      <c r="RXV417" s="22"/>
      <c r="RXW417" s="22"/>
      <c r="RXX417" s="22"/>
      <c r="RXY417" s="22"/>
      <c r="RXZ417" s="22"/>
      <c r="RYA417" s="22"/>
      <c r="RYB417" s="22"/>
      <c r="RYC417" s="22"/>
      <c r="RYD417" s="22"/>
      <c r="RYE417" s="22"/>
      <c r="RYF417" s="22"/>
      <c r="RYG417" s="22"/>
      <c r="RYH417" s="22"/>
      <c r="RYI417" s="22"/>
      <c r="RYJ417" s="22"/>
      <c r="RYK417" s="22"/>
      <c r="RYL417" s="22"/>
      <c r="RYM417" s="22"/>
      <c r="RYN417" s="22"/>
      <c r="RYO417" s="22"/>
      <c r="RYP417" s="22"/>
      <c r="RYQ417" s="22"/>
      <c r="RYR417" s="22"/>
      <c r="RYS417" s="22"/>
      <c r="RYT417" s="22"/>
      <c r="RYU417" s="22"/>
      <c r="RYV417" s="22"/>
      <c r="RYW417" s="22"/>
      <c r="RYX417" s="22"/>
      <c r="RYY417" s="22"/>
      <c r="RYZ417" s="22"/>
      <c r="RZA417" s="22"/>
      <c r="RZB417" s="22"/>
      <c r="RZC417" s="22"/>
      <c r="RZD417" s="22"/>
      <c r="RZE417" s="22"/>
      <c r="RZF417" s="22"/>
      <c r="RZG417" s="22"/>
      <c r="RZH417" s="22"/>
      <c r="RZI417" s="22"/>
      <c r="RZJ417" s="22"/>
      <c r="RZK417" s="22"/>
      <c r="RZL417" s="22"/>
      <c r="RZM417" s="22"/>
      <c r="RZN417" s="22"/>
      <c r="RZO417" s="22"/>
      <c r="RZP417" s="22"/>
      <c r="RZQ417" s="22"/>
      <c r="RZR417" s="22"/>
      <c r="RZS417" s="22"/>
      <c r="RZT417" s="22"/>
      <c r="RZU417" s="22"/>
      <c r="RZV417" s="22"/>
      <c r="RZW417" s="22"/>
      <c r="RZX417" s="22"/>
      <c r="RZY417" s="22"/>
      <c r="RZZ417" s="22"/>
      <c r="SAA417" s="22"/>
      <c r="SAB417" s="22"/>
      <c r="SAC417" s="22"/>
      <c r="SAD417" s="22"/>
      <c r="SAE417" s="22"/>
      <c r="SAF417" s="22"/>
      <c r="SAG417" s="22"/>
      <c r="SAH417" s="22"/>
      <c r="SAI417" s="22"/>
      <c r="SAJ417" s="22"/>
      <c r="SAK417" s="22"/>
      <c r="SAL417" s="22"/>
      <c r="SAM417" s="22"/>
      <c r="SAN417" s="22"/>
      <c r="SAO417" s="22"/>
      <c r="SAP417" s="22"/>
      <c r="SAQ417" s="22"/>
      <c r="SAR417" s="22"/>
      <c r="SAS417" s="22"/>
      <c r="SAT417" s="22"/>
      <c r="SAU417" s="22"/>
      <c r="SAV417" s="22"/>
      <c r="SAW417" s="22"/>
      <c r="SAX417" s="22"/>
      <c r="SAY417" s="22"/>
      <c r="SAZ417" s="22"/>
      <c r="SBA417" s="22"/>
      <c r="SBB417" s="22"/>
      <c r="SBC417" s="22"/>
      <c r="SBD417" s="22"/>
      <c r="SBE417" s="22"/>
      <c r="SBF417" s="22"/>
      <c r="SBG417" s="22"/>
      <c r="SBH417" s="22"/>
      <c r="SBI417" s="22"/>
      <c r="SBJ417" s="22"/>
      <c r="SBK417" s="22"/>
      <c r="SBL417" s="22"/>
      <c r="SBM417" s="22"/>
      <c r="SBN417" s="22"/>
      <c r="SBO417" s="22"/>
      <c r="SBP417" s="22"/>
      <c r="SBQ417" s="22"/>
      <c r="SBR417" s="22"/>
      <c r="SBS417" s="22"/>
      <c r="SBT417" s="22"/>
      <c r="SBU417" s="22"/>
      <c r="SBV417" s="22"/>
      <c r="SBW417" s="22"/>
      <c r="SBX417" s="22"/>
      <c r="SBY417" s="22"/>
      <c r="SBZ417" s="22"/>
      <c r="SCA417" s="22"/>
      <c r="SCB417" s="22"/>
      <c r="SCC417" s="22"/>
      <c r="SCD417" s="22"/>
      <c r="SCE417" s="22"/>
      <c r="SCF417" s="22"/>
      <c r="SCG417" s="22"/>
      <c r="SCH417" s="22"/>
      <c r="SCI417" s="22"/>
      <c r="SCJ417" s="22"/>
      <c r="SCK417" s="22"/>
      <c r="SCL417" s="22"/>
      <c r="SCM417" s="22"/>
      <c r="SCN417" s="22"/>
      <c r="SCO417" s="22"/>
      <c r="SCP417" s="22"/>
      <c r="SCQ417" s="22"/>
      <c r="SCR417" s="22"/>
      <c r="SCS417" s="22"/>
      <c r="SCT417" s="22"/>
      <c r="SCU417" s="22"/>
      <c r="SCV417" s="22"/>
      <c r="SCW417" s="22"/>
      <c r="SCX417" s="22"/>
      <c r="SCY417" s="22"/>
      <c r="SCZ417" s="22"/>
      <c r="SDA417" s="22"/>
      <c r="SDB417" s="22"/>
      <c r="SDC417" s="22"/>
      <c r="SDD417" s="22"/>
      <c r="SDE417" s="22"/>
      <c r="SDF417" s="22"/>
      <c r="SDG417" s="22"/>
      <c r="SDH417" s="22"/>
      <c r="SDI417" s="22"/>
      <c r="SDJ417" s="22"/>
      <c r="SDK417" s="22"/>
      <c r="SDL417" s="22"/>
      <c r="SDM417" s="22"/>
      <c r="SDN417" s="22"/>
      <c r="SDO417" s="22"/>
      <c r="SDP417" s="22"/>
      <c r="SDQ417" s="22"/>
      <c r="SDR417" s="22"/>
      <c r="SDS417" s="22"/>
      <c r="SDT417" s="22"/>
      <c r="SDU417" s="22"/>
      <c r="SDV417" s="22"/>
      <c r="SDW417" s="22"/>
      <c r="SDX417" s="22"/>
      <c r="SDY417" s="22"/>
      <c r="SDZ417" s="22"/>
      <c r="SEA417" s="22"/>
      <c r="SEB417" s="22"/>
      <c r="SEC417" s="22"/>
      <c r="SED417" s="22"/>
      <c r="SEE417" s="22"/>
      <c r="SEF417" s="22"/>
      <c r="SEG417" s="22"/>
      <c r="SEH417" s="22"/>
      <c r="SEI417" s="22"/>
      <c r="SEJ417" s="22"/>
      <c r="SEK417" s="22"/>
      <c r="SEL417" s="22"/>
      <c r="SEM417" s="22"/>
      <c r="SEN417" s="22"/>
      <c r="SEO417" s="22"/>
      <c r="SEP417" s="22"/>
      <c r="SEQ417" s="22"/>
      <c r="SER417" s="22"/>
      <c r="SES417" s="22"/>
      <c r="SET417" s="22"/>
      <c r="SEU417" s="22"/>
      <c r="SEV417" s="22"/>
      <c r="SEW417" s="22"/>
      <c r="SEX417" s="22"/>
      <c r="SEY417" s="22"/>
      <c r="SEZ417" s="22"/>
      <c r="SFA417" s="22"/>
      <c r="SFB417" s="22"/>
      <c r="SFC417" s="22"/>
      <c r="SFD417" s="22"/>
      <c r="SFE417" s="22"/>
      <c r="SFF417" s="22"/>
      <c r="SFG417" s="22"/>
      <c r="SFH417" s="22"/>
      <c r="SFI417" s="22"/>
      <c r="SFJ417" s="22"/>
      <c r="SFK417" s="22"/>
      <c r="SFL417" s="22"/>
      <c r="SFM417" s="22"/>
      <c r="SFN417" s="22"/>
      <c r="SFO417" s="22"/>
      <c r="SFP417" s="22"/>
      <c r="SFQ417" s="22"/>
      <c r="SFR417" s="22"/>
      <c r="SFS417" s="22"/>
      <c r="SFT417" s="22"/>
      <c r="SFU417" s="22"/>
      <c r="SFV417" s="22"/>
      <c r="SFW417" s="22"/>
      <c r="SFX417" s="22"/>
      <c r="SFY417" s="22"/>
      <c r="SFZ417" s="22"/>
      <c r="SGA417" s="22"/>
      <c r="SGB417" s="22"/>
      <c r="SGC417" s="22"/>
      <c r="SGD417" s="22"/>
      <c r="SGE417" s="22"/>
      <c r="SGF417" s="22"/>
      <c r="SGG417" s="22"/>
      <c r="SGH417" s="22"/>
      <c r="SGI417" s="22"/>
      <c r="SGJ417" s="22"/>
      <c r="SGK417" s="22"/>
      <c r="SGL417" s="22"/>
      <c r="SGM417" s="22"/>
      <c r="SGN417" s="22"/>
      <c r="SGO417" s="22"/>
      <c r="SGP417" s="22"/>
      <c r="SGQ417" s="22"/>
      <c r="SGR417" s="22"/>
      <c r="SGS417" s="22"/>
      <c r="SGT417" s="22"/>
      <c r="SGU417" s="22"/>
      <c r="SGV417" s="22"/>
      <c r="SGW417" s="22"/>
      <c r="SGX417" s="22"/>
      <c r="SGY417" s="22"/>
      <c r="SGZ417" s="22"/>
      <c r="SHA417" s="22"/>
      <c r="SHB417" s="22"/>
      <c r="SHC417" s="22"/>
      <c r="SHD417" s="22"/>
      <c r="SHE417" s="22"/>
      <c r="SHF417" s="22"/>
      <c r="SHG417" s="22"/>
      <c r="SHH417" s="22"/>
      <c r="SHI417" s="22"/>
      <c r="SHJ417" s="22"/>
      <c r="SHK417" s="22"/>
      <c r="SHL417" s="22"/>
      <c r="SHM417" s="22"/>
      <c r="SHN417" s="22"/>
      <c r="SHO417" s="22"/>
      <c r="SHP417" s="22"/>
      <c r="SHQ417" s="22"/>
      <c r="SHR417" s="22"/>
      <c r="SHS417" s="22"/>
      <c r="SHT417" s="22"/>
      <c r="SHU417" s="22"/>
      <c r="SHV417" s="22"/>
      <c r="SHW417" s="22"/>
      <c r="SHX417" s="22"/>
      <c r="SHY417" s="22"/>
      <c r="SHZ417" s="22"/>
      <c r="SIA417" s="22"/>
      <c r="SIB417" s="22"/>
      <c r="SIC417" s="22"/>
      <c r="SID417" s="22"/>
      <c r="SIE417" s="22"/>
      <c r="SIF417" s="22"/>
      <c r="SIG417" s="22"/>
      <c r="SIH417" s="22"/>
      <c r="SII417" s="22"/>
      <c r="SIJ417" s="22"/>
      <c r="SIK417" s="22"/>
      <c r="SIL417" s="22"/>
      <c r="SIM417" s="22"/>
      <c r="SIN417" s="22"/>
      <c r="SIO417" s="22"/>
      <c r="SIP417" s="22"/>
      <c r="SIQ417" s="22"/>
      <c r="SIR417" s="22"/>
      <c r="SIS417" s="22"/>
      <c r="SIT417" s="22"/>
      <c r="SIU417" s="22"/>
      <c r="SIV417" s="22"/>
      <c r="SIW417" s="22"/>
      <c r="SIX417" s="22"/>
      <c r="SIY417" s="22"/>
      <c r="SIZ417" s="22"/>
      <c r="SJA417" s="22"/>
      <c r="SJB417" s="22"/>
      <c r="SJC417" s="22"/>
      <c r="SJD417" s="22"/>
      <c r="SJE417" s="22"/>
      <c r="SJF417" s="22"/>
      <c r="SJG417" s="22"/>
      <c r="SJH417" s="22"/>
      <c r="SJI417" s="22"/>
      <c r="SJJ417" s="22"/>
      <c r="SJK417" s="22"/>
      <c r="SJL417" s="22"/>
      <c r="SJM417" s="22"/>
      <c r="SJN417" s="22"/>
      <c r="SJO417" s="22"/>
      <c r="SJP417" s="22"/>
      <c r="SJQ417" s="22"/>
      <c r="SJR417" s="22"/>
      <c r="SJS417" s="22"/>
      <c r="SJT417" s="22"/>
      <c r="SJU417" s="22"/>
      <c r="SJV417" s="22"/>
      <c r="SJW417" s="22"/>
      <c r="SJX417" s="22"/>
      <c r="SJY417" s="22"/>
      <c r="SJZ417" s="22"/>
      <c r="SKA417" s="22"/>
      <c r="SKB417" s="22"/>
      <c r="SKC417" s="22"/>
      <c r="SKD417" s="22"/>
      <c r="SKE417" s="22"/>
      <c r="SKF417" s="22"/>
      <c r="SKG417" s="22"/>
      <c r="SKH417" s="22"/>
      <c r="SKI417" s="22"/>
      <c r="SKJ417" s="22"/>
      <c r="SKK417" s="22"/>
      <c r="SKL417" s="22"/>
      <c r="SKM417" s="22"/>
      <c r="SKN417" s="22"/>
      <c r="SKO417" s="22"/>
      <c r="SKP417" s="22"/>
      <c r="SKQ417" s="22"/>
      <c r="SKR417" s="22"/>
      <c r="SKS417" s="22"/>
      <c r="SKT417" s="22"/>
      <c r="SKU417" s="22"/>
      <c r="SKV417" s="22"/>
      <c r="SKW417" s="22"/>
      <c r="SKX417" s="22"/>
      <c r="SKY417" s="22"/>
      <c r="SKZ417" s="22"/>
      <c r="SLA417" s="22"/>
      <c r="SLB417" s="22"/>
      <c r="SLC417" s="22"/>
      <c r="SLD417" s="22"/>
      <c r="SLE417" s="22"/>
      <c r="SLF417" s="22"/>
      <c r="SLG417" s="22"/>
      <c r="SLH417" s="22"/>
      <c r="SLI417" s="22"/>
      <c r="SLJ417" s="22"/>
      <c r="SLK417" s="22"/>
      <c r="SLL417" s="22"/>
      <c r="SLM417" s="22"/>
      <c r="SLN417" s="22"/>
      <c r="SLO417" s="22"/>
      <c r="SLP417" s="22"/>
      <c r="SLQ417" s="22"/>
      <c r="SLR417" s="22"/>
      <c r="SLS417" s="22"/>
      <c r="SLT417" s="22"/>
      <c r="SLU417" s="22"/>
      <c r="SLV417" s="22"/>
      <c r="SLW417" s="22"/>
      <c r="SLX417" s="22"/>
      <c r="SLY417" s="22"/>
      <c r="SLZ417" s="22"/>
      <c r="SMA417" s="22"/>
      <c r="SMB417" s="22"/>
      <c r="SMC417" s="22"/>
      <c r="SMD417" s="22"/>
      <c r="SME417" s="22"/>
      <c r="SMF417" s="22"/>
      <c r="SMG417" s="22"/>
      <c r="SMH417" s="22"/>
      <c r="SMI417" s="22"/>
      <c r="SMJ417" s="22"/>
      <c r="SMK417" s="22"/>
      <c r="SML417" s="22"/>
      <c r="SMM417" s="22"/>
      <c r="SMN417" s="22"/>
      <c r="SMO417" s="22"/>
      <c r="SMP417" s="22"/>
      <c r="SMQ417" s="22"/>
      <c r="SMR417" s="22"/>
      <c r="SMS417" s="22"/>
      <c r="SMT417" s="22"/>
      <c r="SMU417" s="22"/>
      <c r="SMV417" s="22"/>
      <c r="SMW417" s="22"/>
      <c r="SMX417" s="22"/>
      <c r="SMY417" s="22"/>
      <c r="SMZ417" s="22"/>
      <c r="SNA417" s="22"/>
      <c r="SNB417" s="22"/>
      <c r="SNC417" s="22"/>
      <c r="SND417" s="22"/>
      <c r="SNE417" s="22"/>
      <c r="SNF417" s="22"/>
      <c r="SNG417" s="22"/>
      <c r="SNH417" s="22"/>
      <c r="SNI417" s="22"/>
      <c r="SNJ417" s="22"/>
      <c r="SNK417" s="22"/>
      <c r="SNL417" s="22"/>
      <c r="SNM417" s="22"/>
      <c r="SNN417" s="22"/>
      <c r="SNO417" s="22"/>
      <c r="SNP417" s="22"/>
      <c r="SNQ417" s="22"/>
      <c r="SNR417" s="22"/>
      <c r="SNS417" s="22"/>
      <c r="SNT417" s="22"/>
      <c r="SNU417" s="22"/>
      <c r="SNV417" s="22"/>
      <c r="SNW417" s="22"/>
      <c r="SNX417" s="22"/>
      <c r="SNY417" s="22"/>
      <c r="SNZ417" s="22"/>
      <c r="SOA417" s="22"/>
      <c r="SOB417" s="22"/>
      <c r="SOC417" s="22"/>
      <c r="SOD417" s="22"/>
      <c r="SOE417" s="22"/>
      <c r="SOF417" s="22"/>
      <c r="SOG417" s="22"/>
      <c r="SOH417" s="22"/>
      <c r="SOI417" s="22"/>
      <c r="SOJ417" s="22"/>
      <c r="SOK417" s="22"/>
      <c r="SOL417" s="22"/>
      <c r="SOM417" s="22"/>
      <c r="SON417" s="22"/>
      <c r="SOO417" s="22"/>
      <c r="SOP417" s="22"/>
      <c r="SOQ417" s="22"/>
      <c r="SOR417" s="22"/>
      <c r="SOS417" s="22"/>
      <c r="SOT417" s="22"/>
      <c r="SOU417" s="22"/>
      <c r="SOV417" s="22"/>
      <c r="SOW417" s="22"/>
      <c r="SOX417" s="22"/>
      <c r="SOY417" s="22"/>
      <c r="SOZ417" s="22"/>
      <c r="SPA417" s="22"/>
      <c r="SPB417" s="22"/>
      <c r="SPC417" s="22"/>
      <c r="SPD417" s="22"/>
      <c r="SPE417" s="22"/>
      <c r="SPF417" s="22"/>
      <c r="SPG417" s="22"/>
      <c r="SPH417" s="22"/>
      <c r="SPI417" s="22"/>
      <c r="SPJ417" s="22"/>
      <c r="SPK417" s="22"/>
      <c r="SPL417" s="22"/>
      <c r="SPM417" s="22"/>
      <c r="SPN417" s="22"/>
      <c r="SPO417" s="22"/>
      <c r="SPP417" s="22"/>
      <c r="SPQ417" s="22"/>
      <c r="SPR417" s="22"/>
      <c r="SPS417" s="22"/>
      <c r="SPT417" s="22"/>
      <c r="SPU417" s="22"/>
      <c r="SPV417" s="22"/>
      <c r="SPW417" s="22"/>
      <c r="SPX417" s="22"/>
      <c r="SPY417" s="22"/>
      <c r="SPZ417" s="22"/>
      <c r="SQA417" s="22"/>
      <c r="SQB417" s="22"/>
      <c r="SQC417" s="22"/>
      <c r="SQD417" s="22"/>
      <c r="SQE417" s="22"/>
      <c r="SQF417" s="22"/>
      <c r="SQG417" s="22"/>
      <c r="SQH417" s="22"/>
      <c r="SQI417" s="22"/>
      <c r="SQJ417" s="22"/>
      <c r="SQK417" s="22"/>
      <c r="SQL417" s="22"/>
      <c r="SQM417" s="22"/>
      <c r="SQN417" s="22"/>
      <c r="SQO417" s="22"/>
      <c r="SQP417" s="22"/>
      <c r="SQQ417" s="22"/>
      <c r="SQR417" s="22"/>
      <c r="SQS417" s="22"/>
      <c r="SQT417" s="22"/>
      <c r="SQU417" s="22"/>
      <c r="SQV417" s="22"/>
      <c r="SQW417" s="22"/>
      <c r="SQX417" s="22"/>
      <c r="SQY417" s="22"/>
      <c r="SQZ417" s="22"/>
      <c r="SRA417" s="22"/>
      <c r="SRB417" s="22"/>
      <c r="SRC417" s="22"/>
      <c r="SRD417" s="22"/>
      <c r="SRE417" s="22"/>
      <c r="SRF417" s="22"/>
      <c r="SRG417" s="22"/>
      <c r="SRH417" s="22"/>
      <c r="SRI417" s="22"/>
      <c r="SRJ417" s="22"/>
      <c r="SRK417" s="22"/>
      <c r="SRL417" s="22"/>
      <c r="SRM417" s="22"/>
      <c r="SRN417" s="22"/>
      <c r="SRO417" s="22"/>
      <c r="SRP417" s="22"/>
      <c r="SRQ417" s="22"/>
      <c r="SRR417" s="22"/>
      <c r="SRS417" s="22"/>
      <c r="SRT417" s="22"/>
      <c r="SRU417" s="22"/>
      <c r="SRV417" s="22"/>
      <c r="SRW417" s="22"/>
      <c r="SRX417" s="22"/>
      <c r="SRY417" s="22"/>
      <c r="SRZ417" s="22"/>
      <c r="SSA417" s="22"/>
      <c r="SSB417" s="22"/>
      <c r="SSC417" s="22"/>
      <c r="SSD417" s="22"/>
      <c r="SSE417" s="22"/>
      <c r="SSF417" s="22"/>
      <c r="SSG417" s="22"/>
      <c r="SSH417" s="22"/>
      <c r="SSI417" s="22"/>
      <c r="SSJ417" s="22"/>
      <c r="SSK417" s="22"/>
      <c r="SSL417" s="22"/>
      <c r="SSM417" s="22"/>
      <c r="SSN417" s="22"/>
      <c r="SSO417" s="22"/>
      <c r="SSP417" s="22"/>
      <c r="SSQ417" s="22"/>
      <c r="SSR417" s="22"/>
      <c r="SSS417" s="22"/>
      <c r="SST417" s="22"/>
      <c r="SSU417" s="22"/>
      <c r="SSV417" s="22"/>
      <c r="SSW417" s="22"/>
      <c r="SSX417" s="22"/>
      <c r="SSY417" s="22"/>
      <c r="SSZ417" s="22"/>
      <c r="STA417" s="22"/>
      <c r="STB417" s="22"/>
      <c r="STC417" s="22"/>
      <c r="STD417" s="22"/>
      <c r="STE417" s="22"/>
      <c r="STF417" s="22"/>
      <c r="STG417" s="22"/>
      <c r="STH417" s="22"/>
      <c r="STI417" s="22"/>
      <c r="STJ417" s="22"/>
      <c r="STK417" s="22"/>
      <c r="STL417" s="22"/>
      <c r="STM417" s="22"/>
      <c r="STN417" s="22"/>
      <c r="STO417" s="22"/>
      <c r="STP417" s="22"/>
      <c r="STQ417" s="22"/>
      <c r="STR417" s="22"/>
      <c r="STS417" s="22"/>
      <c r="STT417" s="22"/>
      <c r="STU417" s="22"/>
      <c r="STV417" s="22"/>
      <c r="STW417" s="22"/>
      <c r="STX417" s="22"/>
      <c r="STY417" s="22"/>
      <c r="STZ417" s="22"/>
      <c r="SUA417" s="22"/>
      <c r="SUB417" s="22"/>
      <c r="SUC417" s="22"/>
      <c r="SUD417" s="22"/>
      <c r="SUE417" s="22"/>
      <c r="SUF417" s="22"/>
      <c r="SUG417" s="22"/>
      <c r="SUH417" s="22"/>
      <c r="SUI417" s="22"/>
      <c r="SUJ417" s="22"/>
      <c r="SUK417" s="22"/>
      <c r="SUL417" s="22"/>
      <c r="SUM417" s="22"/>
      <c r="SUN417" s="22"/>
      <c r="SUO417" s="22"/>
      <c r="SUP417" s="22"/>
      <c r="SUQ417" s="22"/>
      <c r="SUR417" s="22"/>
      <c r="SUS417" s="22"/>
      <c r="SUT417" s="22"/>
      <c r="SUU417" s="22"/>
      <c r="SUV417" s="22"/>
      <c r="SUW417" s="22"/>
      <c r="SUX417" s="22"/>
      <c r="SUY417" s="22"/>
      <c r="SUZ417" s="22"/>
      <c r="SVA417" s="22"/>
      <c r="SVB417" s="22"/>
      <c r="SVC417" s="22"/>
      <c r="SVD417" s="22"/>
      <c r="SVE417" s="22"/>
      <c r="SVF417" s="22"/>
      <c r="SVG417" s="22"/>
      <c r="SVH417" s="22"/>
      <c r="SVI417" s="22"/>
      <c r="SVJ417" s="22"/>
      <c r="SVK417" s="22"/>
      <c r="SVL417" s="22"/>
      <c r="SVM417" s="22"/>
      <c r="SVN417" s="22"/>
      <c r="SVO417" s="22"/>
      <c r="SVP417" s="22"/>
      <c r="SVQ417" s="22"/>
      <c r="SVR417" s="22"/>
      <c r="SVS417" s="22"/>
      <c r="SVT417" s="22"/>
      <c r="SVU417" s="22"/>
      <c r="SVV417" s="22"/>
      <c r="SVW417" s="22"/>
      <c r="SVX417" s="22"/>
      <c r="SVY417" s="22"/>
      <c r="SVZ417" s="22"/>
      <c r="SWA417" s="22"/>
      <c r="SWB417" s="22"/>
      <c r="SWC417" s="22"/>
      <c r="SWD417" s="22"/>
      <c r="SWE417" s="22"/>
      <c r="SWF417" s="22"/>
      <c r="SWG417" s="22"/>
      <c r="SWH417" s="22"/>
      <c r="SWI417" s="22"/>
      <c r="SWJ417" s="22"/>
      <c r="SWK417" s="22"/>
      <c r="SWL417" s="22"/>
      <c r="SWM417" s="22"/>
      <c r="SWN417" s="22"/>
      <c r="SWO417" s="22"/>
      <c r="SWP417" s="22"/>
      <c r="SWQ417" s="22"/>
      <c r="SWR417" s="22"/>
      <c r="SWS417" s="22"/>
      <c r="SWT417" s="22"/>
      <c r="SWU417" s="22"/>
      <c r="SWV417" s="22"/>
      <c r="SWW417" s="22"/>
      <c r="SWX417" s="22"/>
      <c r="SWY417" s="22"/>
      <c r="SWZ417" s="22"/>
      <c r="SXA417" s="22"/>
      <c r="SXB417" s="22"/>
      <c r="SXC417" s="22"/>
      <c r="SXD417" s="22"/>
      <c r="SXE417" s="22"/>
      <c r="SXF417" s="22"/>
      <c r="SXG417" s="22"/>
      <c r="SXH417" s="22"/>
      <c r="SXI417" s="22"/>
      <c r="SXJ417" s="22"/>
      <c r="SXK417" s="22"/>
      <c r="SXL417" s="22"/>
      <c r="SXM417" s="22"/>
      <c r="SXN417" s="22"/>
      <c r="SXO417" s="22"/>
      <c r="SXP417" s="22"/>
      <c r="SXQ417" s="22"/>
      <c r="SXR417" s="22"/>
      <c r="SXS417" s="22"/>
      <c r="SXT417" s="22"/>
      <c r="SXU417" s="22"/>
      <c r="SXV417" s="22"/>
      <c r="SXW417" s="22"/>
      <c r="SXX417" s="22"/>
      <c r="SXY417" s="22"/>
      <c r="SXZ417" s="22"/>
      <c r="SYA417" s="22"/>
      <c r="SYB417" s="22"/>
      <c r="SYC417" s="22"/>
      <c r="SYD417" s="22"/>
      <c r="SYE417" s="22"/>
      <c r="SYF417" s="22"/>
      <c r="SYG417" s="22"/>
      <c r="SYH417" s="22"/>
      <c r="SYI417" s="22"/>
      <c r="SYJ417" s="22"/>
      <c r="SYK417" s="22"/>
      <c r="SYL417" s="22"/>
      <c r="SYM417" s="22"/>
      <c r="SYN417" s="22"/>
      <c r="SYO417" s="22"/>
      <c r="SYP417" s="22"/>
      <c r="SYQ417" s="22"/>
      <c r="SYR417" s="22"/>
      <c r="SYS417" s="22"/>
      <c r="SYT417" s="22"/>
      <c r="SYU417" s="22"/>
      <c r="SYV417" s="22"/>
      <c r="SYW417" s="22"/>
      <c r="SYX417" s="22"/>
      <c r="SYY417" s="22"/>
      <c r="SYZ417" s="22"/>
      <c r="SZA417" s="22"/>
      <c r="SZB417" s="22"/>
      <c r="SZC417" s="22"/>
      <c r="SZD417" s="22"/>
      <c r="SZE417" s="22"/>
      <c r="SZF417" s="22"/>
      <c r="SZG417" s="22"/>
      <c r="SZH417" s="22"/>
      <c r="SZI417" s="22"/>
      <c r="SZJ417" s="22"/>
      <c r="SZK417" s="22"/>
      <c r="SZL417" s="22"/>
      <c r="SZM417" s="22"/>
      <c r="SZN417" s="22"/>
      <c r="SZO417" s="22"/>
      <c r="SZP417" s="22"/>
      <c r="SZQ417" s="22"/>
      <c r="SZR417" s="22"/>
      <c r="SZS417" s="22"/>
      <c r="SZT417" s="22"/>
      <c r="SZU417" s="22"/>
      <c r="SZV417" s="22"/>
      <c r="SZW417" s="22"/>
      <c r="SZX417" s="22"/>
      <c r="SZY417" s="22"/>
      <c r="SZZ417" s="22"/>
      <c r="TAA417" s="22"/>
      <c r="TAB417" s="22"/>
      <c r="TAC417" s="22"/>
      <c r="TAD417" s="22"/>
      <c r="TAE417" s="22"/>
      <c r="TAF417" s="22"/>
      <c r="TAG417" s="22"/>
      <c r="TAH417" s="22"/>
      <c r="TAI417" s="22"/>
      <c r="TAJ417" s="22"/>
      <c r="TAK417" s="22"/>
      <c r="TAL417" s="22"/>
      <c r="TAM417" s="22"/>
      <c r="TAN417" s="22"/>
      <c r="TAO417" s="22"/>
      <c r="TAP417" s="22"/>
      <c r="TAQ417" s="22"/>
      <c r="TAR417" s="22"/>
      <c r="TAS417" s="22"/>
      <c r="TAT417" s="22"/>
      <c r="TAU417" s="22"/>
      <c r="TAV417" s="22"/>
      <c r="TAW417" s="22"/>
      <c r="TAX417" s="22"/>
      <c r="TAY417" s="22"/>
      <c r="TAZ417" s="22"/>
      <c r="TBA417" s="22"/>
      <c r="TBB417" s="22"/>
      <c r="TBC417" s="22"/>
      <c r="TBD417" s="22"/>
      <c r="TBE417" s="22"/>
      <c r="TBF417" s="22"/>
      <c r="TBG417" s="22"/>
      <c r="TBH417" s="22"/>
      <c r="TBI417" s="22"/>
      <c r="TBJ417" s="22"/>
      <c r="TBK417" s="22"/>
      <c r="TBL417" s="22"/>
      <c r="TBM417" s="22"/>
      <c r="TBN417" s="22"/>
      <c r="TBO417" s="22"/>
      <c r="TBP417" s="22"/>
      <c r="TBQ417" s="22"/>
      <c r="TBR417" s="22"/>
      <c r="TBS417" s="22"/>
      <c r="TBT417" s="22"/>
      <c r="TBU417" s="22"/>
      <c r="TBV417" s="22"/>
      <c r="TBW417" s="22"/>
      <c r="TBX417" s="22"/>
      <c r="TBY417" s="22"/>
      <c r="TBZ417" s="22"/>
      <c r="TCA417" s="22"/>
      <c r="TCB417" s="22"/>
      <c r="TCC417" s="22"/>
      <c r="TCD417" s="22"/>
      <c r="TCE417" s="22"/>
      <c r="TCF417" s="22"/>
      <c r="TCG417" s="22"/>
      <c r="TCH417" s="22"/>
      <c r="TCI417" s="22"/>
      <c r="TCJ417" s="22"/>
      <c r="TCK417" s="22"/>
      <c r="TCL417" s="22"/>
      <c r="TCM417" s="22"/>
      <c r="TCN417" s="22"/>
      <c r="TCO417" s="22"/>
      <c r="TCP417" s="22"/>
      <c r="TCQ417" s="22"/>
      <c r="TCR417" s="22"/>
      <c r="TCS417" s="22"/>
      <c r="TCT417" s="22"/>
      <c r="TCU417" s="22"/>
      <c r="TCV417" s="22"/>
      <c r="TCW417" s="22"/>
      <c r="TCX417" s="22"/>
      <c r="TCY417" s="22"/>
      <c r="TCZ417" s="22"/>
      <c r="TDA417" s="22"/>
      <c r="TDB417" s="22"/>
      <c r="TDC417" s="22"/>
      <c r="TDD417" s="22"/>
      <c r="TDE417" s="22"/>
      <c r="TDF417" s="22"/>
      <c r="TDG417" s="22"/>
      <c r="TDH417" s="22"/>
      <c r="TDI417" s="22"/>
      <c r="TDJ417" s="22"/>
      <c r="TDK417" s="22"/>
      <c r="TDL417" s="22"/>
      <c r="TDM417" s="22"/>
      <c r="TDN417" s="22"/>
      <c r="TDO417" s="22"/>
      <c r="TDP417" s="22"/>
      <c r="TDQ417" s="22"/>
      <c r="TDR417" s="22"/>
      <c r="TDS417" s="22"/>
      <c r="TDT417" s="22"/>
      <c r="TDU417" s="22"/>
      <c r="TDV417" s="22"/>
      <c r="TDW417" s="22"/>
      <c r="TDX417" s="22"/>
      <c r="TDY417" s="22"/>
      <c r="TDZ417" s="22"/>
      <c r="TEA417" s="22"/>
      <c r="TEB417" s="22"/>
      <c r="TEC417" s="22"/>
      <c r="TED417" s="22"/>
      <c r="TEE417" s="22"/>
      <c r="TEF417" s="22"/>
      <c r="TEG417" s="22"/>
      <c r="TEH417" s="22"/>
      <c r="TEI417" s="22"/>
      <c r="TEJ417" s="22"/>
      <c r="TEK417" s="22"/>
      <c r="TEL417" s="22"/>
      <c r="TEM417" s="22"/>
      <c r="TEN417" s="22"/>
      <c r="TEO417" s="22"/>
      <c r="TEP417" s="22"/>
      <c r="TEQ417" s="22"/>
      <c r="TER417" s="22"/>
      <c r="TES417" s="22"/>
      <c r="TET417" s="22"/>
      <c r="TEU417" s="22"/>
      <c r="TEV417" s="22"/>
      <c r="TEW417" s="22"/>
      <c r="TEX417" s="22"/>
      <c r="TEY417" s="22"/>
      <c r="TEZ417" s="22"/>
      <c r="TFA417" s="22"/>
      <c r="TFB417" s="22"/>
      <c r="TFC417" s="22"/>
      <c r="TFD417" s="22"/>
      <c r="TFE417" s="22"/>
      <c r="TFF417" s="22"/>
      <c r="TFG417" s="22"/>
      <c r="TFH417" s="22"/>
      <c r="TFI417" s="22"/>
      <c r="TFJ417" s="22"/>
      <c r="TFK417" s="22"/>
      <c r="TFL417" s="22"/>
      <c r="TFM417" s="22"/>
      <c r="TFN417" s="22"/>
      <c r="TFO417" s="22"/>
      <c r="TFP417" s="22"/>
      <c r="TFQ417" s="22"/>
      <c r="TFR417" s="22"/>
      <c r="TFS417" s="22"/>
      <c r="TFT417" s="22"/>
      <c r="TFU417" s="22"/>
      <c r="TFV417" s="22"/>
      <c r="TFW417" s="22"/>
      <c r="TFX417" s="22"/>
      <c r="TFY417" s="22"/>
      <c r="TFZ417" s="22"/>
      <c r="TGA417" s="22"/>
      <c r="TGB417" s="22"/>
      <c r="TGC417" s="22"/>
      <c r="TGD417" s="22"/>
      <c r="TGE417" s="22"/>
      <c r="TGF417" s="22"/>
      <c r="TGG417" s="22"/>
      <c r="TGH417" s="22"/>
      <c r="TGI417" s="22"/>
      <c r="TGJ417" s="22"/>
      <c r="TGK417" s="22"/>
      <c r="TGL417" s="22"/>
      <c r="TGM417" s="22"/>
      <c r="TGN417" s="22"/>
      <c r="TGO417" s="22"/>
      <c r="TGP417" s="22"/>
      <c r="TGQ417" s="22"/>
      <c r="TGR417" s="22"/>
      <c r="TGS417" s="22"/>
      <c r="TGT417" s="22"/>
      <c r="TGU417" s="22"/>
      <c r="TGV417" s="22"/>
      <c r="TGW417" s="22"/>
      <c r="TGX417" s="22"/>
      <c r="TGY417" s="22"/>
      <c r="TGZ417" s="22"/>
      <c r="THA417" s="22"/>
      <c r="THB417" s="22"/>
      <c r="THC417" s="22"/>
      <c r="THD417" s="22"/>
      <c r="THE417" s="22"/>
      <c r="THF417" s="22"/>
      <c r="THG417" s="22"/>
      <c r="THH417" s="22"/>
      <c r="THI417" s="22"/>
      <c r="THJ417" s="22"/>
      <c r="THK417" s="22"/>
      <c r="THL417" s="22"/>
      <c r="THM417" s="22"/>
      <c r="THN417" s="22"/>
      <c r="THO417" s="22"/>
      <c r="THP417" s="22"/>
      <c r="THQ417" s="22"/>
      <c r="THR417" s="22"/>
      <c r="THS417" s="22"/>
      <c r="THT417" s="22"/>
      <c r="THU417" s="22"/>
      <c r="THV417" s="22"/>
      <c r="THW417" s="22"/>
      <c r="THX417" s="22"/>
      <c r="THY417" s="22"/>
      <c r="THZ417" s="22"/>
      <c r="TIA417" s="22"/>
      <c r="TIB417" s="22"/>
      <c r="TIC417" s="22"/>
      <c r="TID417" s="22"/>
      <c r="TIE417" s="22"/>
      <c r="TIF417" s="22"/>
      <c r="TIG417" s="22"/>
      <c r="TIH417" s="22"/>
      <c r="TII417" s="22"/>
      <c r="TIJ417" s="22"/>
      <c r="TIK417" s="22"/>
      <c r="TIL417" s="22"/>
      <c r="TIM417" s="22"/>
      <c r="TIN417" s="22"/>
      <c r="TIO417" s="22"/>
      <c r="TIP417" s="22"/>
      <c r="TIQ417" s="22"/>
      <c r="TIR417" s="22"/>
      <c r="TIS417" s="22"/>
      <c r="TIT417" s="22"/>
      <c r="TIU417" s="22"/>
      <c r="TIV417" s="22"/>
      <c r="TIW417" s="22"/>
      <c r="TIX417" s="22"/>
      <c r="TIY417" s="22"/>
      <c r="TIZ417" s="22"/>
      <c r="TJA417" s="22"/>
      <c r="TJB417" s="22"/>
      <c r="TJC417" s="22"/>
      <c r="TJD417" s="22"/>
      <c r="TJE417" s="22"/>
      <c r="TJF417" s="22"/>
      <c r="TJG417" s="22"/>
      <c r="TJH417" s="22"/>
      <c r="TJI417" s="22"/>
      <c r="TJJ417" s="22"/>
      <c r="TJK417" s="22"/>
      <c r="TJL417" s="22"/>
      <c r="TJM417" s="22"/>
      <c r="TJN417" s="22"/>
      <c r="TJO417" s="22"/>
      <c r="TJP417" s="22"/>
      <c r="TJQ417" s="22"/>
      <c r="TJR417" s="22"/>
      <c r="TJS417" s="22"/>
      <c r="TJT417" s="22"/>
      <c r="TJU417" s="22"/>
      <c r="TJV417" s="22"/>
      <c r="TJW417" s="22"/>
      <c r="TJX417" s="22"/>
      <c r="TJY417" s="22"/>
      <c r="TJZ417" s="22"/>
      <c r="TKA417" s="22"/>
      <c r="TKB417" s="22"/>
      <c r="TKC417" s="22"/>
      <c r="TKD417" s="22"/>
      <c r="TKE417" s="22"/>
      <c r="TKF417" s="22"/>
      <c r="TKG417" s="22"/>
      <c r="TKH417" s="22"/>
      <c r="TKI417" s="22"/>
      <c r="TKJ417" s="22"/>
      <c r="TKK417" s="22"/>
      <c r="TKL417" s="22"/>
      <c r="TKM417" s="22"/>
      <c r="TKN417" s="22"/>
      <c r="TKO417" s="22"/>
      <c r="TKP417" s="22"/>
      <c r="TKQ417" s="22"/>
      <c r="TKR417" s="22"/>
      <c r="TKS417" s="22"/>
      <c r="TKT417" s="22"/>
      <c r="TKU417" s="22"/>
      <c r="TKV417" s="22"/>
      <c r="TKW417" s="22"/>
      <c r="TKX417" s="22"/>
      <c r="TKY417" s="22"/>
      <c r="TKZ417" s="22"/>
      <c r="TLA417" s="22"/>
      <c r="TLB417" s="22"/>
      <c r="TLC417" s="22"/>
      <c r="TLD417" s="22"/>
      <c r="TLE417" s="22"/>
      <c r="TLF417" s="22"/>
      <c r="TLG417" s="22"/>
      <c r="TLH417" s="22"/>
      <c r="TLI417" s="22"/>
      <c r="TLJ417" s="22"/>
      <c r="TLK417" s="22"/>
      <c r="TLL417" s="22"/>
      <c r="TLM417" s="22"/>
      <c r="TLN417" s="22"/>
      <c r="TLO417" s="22"/>
      <c r="TLP417" s="22"/>
      <c r="TLQ417" s="22"/>
      <c r="TLR417" s="22"/>
      <c r="TLS417" s="22"/>
      <c r="TLT417" s="22"/>
      <c r="TLU417" s="22"/>
      <c r="TLV417" s="22"/>
      <c r="TLW417" s="22"/>
      <c r="TLX417" s="22"/>
      <c r="TLY417" s="22"/>
      <c r="TLZ417" s="22"/>
      <c r="TMA417" s="22"/>
      <c r="TMB417" s="22"/>
      <c r="TMC417" s="22"/>
      <c r="TMD417" s="22"/>
      <c r="TME417" s="22"/>
      <c r="TMF417" s="22"/>
      <c r="TMG417" s="22"/>
      <c r="TMH417" s="22"/>
      <c r="TMI417" s="22"/>
      <c r="TMJ417" s="22"/>
      <c r="TMK417" s="22"/>
      <c r="TML417" s="22"/>
      <c r="TMM417" s="22"/>
      <c r="TMN417" s="22"/>
      <c r="TMO417" s="22"/>
      <c r="TMP417" s="22"/>
      <c r="TMQ417" s="22"/>
      <c r="TMR417" s="22"/>
      <c r="TMS417" s="22"/>
      <c r="TMT417" s="22"/>
      <c r="TMU417" s="22"/>
      <c r="TMV417" s="22"/>
      <c r="TMW417" s="22"/>
      <c r="TMX417" s="22"/>
      <c r="TMY417" s="22"/>
      <c r="TMZ417" s="22"/>
      <c r="TNA417" s="22"/>
      <c r="TNB417" s="22"/>
      <c r="TNC417" s="22"/>
      <c r="TND417" s="22"/>
      <c r="TNE417" s="22"/>
      <c r="TNF417" s="22"/>
      <c r="TNG417" s="22"/>
      <c r="TNH417" s="22"/>
      <c r="TNI417" s="22"/>
      <c r="TNJ417" s="22"/>
      <c r="TNK417" s="22"/>
      <c r="TNL417" s="22"/>
      <c r="TNM417" s="22"/>
      <c r="TNN417" s="22"/>
      <c r="TNO417" s="22"/>
      <c r="TNP417" s="22"/>
      <c r="TNQ417" s="22"/>
      <c r="TNR417" s="22"/>
      <c r="TNS417" s="22"/>
      <c r="TNT417" s="22"/>
      <c r="TNU417" s="22"/>
      <c r="TNV417" s="22"/>
      <c r="TNW417" s="22"/>
      <c r="TNX417" s="22"/>
      <c r="TNY417" s="22"/>
      <c r="TNZ417" s="22"/>
      <c r="TOA417" s="22"/>
      <c r="TOB417" s="22"/>
      <c r="TOC417" s="22"/>
      <c r="TOD417" s="22"/>
      <c r="TOE417" s="22"/>
      <c r="TOF417" s="22"/>
      <c r="TOG417" s="22"/>
      <c r="TOH417" s="22"/>
      <c r="TOI417" s="22"/>
      <c r="TOJ417" s="22"/>
      <c r="TOK417" s="22"/>
      <c r="TOL417" s="22"/>
      <c r="TOM417" s="22"/>
      <c r="TON417" s="22"/>
      <c r="TOO417" s="22"/>
      <c r="TOP417" s="22"/>
      <c r="TOQ417" s="22"/>
      <c r="TOR417" s="22"/>
      <c r="TOS417" s="22"/>
      <c r="TOT417" s="22"/>
      <c r="TOU417" s="22"/>
      <c r="TOV417" s="22"/>
      <c r="TOW417" s="22"/>
      <c r="TOX417" s="22"/>
      <c r="TOY417" s="22"/>
      <c r="TOZ417" s="22"/>
      <c r="TPA417" s="22"/>
      <c r="TPB417" s="22"/>
      <c r="TPC417" s="22"/>
      <c r="TPD417" s="22"/>
      <c r="TPE417" s="22"/>
      <c r="TPF417" s="22"/>
      <c r="TPG417" s="22"/>
      <c r="TPH417" s="22"/>
      <c r="TPI417" s="22"/>
      <c r="TPJ417" s="22"/>
      <c r="TPK417" s="22"/>
      <c r="TPL417" s="22"/>
      <c r="TPM417" s="22"/>
      <c r="TPN417" s="22"/>
      <c r="TPO417" s="22"/>
      <c r="TPP417" s="22"/>
      <c r="TPQ417" s="22"/>
      <c r="TPR417" s="22"/>
      <c r="TPS417" s="22"/>
      <c r="TPT417" s="22"/>
      <c r="TPU417" s="22"/>
      <c r="TPV417" s="22"/>
      <c r="TPW417" s="22"/>
      <c r="TPX417" s="22"/>
      <c r="TPY417" s="22"/>
      <c r="TPZ417" s="22"/>
      <c r="TQA417" s="22"/>
      <c r="TQB417" s="22"/>
      <c r="TQC417" s="22"/>
      <c r="TQD417" s="22"/>
      <c r="TQE417" s="22"/>
      <c r="TQF417" s="22"/>
      <c r="TQG417" s="22"/>
      <c r="TQH417" s="22"/>
      <c r="TQI417" s="22"/>
      <c r="TQJ417" s="22"/>
      <c r="TQK417" s="22"/>
      <c r="TQL417" s="22"/>
      <c r="TQM417" s="22"/>
      <c r="TQN417" s="22"/>
      <c r="TQO417" s="22"/>
      <c r="TQP417" s="22"/>
      <c r="TQQ417" s="22"/>
      <c r="TQR417" s="22"/>
      <c r="TQS417" s="22"/>
      <c r="TQT417" s="22"/>
      <c r="TQU417" s="22"/>
      <c r="TQV417" s="22"/>
      <c r="TQW417" s="22"/>
      <c r="TQX417" s="22"/>
      <c r="TQY417" s="22"/>
      <c r="TQZ417" s="22"/>
      <c r="TRA417" s="22"/>
      <c r="TRB417" s="22"/>
      <c r="TRC417" s="22"/>
      <c r="TRD417" s="22"/>
      <c r="TRE417" s="22"/>
      <c r="TRF417" s="22"/>
      <c r="TRG417" s="22"/>
      <c r="TRH417" s="22"/>
      <c r="TRI417" s="22"/>
      <c r="TRJ417" s="22"/>
      <c r="TRK417" s="22"/>
      <c r="TRL417" s="22"/>
      <c r="TRM417" s="22"/>
      <c r="TRN417" s="22"/>
      <c r="TRO417" s="22"/>
      <c r="TRP417" s="22"/>
      <c r="TRQ417" s="22"/>
      <c r="TRR417" s="22"/>
      <c r="TRS417" s="22"/>
      <c r="TRT417" s="22"/>
      <c r="TRU417" s="22"/>
      <c r="TRV417" s="22"/>
      <c r="TRW417" s="22"/>
      <c r="TRX417" s="22"/>
      <c r="TRY417" s="22"/>
      <c r="TRZ417" s="22"/>
      <c r="TSA417" s="22"/>
      <c r="TSB417" s="22"/>
      <c r="TSC417" s="22"/>
      <c r="TSD417" s="22"/>
      <c r="TSE417" s="22"/>
      <c r="TSF417" s="22"/>
      <c r="TSG417" s="22"/>
      <c r="TSH417" s="22"/>
      <c r="TSI417" s="22"/>
      <c r="TSJ417" s="22"/>
      <c r="TSK417" s="22"/>
      <c r="TSL417" s="22"/>
      <c r="TSM417" s="22"/>
      <c r="TSN417" s="22"/>
      <c r="TSO417" s="22"/>
      <c r="TSP417" s="22"/>
      <c r="TSQ417" s="22"/>
      <c r="TSR417" s="22"/>
      <c r="TSS417" s="22"/>
      <c r="TST417" s="22"/>
      <c r="TSU417" s="22"/>
      <c r="TSV417" s="22"/>
      <c r="TSW417" s="22"/>
      <c r="TSX417" s="22"/>
      <c r="TSY417" s="22"/>
      <c r="TSZ417" s="22"/>
      <c r="TTA417" s="22"/>
      <c r="TTB417" s="22"/>
      <c r="TTC417" s="22"/>
      <c r="TTD417" s="22"/>
      <c r="TTE417" s="22"/>
      <c r="TTF417" s="22"/>
      <c r="TTG417" s="22"/>
      <c r="TTH417" s="22"/>
      <c r="TTI417" s="22"/>
      <c r="TTJ417" s="22"/>
      <c r="TTK417" s="22"/>
      <c r="TTL417" s="22"/>
      <c r="TTM417" s="22"/>
      <c r="TTN417" s="22"/>
      <c r="TTO417" s="22"/>
      <c r="TTP417" s="22"/>
      <c r="TTQ417" s="22"/>
      <c r="TTR417" s="22"/>
      <c r="TTS417" s="22"/>
      <c r="TTT417" s="22"/>
      <c r="TTU417" s="22"/>
      <c r="TTV417" s="22"/>
      <c r="TTW417" s="22"/>
      <c r="TTX417" s="22"/>
      <c r="TTY417" s="22"/>
      <c r="TTZ417" s="22"/>
      <c r="TUA417" s="22"/>
      <c r="TUB417" s="22"/>
      <c r="TUC417" s="22"/>
      <c r="TUD417" s="22"/>
      <c r="TUE417" s="22"/>
      <c r="TUF417" s="22"/>
      <c r="TUG417" s="22"/>
      <c r="TUH417" s="22"/>
      <c r="TUI417" s="22"/>
      <c r="TUJ417" s="22"/>
      <c r="TUK417" s="22"/>
      <c r="TUL417" s="22"/>
      <c r="TUM417" s="22"/>
      <c r="TUN417" s="22"/>
      <c r="TUO417" s="22"/>
      <c r="TUP417" s="22"/>
      <c r="TUQ417" s="22"/>
      <c r="TUR417" s="22"/>
      <c r="TUS417" s="22"/>
      <c r="TUT417" s="22"/>
      <c r="TUU417" s="22"/>
      <c r="TUV417" s="22"/>
      <c r="TUW417" s="22"/>
      <c r="TUX417" s="22"/>
      <c r="TUY417" s="22"/>
      <c r="TUZ417" s="22"/>
      <c r="TVA417" s="22"/>
      <c r="TVB417" s="22"/>
      <c r="TVC417" s="22"/>
      <c r="TVD417" s="22"/>
      <c r="TVE417" s="22"/>
      <c r="TVF417" s="22"/>
      <c r="TVG417" s="22"/>
      <c r="TVH417" s="22"/>
      <c r="TVI417" s="22"/>
      <c r="TVJ417" s="22"/>
      <c r="TVK417" s="22"/>
      <c r="TVL417" s="22"/>
      <c r="TVM417" s="22"/>
      <c r="TVN417" s="22"/>
      <c r="TVO417" s="22"/>
      <c r="TVP417" s="22"/>
      <c r="TVQ417" s="22"/>
      <c r="TVR417" s="22"/>
      <c r="TVS417" s="22"/>
      <c r="TVT417" s="22"/>
      <c r="TVU417" s="22"/>
      <c r="TVV417" s="22"/>
      <c r="TVW417" s="22"/>
      <c r="TVX417" s="22"/>
      <c r="TVY417" s="22"/>
      <c r="TVZ417" s="22"/>
      <c r="TWA417" s="22"/>
      <c r="TWB417" s="22"/>
      <c r="TWC417" s="22"/>
      <c r="TWD417" s="22"/>
      <c r="TWE417" s="22"/>
      <c r="TWF417" s="22"/>
      <c r="TWG417" s="22"/>
      <c r="TWH417" s="22"/>
      <c r="TWI417" s="22"/>
      <c r="TWJ417" s="22"/>
      <c r="TWK417" s="22"/>
      <c r="TWL417" s="22"/>
      <c r="TWM417" s="22"/>
      <c r="TWN417" s="22"/>
      <c r="TWO417" s="22"/>
      <c r="TWP417" s="22"/>
      <c r="TWQ417" s="22"/>
      <c r="TWR417" s="22"/>
      <c r="TWS417" s="22"/>
      <c r="TWT417" s="22"/>
      <c r="TWU417" s="22"/>
      <c r="TWV417" s="22"/>
      <c r="TWW417" s="22"/>
      <c r="TWX417" s="22"/>
      <c r="TWY417" s="22"/>
      <c r="TWZ417" s="22"/>
      <c r="TXA417" s="22"/>
      <c r="TXB417" s="22"/>
      <c r="TXC417" s="22"/>
      <c r="TXD417" s="22"/>
      <c r="TXE417" s="22"/>
      <c r="TXF417" s="22"/>
      <c r="TXG417" s="22"/>
      <c r="TXH417" s="22"/>
      <c r="TXI417" s="22"/>
      <c r="TXJ417" s="22"/>
      <c r="TXK417" s="22"/>
      <c r="TXL417" s="22"/>
      <c r="TXM417" s="22"/>
      <c r="TXN417" s="22"/>
      <c r="TXO417" s="22"/>
      <c r="TXP417" s="22"/>
      <c r="TXQ417" s="22"/>
      <c r="TXR417" s="22"/>
      <c r="TXS417" s="22"/>
      <c r="TXT417" s="22"/>
      <c r="TXU417" s="22"/>
      <c r="TXV417" s="22"/>
      <c r="TXW417" s="22"/>
      <c r="TXX417" s="22"/>
      <c r="TXY417" s="22"/>
      <c r="TXZ417" s="22"/>
      <c r="TYA417" s="22"/>
      <c r="TYB417" s="22"/>
      <c r="TYC417" s="22"/>
      <c r="TYD417" s="22"/>
      <c r="TYE417" s="22"/>
      <c r="TYF417" s="22"/>
      <c r="TYG417" s="22"/>
      <c r="TYH417" s="22"/>
      <c r="TYI417" s="22"/>
      <c r="TYJ417" s="22"/>
      <c r="TYK417" s="22"/>
      <c r="TYL417" s="22"/>
      <c r="TYM417" s="22"/>
      <c r="TYN417" s="22"/>
      <c r="TYO417" s="22"/>
      <c r="TYP417" s="22"/>
      <c r="TYQ417" s="22"/>
      <c r="TYR417" s="22"/>
      <c r="TYS417" s="22"/>
      <c r="TYT417" s="22"/>
      <c r="TYU417" s="22"/>
      <c r="TYV417" s="22"/>
      <c r="TYW417" s="22"/>
      <c r="TYX417" s="22"/>
      <c r="TYY417" s="22"/>
      <c r="TYZ417" s="22"/>
      <c r="TZA417" s="22"/>
      <c r="TZB417" s="22"/>
      <c r="TZC417" s="22"/>
      <c r="TZD417" s="22"/>
      <c r="TZE417" s="22"/>
      <c r="TZF417" s="22"/>
      <c r="TZG417" s="22"/>
      <c r="TZH417" s="22"/>
      <c r="TZI417" s="22"/>
      <c r="TZJ417" s="22"/>
      <c r="TZK417" s="22"/>
      <c r="TZL417" s="22"/>
      <c r="TZM417" s="22"/>
      <c r="TZN417" s="22"/>
      <c r="TZO417" s="22"/>
      <c r="TZP417" s="22"/>
      <c r="TZQ417" s="22"/>
      <c r="TZR417" s="22"/>
      <c r="TZS417" s="22"/>
      <c r="TZT417" s="22"/>
      <c r="TZU417" s="22"/>
      <c r="TZV417" s="22"/>
      <c r="TZW417" s="22"/>
      <c r="TZX417" s="22"/>
      <c r="TZY417" s="22"/>
      <c r="TZZ417" s="22"/>
      <c r="UAA417" s="22"/>
      <c r="UAB417" s="22"/>
      <c r="UAC417" s="22"/>
      <c r="UAD417" s="22"/>
      <c r="UAE417" s="22"/>
      <c r="UAF417" s="22"/>
      <c r="UAG417" s="22"/>
      <c r="UAH417" s="22"/>
      <c r="UAI417" s="22"/>
      <c r="UAJ417" s="22"/>
      <c r="UAK417" s="22"/>
      <c r="UAL417" s="22"/>
      <c r="UAM417" s="22"/>
      <c r="UAN417" s="22"/>
      <c r="UAO417" s="22"/>
      <c r="UAP417" s="22"/>
      <c r="UAQ417" s="22"/>
      <c r="UAR417" s="22"/>
      <c r="UAS417" s="22"/>
      <c r="UAT417" s="22"/>
      <c r="UAU417" s="22"/>
      <c r="UAV417" s="22"/>
      <c r="UAW417" s="22"/>
      <c r="UAX417" s="22"/>
      <c r="UAY417" s="22"/>
      <c r="UAZ417" s="22"/>
      <c r="UBA417" s="22"/>
      <c r="UBB417" s="22"/>
      <c r="UBC417" s="22"/>
      <c r="UBD417" s="22"/>
      <c r="UBE417" s="22"/>
      <c r="UBF417" s="22"/>
      <c r="UBG417" s="22"/>
      <c r="UBH417" s="22"/>
      <c r="UBI417" s="22"/>
      <c r="UBJ417" s="22"/>
      <c r="UBK417" s="22"/>
      <c r="UBL417" s="22"/>
      <c r="UBM417" s="22"/>
      <c r="UBN417" s="22"/>
      <c r="UBO417" s="22"/>
      <c r="UBP417" s="22"/>
      <c r="UBQ417" s="22"/>
      <c r="UBR417" s="22"/>
      <c r="UBS417" s="22"/>
      <c r="UBT417" s="22"/>
      <c r="UBU417" s="22"/>
      <c r="UBV417" s="22"/>
      <c r="UBW417" s="22"/>
      <c r="UBX417" s="22"/>
      <c r="UBY417" s="22"/>
      <c r="UBZ417" s="22"/>
      <c r="UCA417" s="22"/>
      <c r="UCB417" s="22"/>
      <c r="UCC417" s="22"/>
      <c r="UCD417" s="22"/>
      <c r="UCE417" s="22"/>
      <c r="UCF417" s="22"/>
      <c r="UCG417" s="22"/>
      <c r="UCH417" s="22"/>
      <c r="UCI417" s="22"/>
      <c r="UCJ417" s="22"/>
      <c r="UCK417" s="22"/>
      <c r="UCL417" s="22"/>
      <c r="UCM417" s="22"/>
      <c r="UCN417" s="22"/>
      <c r="UCO417" s="22"/>
      <c r="UCP417" s="22"/>
      <c r="UCQ417" s="22"/>
      <c r="UCR417" s="22"/>
      <c r="UCS417" s="22"/>
      <c r="UCT417" s="22"/>
      <c r="UCU417" s="22"/>
      <c r="UCV417" s="22"/>
      <c r="UCW417" s="22"/>
      <c r="UCX417" s="22"/>
      <c r="UCY417" s="22"/>
      <c r="UCZ417" s="22"/>
      <c r="UDA417" s="22"/>
      <c r="UDB417" s="22"/>
      <c r="UDC417" s="22"/>
      <c r="UDD417" s="22"/>
      <c r="UDE417" s="22"/>
      <c r="UDF417" s="22"/>
      <c r="UDG417" s="22"/>
      <c r="UDH417" s="22"/>
      <c r="UDI417" s="22"/>
      <c r="UDJ417" s="22"/>
      <c r="UDK417" s="22"/>
      <c r="UDL417" s="22"/>
      <c r="UDM417" s="22"/>
      <c r="UDN417" s="22"/>
      <c r="UDO417" s="22"/>
      <c r="UDP417" s="22"/>
      <c r="UDQ417" s="22"/>
      <c r="UDR417" s="22"/>
      <c r="UDS417" s="22"/>
      <c r="UDT417" s="22"/>
      <c r="UDU417" s="22"/>
      <c r="UDV417" s="22"/>
      <c r="UDW417" s="22"/>
      <c r="UDX417" s="22"/>
      <c r="UDY417" s="22"/>
      <c r="UDZ417" s="22"/>
      <c r="UEA417" s="22"/>
      <c r="UEB417" s="22"/>
      <c r="UEC417" s="22"/>
      <c r="UED417" s="22"/>
      <c r="UEE417" s="22"/>
      <c r="UEF417" s="22"/>
      <c r="UEG417" s="22"/>
      <c r="UEH417" s="22"/>
      <c r="UEI417" s="22"/>
      <c r="UEJ417" s="22"/>
      <c r="UEK417" s="22"/>
      <c r="UEL417" s="22"/>
      <c r="UEM417" s="22"/>
      <c r="UEN417" s="22"/>
      <c r="UEO417" s="22"/>
      <c r="UEP417" s="22"/>
      <c r="UEQ417" s="22"/>
      <c r="UER417" s="22"/>
      <c r="UES417" s="22"/>
      <c r="UET417" s="22"/>
      <c r="UEU417" s="22"/>
      <c r="UEV417" s="22"/>
      <c r="UEW417" s="22"/>
      <c r="UEX417" s="22"/>
      <c r="UEY417" s="22"/>
      <c r="UEZ417" s="22"/>
      <c r="UFA417" s="22"/>
      <c r="UFB417" s="22"/>
      <c r="UFC417" s="22"/>
      <c r="UFD417" s="22"/>
      <c r="UFE417" s="22"/>
      <c r="UFF417" s="22"/>
      <c r="UFG417" s="22"/>
      <c r="UFH417" s="22"/>
      <c r="UFI417" s="22"/>
      <c r="UFJ417" s="22"/>
      <c r="UFK417" s="22"/>
      <c r="UFL417" s="22"/>
      <c r="UFM417" s="22"/>
      <c r="UFN417" s="22"/>
      <c r="UFO417" s="22"/>
      <c r="UFP417" s="22"/>
      <c r="UFQ417" s="22"/>
      <c r="UFR417" s="22"/>
      <c r="UFS417" s="22"/>
      <c r="UFT417" s="22"/>
      <c r="UFU417" s="22"/>
      <c r="UFV417" s="22"/>
      <c r="UFW417" s="22"/>
      <c r="UFX417" s="22"/>
      <c r="UFY417" s="22"/>
      <c r="UFZ417" s="22"/>
      <c r="UGA417" s="22"/>
      <c r="UGB417" s="22"/>
      <c r="UGC417" s="22"/>
      <c r="UGD417" s="22"/>
      <c r="UGE417" s="22"/>
      <c r="UGF417" s="22"/>
      <c r="UGG417" s="22"/>
      <c r="UGH417" s="22"/>
      <c r="UGI417" s="22"/>
      <c r="UGJ417" s="22"/>
      <c r="UGK417" s="22"/>
      <c r="UGL417" s="22"/>
      <c r="UGM417" s="22"/>
      <c r="UGN417" s="22"/>
      <c r="UGO417" s="22"/>
      <c r="UGP417" s="22"/>
      <c r="UGQ417" s="22"/>
      <c r="UGR417" s="22"/>
      <c r="UGS417" s="22"/>
      <c r="UGT417" s="22"/>
      <c r="UGU417" s="22"/>
      <c r="UGV417" s="22"/>
      <c r="UGW417" s="22"/>
      <c r="UGX417" s="22"/>
      <c r="UGY417" s="22"/>
      <c r="UGZ417" s="22"/>
      <c r="UHA417" s="22"/>
      <c r="UHB417" s="22"/>
      <c r="UHC417" s="22"/>
      <c r="UHD417" s="22"/>
      <c r="UHE417" s="22"/>
      <c r="UHF417" s="22"/>
      <c r="UHG417" s="22"/>
      <c r="UHH417" s="22"/>
      <c r="UHI417" s="22"/>
      <c r="UHJ417" s="22"/>
      <c r="UHK417" s="22"/>
      <c r="UHL417" s="22"/>
      <c r="UHM417" s="22"/>
      <c r="UHN417" s="22"/>
      <c r="UHO417" s="22"/>
      <c r="UHP417" s="22"/>
      <c r="UHQ417" s="22"/>
      <c r="UHR417" s="22"/>
      <c r="UHS417" s="22"/>
      <c r="UHT417" s="22"/>
      <c r="UHU417" s="22"/>
      <c r="UHV417" s="22"/>
      <c r="UHW417" s="22"/>
      <c r="UHX417" s="22"/>
      <c r="UHY417" s="22"/>
      <c r="UHZ417" s="22"/>
      <c r="UIA417" s="22"/>
      <c r="UIB417" s="22"/>
      <c r="UIC417" s="22"/>
      <c r="UID417" s="22"/>
      <c r="UIE417" s="22"/>
      <c r="UIF417" s="22"/>
      <c r="UIG417" s="22"/>
      <c r="UIH417" s="22"/>
      <c r="UII417" s="22"/>
      <c r="UIJ417" s="22"/>
      <c r="UIK417" s="22"/>
      <c r="UIL417" s="22"/>
      <c r="UIM417" s="22"/>
      <c r="UIN417" s="22"/>
      <c r="UIO417" s="22"/>
      <c r="UIP417" s="22"/>
      <c r="UIQ417" s="22"/>
      <c r="UIR417" s="22"/>
      <c r="UIS417" s="22"/>
      <c r="UIT417" s="22"/>
      <c r="UIU417" s="22"/>
      <c r="UIV417" s="22"/>
      <c r="UIW417" s="22"/>
      <c r="UIX417" s="22"/>
      <c r="UIY417" s="22"/>
      <c r="UIZ417" s="22"/>
      <c r="UJA417" s="22"/>
      <c r="UJB417" s="22"/>
      <c r="UJC417" s="22"/>
      <c r="UJD417" s="22"/>
      <c r="UJE417" s="22"/>
      <c r="UJF417" s="22"/>
      <c r="UJG417" s="22"/>
      <c r="UJH417" s="22"/>
      <c r="UJI417" s="22"/>
      <c r="UJJ417" s="22"/>
      <c r="UJK417" s="22"/>
      <c r="UJL417" s="22"/>
      <c r="UJM417" s="22"/>
      <c r="UJN417" s="22"/>
      <c r="UJO417" s="22"/>
      <c r="UJP417" s="22"/>
      <c r="UJQ417" s="22"/>
      <c r="UJR417" s="22"/>
      <c r="UJS417" s="22"/>
      <c r="UJT417" s="22"/>
      <c r="UJU417" s="22"/>
      <c r="UJV417" s="22"/>
      <c r="UJW417" s="22"/>
      <c r="UJX417" s="22"/>
      <c r="UJY417" s="22"/>
      <c r="UJZ417" s="22"/>
      <c r="UKA417" s="22"/>
      <c r="UKB417" s="22"/>
      <c r="UKC417" s="22"/>
      <c r="UKD417" s="22"/>
      <c r="UKE417" s="22"/>
      <c r="UKF417" s="22"/>
      <c r="UKG417" s="22"/>
      <c r="UKH417" s="22"/>
      <c r="UKI417" s="22"/>
      <c r="UKJ417" s="22"/>
      <c r="UKK417" s="22"/>
      <c r="UKL417" s="22"/>
      <c r="UKM417" s="22"/>
      <c r="UKN417" s="22"/>
      <c r="UKO417" s="22"/>
      <c r="UKP417" s="22"/>
      <c r="UKQ417" s="22"/>
      <c r="UKR417" s="22"/>
      <c r="UKS417" s="22"/>
      <c r="UKT417" s="22"/>
      <c r="UKU417" s="22"/>
      <c r="UKV417" s="22"/>
      <c r="UKW417" s="22"/>
      <c r="UKX417" s="22"/>
      <c r="UKY417" s="22"/>
      <c r="UKZ417" s="22"/>
      <c r="ULA417" s="22"/>
      <c r="ULB417" s="22"/>
      <c r="ULC417" s="22"/>
      <c r="ULD417" s="22"/>
      <c r="ULE417" s="22"/>
      <c r="ULF417" s="22"/>
      <c r="ULG417" s="22"/>
      <c r="ULH417" s="22"/>
      <c r="ULI417" s="22"/>
      <c r="ULJ417" s="22"/>
      <c r="ULK417" s="22"/>
      <c r="ULL417" s="22"/>
      <c r="ULM417" s="22"/>
      <c r="ULN417" s="22"/>
      <c r="ULO417" s="22"/>
      <c r="ULP417" s="22"/>
      <c r="ULQ417" s="22"/>
      <c r="ULR417" s="22"/>
      <c r="ULS417" s="22"/>
      <c r="ULT417" s="22"/>
      <c r="ULU417" s="22"/>
      <c r="ULV417" s="22"/>
      <c r="ULW417" s="22"/>
      <c r="ULX417" s="22"/>
      <c r="ULY417" s="22"/>
      <c r="ULZ417" s="22"/>
      <c r="UMA417" s="22"/>
      <c r="UMB417" s="22"/>
      <c r="UMC417" s="22"/>
      <c r="UMD417" s="22"/>
      <c r="UME417" s="22"/>
      <c r="UMF417" s="22"/>
      <c r="UMG417" s="22"/>
      <c r="UMH417" s="22"/>
      <c r="UMI417" s="22"/>
      <c r="UMJ417" s="22"/>
      <c r="UMK417" s="22"/>
      <c r="UML417" s="22"/>
      <c r="UMM417" s="22"/>
      <c r="UMN417" s="22"/>
      <c r="UMO417" s="22"/>
      <c r="UMP417" s="22"/>
      <c r="UMQ417" s="22"/>
      <c r="UMR417" s="22"/>
      <c r="UMS417" s="22"/>
      <c r="UMT417" s="22"/>
      <c r="UMU417" s="22"/>
      <c r="UMV417" s="22"/>
      <c r="UMW417" s="22"/>
      <c r="UMX417" s="22"/>
      <c r="UMY417" s="22"/>
      <c r="UMZ417" s="22"/>
      <c r="UNA417" s="22"/>
      <c r="UNB417" s="22"/>
      <c r="UNC417" s="22"/>
      <c r="UND417" s="22"/>
      <c r="UNE417" s="22"/>
      <c r="UNF417" s="22"/>
      <c r="UNG417" s="22"/>
      <c r="UNH417" s="22"/>
      <c r="UNI417" s="22"/>
      <c r="UNJ417" s="22"/>
      <c r="UNK417" s="22"/>
      <c r="UNL417" s="22"/>
      <c r="UNM417" s="22"/>
      <c r="UNN417" s="22"/>
      <c r="UNO417" s="22"/>
      <c r="UNP417" s="22"/>
      <c r="UNQ417" s="22"/>
      <c r="UNR417" s="22"/>
      <c r="UNS417" s="22"/>
      <c r="UNT417" s="22"/>
      <c r="UNU417" s="22"/>
      <c r="UNV417" s="22"/>
      <c r="UNW417" s="22"/>
      <c r="UNX417" s="22"/>
      <c r="UNY417" s="22"/>
      <c r="UNZ417" s="22"/>
      <c r="UOA417" s="22"/>
      <c r="UOB417" s="22"/>
      <c r="UOC417" s="22"/>
      <c r="UOD417" s="22"/>
      <c r="UOE417" s="22"/>
      <c r="UOF417" s="22"/>
      <c r="UOG417" s="22"/>
      <c r="UOH417" s="22"/>
      <c r="UOI417" s="22"/>
      <c r="UOJ417" s="22"/>
      <c r="UOK417" s="22"/>
      <c r="UOL417" s="22"/>
      <c r="UOM417" s="22"/>
      <c r="UON417" s="22"/>
      <c r="UOO417" s="22"/>
      <c r="UOP417" s="22"/>
      <c r="UOQ417" s="22"/>
      <c r="UOR417" s="22"/>
      <c r="UOS417" s="22"/>
      <c r="UOT417" s="22"/>
      <c r="UOU417" s="22"/>
      <c r="UOV417" s="22"/>
      <c r="UOW417" s="22"/>
      <c r="UOX417" s="22"/>
      <c r="UOY417" s="22"/>
      <c r="UOZ417" s="22"/>
      <c r="UPA417" s="22"/>
      <c r="UPB417" s="22"/>
      <c r="UPC417" s="22"/>
      <c r="UPD417" s="22"/>
      <c r="UPE417" s="22"/>
      <c r="UPF417" s="22"/>
      <c r="UPG417" s="22"/>
      <c r="UPH417" s="22"/>
      <c r="UPI417" s="22"/>
      <c r="UPJ417" s="22"/>
      <c r="UPK417" s="22"/>
      <c r="UPL417" s="22"/>
      <c r="UPM417" s="22"/>
      <c r="UPN417" s="22"/>
      <c r="UPO417" s="22"/>
      <c r="UPP417" s="22"/>
      <c r="UPQ417" s="22"/>
      <c r="UPR417" s="22"/>
      <c r="UPS417" s="22"/>
      <c r="UPT417" s="22"/>
      <c r="UPU417" s="22"/>
      <c r="UPV417" s="22"/>
      <c r="UPW417" s="22"/>
      <c r="UPX417" s="22"/>
      <c r="UPY417" s="22"/>
      <c r="UPZ417" s="22"/>
      <c r="UQA417" s="22"/>
      <c r="UQB417" s="22"/>
      <c r="UQC417" s="22"/>
      <c r="UQD417" s="22"/>
      <c r="UQE417" s="22"/>
      <c r="UQF417" s="22"/>
      <c r="UQG417" s="22"/>
      <c r="UQH417" s="22"/>
      <c r="UQI417" s="22"/>
      <c r="UQJ417" s="22"/>
      <c r="UQK417" s="22"/>
      <c r="UQL417" s="22"/>
      <c r="UQM417" s="22"/>
      <c r="UQN417" s="22"/>
      <c r="UQO417" s="22"/>
      <c r="UQP417" s="22"/>
      <c r="UQQ417" s="22"/>
      <c r="UQR417" s="22"/>
      <c r="UQS417" s="22"/>
      <c r="UQT417" s="22"/>
      <c r="UQU417" s="22"/>
      <c r="UQV417" s="22"/>
      <c r="UQW417" s="22"/>
      <c r="UQX417" s="22"/>
      <c r="UQY417" s="22"/>
      <c r="UQZ417" s="22"/>
      <c r="URA417" s="22"/>
      <c r="URB417" s="22"/>
      <c r="URC417" s="22"/>
      <c r="URD417" s="22"/>
      <c r="URE417" s="22"/>
      <c r="URF417" s="22"/>
      <c r="URG417" s="22"/>
      <c r="URH417" s="22"/>
      <c r="URI417" s="22"/>
      <c r="URJ417" s="22"/>
      <c r="URK417" s="22"/>
      <c r="URL417" s="22"/>
      <c r="URM417" s="22"/>
      <c r="URN417" s="22"/>
      <c r="URO417" s="22"/>
      <c r="URP417" s="22"/>
      <c r="URQ417" s="22"/>
      <c r="URR417" s="22"/>
      <c r="URS417" s="22"/>
      <c r="URT417" s="22"/>
      <c r="URU417" s="22"/>
      <c r="URV417" s="22"/>
      <c r="URW417" s="22"/>
      <c r="URX417" s="22"/>
      <c r="URY417" s="22"/>
      <c r="URZ417" s="22"/>
      <c r="USA417" s="22"/>
      <c r="USB417" s="22"/>
      <c r="USC417" s="22"/>
      <c r="USD417" s="22"/>
      <c r="USE417" s="22"/>
      <c r="USF417" s="22"/>
      <c r="USG417" s="22"/>
      <c r="USH417" s="22"/>
      <c r="USI417" s="22"/>
      <c r="USJ417" s="22"/>
      <c r="USK417" s="22"/>
      <c r="USL417" s="22"/>
      <c r="USM417" s="22"/>
      <c r="USN417" s="22"/>
      <c r="USO417" s="22"/>
      <c r="USP417" s="22"/>
      <c r="USQ417" s="22"/>
      <c r="USR417" s="22"/>
      <c r="USS417" s="22"/>
      <c r="UST417" s="22"/>
      <c r="USU417" s="22"/>
      <c r="USV417" s="22"/>
      <c r="USW417" s="22"/>
      <c r="USX417" s="22"/>
      <c r="USY417" s="22"/>
      <c r="USZ417" s="22"/>
      <c r="UTA417" s="22"/>
      <c r="UTB417" s="22"/>
      <c r="UTC417" s="22"/>
      <c r="UTD417" s="22"/>
      <c r="UTE417" s="22"/>
      <c r="UTF417" s="22"/>
      <c r="UTG417" s="22"/>
      <c r="UTH417" s="22"/>
      <c r="UTI417" s="22"/>
      <c r="UTJ417" s="22"/>
      <c r="UTK417" s="22"/>
      <c r="UTL417" s="22"/>
      <c r="UTM417" s="22"/>
      <c r="UTN417" s="22"/>
      <c r="UTO417" s="22"/>
      <c r="UTP417" s="22"/>
      <c r="UTQ417" s="22"/>
      <c r="UTR417" s="22"/>
      <c r="UTS417" s="22"/>
      <c r="UTT417" s="22"/>
      <c r="UTU417" s="22"/>
      <c r="UTV417" s="22"/>
      <c r="UTW417" s="22"/>
      <c r="UTX417" s="22"/>
      <c r="UTY417" s="22"/>
      <c r="UTZ417" s="22"/>
      <c r="UUA417" s="22"/>
      <c r="UUB417" s="22"/>
      <c r="UUC417" s="22"/>
      <c r="UUD417" s="22"/>
      <c r="UUE417" s="22"/>
      <c r="UUF417" s="22"/>
      <c r="UUG417" s="22"/>
      <c r="UUH417" s="22"/>
      <c r="UUI417" s="22"/>
      <c r="UUJ417" s="22"/>
      <c r="UUK417" s="22"/>
      <c r="UUL417" s="22"/>
      <c r="UUM417" s="22"/>
      <c r="UUN417" s="22"/>
      <c r="UUO417" s="22"/>
      <c r="UUP417" s="22"/>
      <c r="UUQ417" s="22"/>
      <c r="UUR417" s="22"/>
      <c r="UUS417" s="22"/>
      <c r="UUT417" s="22"/>
      <c r="UUU417" s="22"/>
      <c r="UUV417" s="22"/>
      <c r="UUW417" s="22"/>
      <c r="UUX417" s="22"/>
      <c r="UUY417" s="22"/>
      <c r="UUZ417" s="22"/>
      <c r="UVA417" s="22"/>
      <c r="UVB417" s="22"/>
      <c r="UVC417" s="22"/>
      <c r="UVD417" s="22"/>
      <c r="UVE417" s="22"/>
      <c r="UVF417" s="22"/>
      <c r="UVG417" s="22"/>
      <c r="UVH417" s="22"/>
      <c r="UVI417" s="22"/>
      <c r="UVJ417" s="22"/>
      <c r="UVK417" s="22"/>
      <c r="UVL417" s="22"/>
      <c r="UVM417" s="22"/>
      <c r="UVN417" s="22"/>
      <c r="UVO417" s="22"/>
      <c r="UVP417" s="22"/>
      <c r="UVQ417" s="22"/>
      <c r="UVR417" s="22"/>
      <c r="UVS417" s="22"/>
      <c r="UVT417" s="22"/>
      <c r="UVU417" s="22"/>
      <c r="UVV417" s="22"/>
      <c r="UVW417" s="22"/>
      <c r="UVX417" s="22"/>
      <c r="UVY417" s="22"/>
      <c r="UVZ417" s="22"/>
      <c r="UWA417" s="22"/>
      <c r="UWB417" s="22"/>
      <c r="UWC417" s="22"/>
      <c r="UWD417" s="22"/>
      <c r="UWE417" s="22"/>
      <c r="UWF417" s="22"/>
      <c r="UWG417" s="22"/>
      <c r="UWH417" s="22"/>
      <c r="UWI417" s="22"/>
      <c r="UWJ417" s="22"/>
      <c r="UWK417" s="22"/>
      <c r="UWL417" s="22"/>
      <c r="UWM417" s="22"/>
      <c r="UWN417" s="22"/>
      <c r="UWO417" s="22"/>
      <c r="UWP417" s="22"/>
      <c r="UWQ417" s="22"/>
      <c r="UWR417" s="22"/>
      <c r="UWS417" s="22"/>
      <c r="UWT417" s="22"/>
      <c r="UWU417" s="22"/>
      <c r="UWV417" s="22"/>
      <c r="UWW417" s="22"/>
      <c r="UWX417" s="22"/>
      <c r="UWY417" s="22"/>
      <c r="UWZ417" s="22"/>
      <c r="UXA417" s="22"/>
      <c r="UXB417" s="22"/>
      <c r="UXC417" s="22"/>
      <c r="UXD417" s="22"/>
      <c r="UXE417" s="22"/>
      <c r="UXF417" s="22"/>
      <c r="UXG417" s="22"/>
      <c r="UXH417" s="22"/>
      <c r="UXI417" s="22"/>
      <c r="UXJ417" s="22"/>
      <c r="UXK417" s="22"/>
      <c r="UXL417" s="22"/>
      <c r="UXM417" s="22"/>
      <c r="UXN417" s="22"/>
      <c r="UXO417" s="22"/>
      <c r="UXP417" s="22"/>
      <c r="UXQ417" s="22"/>
      <c r="UXR417" s="22"/>
      <c r="UXS417" s="22"/>
      <c r="UXT417" s="22"/>
      <c r="UXU417" s="22"/>
      <c r="UXV417" s="22"/>
      <c r="UXW417" s="22"/>
      <c r="UXX417" s="22"/>
      <c r="UXY417" s="22"/>
      <c r="UXZ417" s="22"/>
      <c r="UYA417" s="22"/>
      <c r="UYB417" s="22"/>
      <c r="UYC417" s="22"/>
      <c r="UYD417" s="22"/>
      <c r="UYE417" s="22"/>
      <c r="UYF417" s="22"/>
      <c r="UYG417" s="22"/>
      <c r="UYH417" s="22"/>
      <c r="UYI417" s="22"/>
      <c r="UYJ417" s="22"/>
      <c r="UYK417" s="22"/>
      <c r="UYL417" s="22"/>
      <c r="UYM417" s="22"/>
      <c r="UYN417" s="22"/>
      <c r="UYO417" s="22"/>
      <c r="UYP417" s="22"/>
      <c r="UYQ417" s="22"/>
      <c r="UYR417" s="22"/>
      <c r="UYS417" s="22"/>
      <c r="UYT417" s="22"/>
      <c r="UYU417" s="22"/>
      <c r="UYV417" s="22"/>
      <c r="UYW417" s="22"/>
      <c r="UYX417" s="22"/>
      <c r="UYY417" s="22"/>
      <c r="UYZ417" s="22"/>
      <c r="UZA417" s="22"/>
      <c r="UZB417" s="22"/>
      <c r="UZC417" s="22"/>
      <c r="UZD417" s="22"/>
      <c r="UZE417" s="22"/>
      <c r="UZF417" s="22"/>
      <c r="UZG417" s="22"/>
      <c r="UZH417" s="22"/>
      <c r="UZI417" s="22"/>
      <c r="UZJ417" s="22"/>
      <c r="UZK417" s="22"/>
      <c r="UZL417" s="22"/>
      <c r="UZM417" s="22"/>
      <c r="UZN417" s="22"/>
      <c r="UZO417" s="22"/>
      <c r="UZP417" s="22"/>
      <c r="UZQ417" s="22"/>
      <c r="UZR417" s="22"/>
      <c r="UZS417" s="22"/>
      <c r="UZT417" s="22"/>
      <c r="UZU417" s="22"/>
      <c r="UZV417" s="22"/>
      <c r="UZW417" s="22"/>
      <c r="UZX417" s="22"/>
      <c r="UZY417" s="22"/>
      <c r="UZZ417" s="22"/>
      <c r="VAA417" s="22"/>
      <c r="VAB417" s="22"/>
      <c r="VAC417" s="22"/>
      <c r="VAD417" s="22"/>
      <c r="VAE417" s="22"/>
      <c r="VAF417" s="22"/>
      <c r="VAG417" s="22"/>
      <c r="VAH417" s="22"/>
      <c r="VAI417" s="22"/>
      <c r="VAJ417" s="22"/>
      <c r="VAK417" s="22"/>
      <c r="VAL417" s="22"/>
      <c r="VAM417" s="22"/>
      <c r="VAN417" s="22"/>
      <c r="VAO417" s="22"/>
      <c r="VAP417" s="22"/>
      <c r="VAQ417" s="22"/>
      <c r="VAR417" s="22"/>
      <c r="VAS417" s="22"/>
      <c r="VAT417" s="22"/>
      <c r="VAU417" s="22"/>
      <c r="VAV417" s="22"/>
      <c r="VAW417" s="22"/>
      <c r="VAX417" s="22"/>
      <c r="VAY417" s="22"/>
      <c r="VAZ417" s="22"/>
      <c r="VBA417" s="22"/>
      <c r="VBB417" s="22"/>
      <c r="VBC417" s="22"/>
      <c r="VBD417" s="22"/>
      <c r="VBE417" s="22"/>
      <c r="VBF417" s="22"/>
      <c r="VBG417" s="22"/>
      <c r="VBH417" s="22"/>
      <c r="VBI417" s="22"/>
      <c r="VBJ417" s="22"/>
      <c r="VBK417" s="22"/>
      <c r="VBL417" s="22"/>
      <c r="VBM417" s="22"/>
      <c r="VBN417" s="22"/>
      <c r="VBO417" s="22"/>
      <c r="VBP417" s="22"/>
      <c r="VBQ417" s="22"/>
      <c r="VBR417" s="22"/>
      <c r="VBS417" s="22"/>
      <c r="VBT417" s="22"/>
      <c r="VBU417" s="22"/>
      <c r="VBV417" s="22"/>
      <c r="VBW417" s="22"/>
      <c r="VBX417" s="22"/>
      <c r="VBY417" s="22"/>
      <c r="VBZ417" s="22"/>
      <c r="VCA417" s="22"/>
      <c r="VCB417" s="22"/>
      <c r="VCC417" s="22"/>
      <c r="VCD417" s="22"/>
      <c r="VCE417" s="22"/>
      <c r="VCF417" s="22"/>
      <c r="VCG417" s="22"/>
      <c r="VCH417" s="22"/>
      <c r="VCI417" s="22"/>
      <c r="VCJ417" s="22"/>
      <c r="VCK417" s="22"/>
      <c r="VCL417" s="22"/>
      <c r="VCM417" s="22"/>
      <c r="VCN417" s="22"/>
      <c r="VCO417" s="22"/>
      <c r="VCP417" s="22"/>
      <c r="VCQ417" s="22"/>
      <c r="VCR417" s="22"/>
      <c r="VCS417" s="22"/>
      <c r="VCT417" s="22"/>
      <c r="VCU417" s="22"/>
      <c r="VCV417" s="22"/>
      <c r="VCW417" s="22"/>
      <c r="VCX417" s="22"/>
      <c r="VCY417" s="22"/>
      <c r="VCZ417" s="22"/>
      <c r="VDA417" s="22"/>
      <c r="VDB417" s="22"/>
      <c r="VDC417" s="22"/>
      <c r="VDD417" s="22"/>
      <c r="VDE417" s="22"/>
      <c r="VDF417" s="22"/>
      <c r="VDG417" s="22"/>
      <c r="VDH417" s="22"/>
      <c r="VDI417" s="22"/>
      <c r="VDJ417" s="22"/>
      <c r="VDK417" s="22"/>
      <c r="VDL417" s="22"/>
      <c r="VDM417" s="22"/>
      <c r="VDN417" s="22"/>
      <c r="VDO417" s="22"/>
      <c r="VDP417" s="22"/>
      <c r="VDQ417" s="22"/>
      <c r="VDR417" s="22"/>
      <c r="VDS417" s="22"/>
      <c r="VDT417" s="22"/>
      <c r="VDU417" s="22"/>
      <c r="VDV417" s="22"/>
      <c r="VDW417" s="22"/>
      <c r="VDX417" s="22"/>
      <c r="VDY417" s="22"/>
      <c r="VDZ417" s="22"/>
      <c r="VEA417" s="22"/>
      <c r="VEB417" s="22"/>
      <c r="VEC417" s="22"/>
      <c r="VED417" s="22"/>
      <c r="VEE417" s="22"/>
      <c r="VEF417" s="22"/>
      <c r="VEG417" s="22"/>
      <c r="VEH417" s="22"/>
      <c r="VEI417" s="22"/>
      <c r="VEJ417" s="22"/>
      <c r="VEK417" s="22"/>
      <c r="VEL417" s="22"/>
      <c r="VEM417" s="22"/>
      <c r="VEN417" s="22"/>
      <c r="VEO417" s="22"/>
      <c r="VEP417" s="22"/>
      <c r="VEQ417" s="22"/>
      <c r="VER417" s="22"/>
      <c r="VES417" s="22"/>
      <c r="VET417" s="22"/>
      <c r="VEU417" s="22"/>
      <c r="VEV417" s="22"/>
      <c r="VEW417" s="22"/>
      <c r="VEX417" s="22"/>
      <c r="VEY417" s="22"/>
      <c r="VEZ417" s="22"/>
      <c r="VFA417" s="22"/>
      <c r="VFB417" s="22"/>
      <c r="VFC417" s="22"/>
      <c r="VFD417" s="22"/>
      <c r="VFE417" s="22"/>
      <c r="VFF417" s="22"/>
      <c r="VFG417" s="22"/>
      <c r="VFH417" s="22"/>
      <c r="VFI417" s="22"/>
      <c r="VFJ417" s="22"/>
      <c r="VFK417" s="22"/>
      <c r="VFL417" s="22"/>
      <c r="VFM417" s="22"/>
      <c r="VFN417" s="22"/>
      <c r="VFO417" s="22"/>
      <c r="VFP417" s="22"/>
      <c r="VFQ417" s="22"/>
      <c r="VFR417" s="22"/>
      <c r="VFS417" s="22"/>
      <c r="VFT417" s="22"/>
      <c r="VFU417" s="22"/>
      <c r="VFV417" s="22"/>
      <c r="VFW417" s="22"/>
      <c r="VFX417" s="22"/>
      <c r="VFY417" s="22"/>
      <c r="VFZ417" s="22"/>
      <c r="VGA417" s="22"/>
      <c r="VGB417" s="22"/>
      <c r="VGC417" s="22"/>
      <c r="VGD417" s="22"/>
      <c r="VGE417" s="22"/>
      <c r="VGF417" s="22"/>
      <c r="VGG417" s="22"/>
      <c r="VGH417" s="22"/>
      <c r="VGI417" s="22"/>
      <c r="VGJ417" s="22"/>
      <c r="VGK417" s="22"/>
      <c r="VGL417" s="22"/>
      <c r="VGM417" s="22"/>
      <c r="VGN417" s="22"/>
      <c r="VGO417" s="22"/>
      <c r="VGP417" s="22"/>
      <c r="VGQ417" s="22"/>
      <c r="VGR417" s="22"/>
      <c r="VGS417" s="22"/>
      <c r="VGT417" s="22"/>
      <c r="VGU417" s="22"/>
      <c r="VGV417" s="22"/>
      <c r="VGW417" s="22"/>
      <c r="VGX417" s="22"/>
      <c r="VGY417" s="22"/>
      <c r="VGZ417" s="22"/>
      <c r="VHA417" s="22"/>
      <c r="VHB417" s="22"/>
      <c r="VHC417" s="22"/>
      <c r="VHD417" s="22"/>
      <c r="VHE417" s="22"/>
      <c r="VHF417" s="22"/>
      <c r="VHG417" s="22"/>
      <c r="VHH417" s="22"/>
      <c r="VHI417" s="22"/>
      <c r="VHJ417" s="22"/>
      <c r="VHK417" s="22"/>
      <c r="VHL417" s="22"/>
      <c r="VHM417" s="22"/>
      <c r="VHN417" s="22"/>
      <c r="VHO417" s="22"/>
      <c r="VHP417" s="22"/>
      <c r="VHQ417" s="22"/>
      <c r="VHR417" s="22"/>
      <c r="VHS417" s="22"/>
      <c r="VHT417" s="22"/>
      <c r="VHU417" s="22"/>
      <c r="VHV417" s="22"/>
      <c r="VHW417" s="22"/>
      <c r="VHX417" s="22"/>
      <c r="VHY417" s="22"/>
      <c r="VHZ417" s="22"/>
      <c r="VIA417" s="22"/>
      <c r="VIB417" s="22"/>
      <c r="VIC417" s="22"/>
      <c r="VID417" s="22"/>
      <c r="VIE417" s="22"/>
      <c r="VIF417" s="22"/>
      <c r="VIG417" s="22"/>
      <c r="VIH417" s="22"/>
      <c r="VII417" s="22"/>
      <c r="VIJ417" s="22"/>
      <c r="VIK417" s="22"/>
      <c r="VIL417" s="22"/>
      <c r="VIM417" s="22"/>
      <c r="VIN417" s="22"/>
      <c r="VIO417" s="22"/>
      <c r="VIP417" s="22"/>
      <c r="VIQ417" s="22"/>
      <c r="VIR417" s="22"/>
      <c r="VIS417" s="22"/>
      <c r="VIT417" s="22"/>
      <c r="VIU417" s="22"/>
      <c r="VIV417" s="22"/>
      <c r="VIW417" s="22"/>
      <c r="VIX417" s="22"/>
      <c r="VIY417" s="22"/>
      <c r="VIZ417" s="22"/>
      <c r="VJA417" s="22"/>
      <c r="VJB417" s="22"/>
      <c r="VJC417" s="22"/>
      <c r="VJD417" s="22"/>
      <c r="VJE417" s="22"/>
      <c r="VJF417" s="22"/>
      <c r="VJG417" s="22"/>
      <c r="VJH417" s="22"/>
      <c r="VJI417" s="22"/>
      <c r="VJJ417" s="22"/>
      <c r="VJK417" s="22"/>
      <c r="VJL417" s="22"/>
      <c r="VJM417" s="22"/>
      <c r="VJN417" s="22"/>
      <c r="VJO417" s="22"/>
      <c r="VJP417" s="22"/>
      <c r="VJQ417" s="22"/>
      <c r="VJR417" s="22"/>
      <c r="VJS417" s="22"/>
      <c r="VJT417" s="22"/>
      <c r="VJU417" s="22"/>
      <c r="VJV417" s="22"/>
      <c r="VJW417" s="22"/>
      <c r="VJX417" s="22"/>
      <c r="VJY417" s="22"/>
      <c r="VJZ417" s="22"/>
      <c r="VKA417" s="22"/>
      <c r="VKB417" s="22"/>
      <c r="VKC417" s="22"/>
      <c r="VKD417" s="22"/>
      <c r="VKE417" s="22"/>
      <c r="VKF417" s="22"/>
      <c r="VKG417" s="22"/>
      <c r="VKH417" s="22"/>
      <c r="VKI417" s="22"/>
      <c r="VKJ417" s="22"/>
      <c r="VKK417" s="22"/>
      <c r="VKL417" s="22"/>
      <c r="VKM417" s="22"/>
      <c r="VKN417" s="22"/>
      <c r="VKO417" s="22"/>
      <c r="VKP417" s="22"/>
      <c r="VKQ417" s="22"/>
      <c r="VKR417" s="22"/>
      <c r="VKS417" s="22"/>
      <c r="VKT417" s="22"/>
      <c r="VKU417" s="22"/>
      <c r="VKV417" s="22"/>
      <c r="VKW417" s="22"/>
      <c r="VKX417" s="22"/>
      <c r="VKY417" s="22"/>
      <c r="VKZ417" s="22"/>
      <c r="VLA417" s="22"/>
      <c r="VLB417" s="22"/>
      <c r="VLC417" s="22"/>
      <c r="VLD417" s="22"/>
      <c r="VLE417" s="22"/>
      <c r="VLF417" s="22"/>
      <c r="VLG417" s="22"/>
      <c r="VLH417" s="22"/>
      <c r="VLI417" s="22"/>
      <c r="VLJ417" s="22"/>
      <c r="VLK417" s="22"/>
      <c r="VLL417" s="22"/>
      <c r="VLM417" s="22"/>
      <c r="VLN417" s="22"/>
      <c r="VLO417" s="22"/>
      <c r="VLP417" s="22"/>
      <c r="VLQ417" s="22"/>
      <c r="VLR417" s="22"/>
      <c r="VLS417" s="22"/>
      <c r="VLT417" s="22"/>
      <c r="VLU417" s="22"/>
      <c r="VLV417" s="22"/>
      <c r="VLW417" s="22"/>
      <c r="VLX417" s="22"/>
      <c r="VLY417" s="22"/>
      <c r="VLZ417" s="22"/>
      <c r="VMA417" s="22"/>
      <c r="VMB417" s="22"/>
      <c r="VMC417" s="22"/>
      <c r="VMD417" s="22"/>
      <c r="VME417" s="22"/>
      <c r="VMF417" s="22"/>
      <c r="VMG417" s="22"/>
      <c r="VMH417" s="22"/>
      <c r="VMI417" s="22"/>
      <c r="VMJ417" s="22"/>
      <c r="VMK417" s="22"/>
      <c r="VML417" s="22"/>
      <c r="VMM417" s="22"/>
      <c r="VMN417" s="22"/>
      <c r="VMO417" s="22"/>
      <c r="VMP417" s="22"/>
      <c r="VMQ417" s="22"/>
      <c r="VMR417" s="22"/>
      <c r="VMS417" s="22"/>
      <c r="VMT417" s="22"/>
      <c r="VMU417" s="22"/>
      <c r="VMV417" s="22"/>
      <c r="VMW417" s="22"/>
      <c r="VMX417" s="22"/>
      <c r="VMY417" s="22"/>
      <c r="VMZ417" s="22"/>
      <c r="VNA417" s="22"/>
      <c r="VNB417" s="22"/>
      <c r="VNC417" s="22"/>
      <c r="VND417" s="22"/>
      <c r="VNE417" s="22"/>
      <c r="VNF417" s="22"/>
      <c r="VNG417" s="22"/>
      <c r="VNH417" s="22"/>
      <c r="VNI417" s="22"/>
      <c r="VNJ417" s="22"/>
      <c r="VNK417" s="22"/>
      <c r="VNL417" s="22"/>
      <c r="VNM417" s="22"/>
      <c r="VNN417" s="22"/>
      <c r="VNO417" s="22"/>
      <c r="VNP417" s="22"/>
      <c r="VNQ417" s="22"/>
      <c r="VNR417" s="22"/>
      <c r="VNS417" s="22"/>
      <c r="VNT417" s="22"/>
      <c r="VNU417" s="22"/>
      <c r="VNV417" s="22"/>
      <c r="VNW417" s="22"/>
      <c r="VNX417" s="22"/>
      <c r="VNY417" s="22"/>
      <c r="VNZ417" s="22"/>
      <c r="VOA417" s="22"/>
      <c r="VOB417" s="22"/>
      <c r="VOC417" s="22"/>
      <c r="VOD417" s="22"/>
      <c r="VOE417" s="22"/>
      <c r="VOF417" s="22"/>
      <c r="VOG417" s="22"/>
      <c r="VOH417" s="22"/>
      <c r="VOI417" s="22"/>
      <c r="VOJ417" s="22"/>
      <c r="VOK417" s="22"/>
      <c r="VOL417" s="22"/>
      <c r="VOM417" s="22"/>
      <c r="VON417" s="22"/>
      <c r="VOO417" s="22"/>
      <c r="VOP417" s="22"/>
      <c r="VOQ417" s="22"/>
      <c r="VOR417" s="22"/>
      <c r="VOS417" s="22"/>
      <c r="VOT417" s="22"/>
      <c r="VOU417" s="22"/>
      <c r="VOV417" s="22"/>
      <c r="VOW417" s="22"/>
      <c r="VOX417" s="22"/>
      <c r="VOY417" s="22"/>
      <c r="VOZ417" s="22"/>
      <c r="VPA417" s="22"/>
      <c r="VPB417" s="22"/>
      <c r="VPC417" s="22"/>
      <c r="VPD417" s="22"/>
      <c r="VPE417" s="22"/>
      <c r="VPF417" s="22"/>
      <c r="VPG417" s="22"/>
      <c r="VPH417" s="22"/>
      <c r="VPI417" s="22"/>
      <c r="VPJ417" s="22"/>
      <c r="VPK417" s="22"/>
      <c r="VPL417" s="22"/>
      <c r="VPM417" s="22"/>
      <c r="VPN417" s="22"/>
      <c r="VPO417" s="22"/>
      <c r="VPP417" s="22"/>
      <c r="VPQ417" s="22"/>
      <c r="VPR417" s="22"/>
      <c r="VPS417" s="22"/>
      <c r="VPT417" s="22"/>
      <c r="VPU417" s="22"/>
      <c r="VPV417" s="22"/>
      <c r="VPW417" s="22"/>
      <c r="VPX417" s="22"/>
      <c r="VPY417" s="22"/>
      <c r="VPZ417" s="22"/>
      <c r="VQA417" s="22"/>
      <c r="VQB417" s="22"/>
      <c r="VQC417" s="22"/>
      <c r="VQD417" s="22"/>
      <c r="VQE417" s="22"/>
      <c r="VQF417" s="22"/>
      <c r="VQG417" s="22"/>
      <c r="VQH417" s="22"/>
      <c r="VQI417" s="22"/>
      <c r="VQJ417" s="22"/>
      <c r="VQK417" s="22"/>
      <c r="VQL417" s="22"/>
      <c r="VQM417" s="22"/>
      <c r="VQN417" s="22"/>
      <c r="VQO417" s="22"/>
      <c r="VQP417" s="22"/>
      <c r="VQQ417" s="22"/>
      <c r="VQR417" s="22"/>
      <c r="VQS417" s="22"/>
      <c r="VQT417" s="22"/>
      <c r="VQU417" s="22"/>
      <c r="VQV417" s="22"/>
      <c r="VQW417" s="22"/>
      <c r="VQX417" s="22"/>
      <c r="VQY417" s="22"/>
      <c r="VQZ417" s="22"/>
      <c r="VRA417" s="22"/>
      <c r="VRB417" s="22"/>
      <c r="VRC417" s="22"/>
      <c r="VRD417" s="22"/>
      <c r="VRE417" s="22"/>
      <c r="VRF417" s="22"/>
      <c r="VRG417" s="22"/>
      <c r="VRH417" s="22"/>
      <c r="VRI417" s="22"/>
      <c r="VRJ417" s="22"/>
      <c r="VRK417" s="22"/>
      <c r="VRL417" s="22"/>
      <c r="VRM417" s="22"/>
      <c r="VRN417" s="22"/>
      <c r="VRO417" s="22"/>
      <c r="VRP417" s="22"/>
      <c r="VRQ417" s="22"/>
      <c r="VRR417" s="22"/>
      <c r="VRS417" s="22"/>
      <c r="VRT417" s="22"/>
      <c r="VRU417" s="22"/>
      <c r="VRV417" s="22"/>
      <c r="VRW417" s="22"/>
      <c r="VRX417" s="22"/>
      <c r="VRY417" s="22"/>
      <c r="VRZ417" s="22"/>
      <c r="VSA417" s="22"/>
      <c r="VSB417" s="22"/>
      <c r="VSC417" s="22"/>
      <c r="VSD417" s="22"/>
      <c r="VSE417" s="22"/>
      <c r="VSF417" s="22"/>
      <c r="VSG417" s="22"/>
      <c r="VSH417" s="22"/>
      <c r="VSI417" s="22"/>
      <c r="VSJ417" s="22"/>
      <c r="VSK417" s="22"/>
      <c r="VSL417" s="22"/>
      <c r="VSM417" s="22"/>
      <c r="VSN417" s="22"/>
      <c r="VSO417" s="22"/>
      <c r="VSP417" s="22"/>
      <c r="VSQ417" s="22"/>
      <c r="VSR417" s="22"/>
      <c r="VSS417" s="22"/>
      <c r="VST417" s="22"/>
      <c r="VSU417" s="22"/>
      <c r="VSV417" s="22"/>
      <c r="VSW417" s="22"/>
      <c r="VSX417" s="22"/>
      <c r="VSY417" s="22"/>
      <c r="VSZ417" s="22"/>
      <c r="VTA417" s="22"/>
      <c r="VTB417" s="22"/>
      <c r="VTC417" s="22"/>
      <c r="VTD417" s="22"/>
      <c r="VTE417" s="22"/>
      <c r="VTF417" s="22"/>
      <c r="VTG417" s="22"/>
      <c r="VTH417" s="22"/>
      <c r="VTI417" s="22"/>
      <c r="VTJ417" s="22"/>
      <c r="VTK417" s="22"/>
      <c r="VTL417" s="22"/>
      <c r="VTM417" s="22"/>
      <c r="VTN417" s="22"/>
      <c r="VTO417" s="22"/>
      <c r="VTP417" s="22"/>
      <c r="VTQ417" s="22"/>
      <c r="VTR417" s="22"/>
      <c r="VTS417" s="22"/>
      <c r="VTT417" s="22"/>
      <c r="VTU417" s="22"/>
      <c r="VTV417" s="22"/>
      <c r="VTW417" s="22"/>
      <c r="VTX417" s="22"/>
      <c r="VTY417" s="22"/>
      <c r="VTZ417" s="22"/>
      <c r="VUA417" s="22"/>
      <c r="VUB417" s="22"/>
      <c r="VUC417" s="22"/>
      <c r="VUD417" s="22"/>
      <c r="VUE417" s="22"/>
      <c r="VUF417" s="22"/>
      <c r="VUG417" s="22"/>
      <c r="VUH417" s="22"/>
      <c r="VUI417" s="22"/>
      <c r="VUJ417" s="22"/>
      <c r="VUK417" s="22"/>
      <c r="VUL417" s="22"/>
      <c r="VUM417" s="22"/>
      <c r="VUN417" s="22"/>
      <c r="VUO417" s="22"/>
      <c r="VUP417" s="22"/>
      <c r="VUQ417" s="22"/>
      <c r="VUR417" s="22"/>
      <c r="VUS417" s="22"/>
      <c r="VUT417" s="22"/>
      <c r="VUU417" s="22"/>
      <c r="VUV417" s="22"/>
      <c r="VUW417" s="22"/>
      <c r="VUX417" s="22"/>
      <c r="VUY417" s="22"/>
      <c r="VUZ417" s="22"/>
      <c r="VVA417" s="22"/>
      <c r="VVB417" s="22"/>
      <c r="VVC417" s="22"/>
      <c r="VVD417" s="22"/>
      <c r="VVE417" s="22"/>
      <c r="VVF417" s="22"/>
      <c r="VVG417" s="22"/>
      <c r="VVH417" s="22"/>
      <c r="VVI417" s="22"/>
      <c r="VVJ417" s="22"/>
      <c r="VVK417" s="22"/>
      <c r="VVL417" s="22"/>
      <c r="VVM417" s="22"/>
      <c r="VVN417" s="22"/>
      <c r="VVO417" s="22"/>
      <c r="VVP417" s="22"/>
      <c r="VVQ417" s="22"/>
      <c r="VVR417" s="22"/>
      <c r="VVS417" s="22"/>
      <c r="VVT417" s="22"/>
      <c r="VVU417" s="22"/>
      <c r="VVV417" s="22"/>
      <c r="VVW417" s="22"/>
      <c r="VVX417" s="22"/>
      <c r="VVY417" s="22"/>
      <c r="VVZ417" s="22"/>
      <c r="VWA417" s="22"/>
      <c r="VWB417" s="22"/>
      <c r="VWC417" s="22"/>
      <c r="VWD417" s="22"/>
      <c r="VWE417" s="22"/>
      <c r="VWF417" s="22"/>
      <c r="VWG417" s="22"/>
      <c r="VWH417" s="22"/>
      <c r="VWI417" s="22"/>
      <c r="VWJ417" s="22"/>
      <c r="VWK417" s="22"/>
      <c r="VWL417" s="22"/>
      <c r="VWM417" s="22"/>
      <c r="VWN417" s="22"/>
      <c r="VWO417" s="22"/>
      <c r="VWP417" s="22"/>
      <c r="VWQ417" s="22"/>
      <c r="VWR417" s="22"/>
      <c r="VWS417" s="22"/>
      <c r="VWT417" s="22"/>
      <c r="VWU417" s="22"/>
      <c r="VWV417" s="22"/>
      <c r="VWW417" s="22"/>
      <c r="VWX417" s="22"/>
      <c r="VWY417" s="22"/>
      <c r="VWZ417" s="22"/>
      <c r="VXA417" s="22"/>
      <c r="VXB417" s="22"/>
      <c r="VXC417" s="22"/>
      <c r="VXD417" s="22"/>
      <c r="VXE417" s="22"/>
      <c r="VXF417" s="22"/>
      <c r="VXG417" s="22"/>
      <c r="VXH417" s="22"/>
      <c r="VXI417" s="22"/>
      <c r="VXJ417" s="22"/>
      <c r="VXK417" s="22"/>
      <c r="VXL417" s="22"/>
      <c r="VXM417" s="22"/>
      <c r="VXN417" s="22"/>
      <c r="VXO417" s="22"/>
      <c r="VXP417" s="22"/>
      <c r="VXQ417" s="22"/>
      <c r="VXR417" s="22"/>
      <c r="VXS417" s="22"/>
      <c r="VXT417" s="22"/>
      <c r="VXU417" s="22"/>
      <c r="VXV417" s="22"/>
      <c r="VXW417" s="22"/>
      <c r="VXX417" s="22"/>
      <c r="VXY417" s="22"/>
      <c r="VXZ417" s="22"/>
      <c r="VYA417" s="22"/>
      <c r="VYB417" s="22"/>
      <c r="VYC417" s="22"/>
      <c r="VYD417" s="22"/>
      <c r="VYE417" s="22"/>
      <c r="VYF417" s="22"/>
      <c r="VYG417" s="22"/>
      <c r="VYH417" s="22"/>
      <c r="VYI417" s="22"/>
      <c r="VYJ417" s="22"/>
      <c r="VYK417" s="22"/>
      <c r="VYL417" s="22"/>
      <c r="VYM417" s="22"/>
      <c r="VYN417" s="22"/>
      <c r="VYO417" s="22"/>
      <c r="VYP417" s="22"/>
      <c r="VYQ417" s="22"/>
      <c r="VYR417" s="22"/>
      <c r="VYS417" s="22"/>
      <c r="VYT417" s="22"/>
      <c r="VYU417" s="22"/>
      <c r="VYV417" s="22"/>
      <c r="VYW417" s="22"/>
      <c r="VYX417" s="22"/>
      <c r="VYY417" s="22"/>
      <c r="VYZ417" s="22"/>
      <c r="VZA417" s="22"/>
      <c r="VZB417" s="22"/>
      <c r="VZC417" s="22"/>
      <c r="VZD417" s="22"/>
      <c r="VZE417" s="22"/>
      <c r="VZF417" s="22"/>
      <c r="VZG417" s="22"/>
      <c r="VZH417" s="22"/>
      <c r="VZI417" s="22"/>
      <c r="VZJ417" s="22"/>
      <c r="VZK417" s="22"/>
      <c r="VZL417" s="22"/>
      <c r="VZM417" s="22"/>
      <c r="VZN417" s="22"/>
      <c r="VZO417" s="22"/>
      <c r="VZP417" s="22"/>
      <c r="VZQ417" s="22"/>
      <c r="VZR417" s="22"/>
      <c r="VZS417" s="22"/>
      <c r="VZT417" s="22"/>
      <c r="VZU417" s="22"/>
      <c r="VZV417" s="22"/>
      <c r="VZW417" s="22"/>
      <c r="VZX417" s="22"/>
      <c r="VZY417" s="22"/>
      <c r="VZZ417" s="22"/>
      <c r="WAA417" s="22"/>
      <c r="WAB417" s="22"/>
      <c r="WAC417" s="22"/>
      <c r="WAD417" s="22"/>
      <c r="WAE417" s="22"/>
      <c r="WAF417" s="22"/>
      <c r="WAG417" s="22"/>
      <c r="WAH417" s="22"/>
      <c r="WAI417" s="22"/>
      <c r="WAJ417" s="22"/>
      <c r="WAK417" s="22"/>
      <c r="WAL417" s="22"/>
      <c r="WAM417" s="22"/>
      <c r="WAN417" s="22"/>
      <c r="WAO417" s="22"/>
      <c r="WAP417" s="22"/>
      <c r="WAQ417" s="22"/>
      <c r="WAR417" s="22"/>
      <c r="WAS417" s="22"/>
      <c r="WAT417" s="22"/>
      <c r="WAU417" s="22"/>
      <c r="WAV417" s="22"/>
      <c r="WAW417" s="22"/>
      <c r="WAX417" s="22"/>
      <c r="WAY417" s="22"/>
      <c r="WAZ417" s="22"/>
      <c r="WBA417" s="22"/>
      <c r="WBB417" s="22"/>
      <c r="WBC417" s="22"/>
      <c r="WBD417" s="22"/>
      <c r="WBE417" s="22"/>
      <c r="WBF417" s="22"/>
      <c r="WBG417" s="22"/>
      <c r="WBH417" s="22"/>
      <c r="WBI417" s="22"/>
      <c r="WBJ417" s="22"/>
      <c r="WBK417" s="22"/>
      <c r="WBL417" s="22"/>
      <c r="WBM417" s="22"/>
      <c r="WBN417" s="22"/>
      <c r="WBO417" s="22"/>
      <c r="WBP417" s="22"/>
      <c r="WBQ417" s="22"/>
      <c r="WBR417" s="22"/>
      <c r="WBS417" s="22"/>
      <c r="WBT417" s="22"/>
      <c r="WBU417" s="22"/>
      <c r="WBV417" s="22"/>
      <c r="WBW417" s="22"/>
      <c r="WBX417" s="22"/>
      <c r="WBY417" s="22"/>
      <c r="WBZ417" s="22"/>
      <c r="WCA417" s="22"/>
      <c r="WCB417" s="22"/>
      <c r="WCC417" s="22"/>
      <c r="WCD417" s="22"/>
      <c r="WCE417" s="22"/>
      <c r="WCF417" s="22"/>
      <c r="WCG417" s="22"/>
      <c r="WCH417" s="22"/>
      <c r="WCI417" s="22"/>
      <c r="WCJ417" s="22"/>
      <c r="WCK417" s="22"/>
      <c r="WCL417" s="22"/>
      <c r="WCM417" s="22"/>
      <c r="WCN417" s="22"/>
      <c r="WCO417" s="22"/>
      <c r="WCP417" s="22"/>
      <c r="WCQ417" s="22"/>
      <c r="WCR417" s="22"/>
      <c r="WCS417" s="22"/>
      <c r="WCT417" s="22"/>
      <c r="WCU417" s="22"/>
      <c r="WCV417" s="22"/>
      <c r="WCW417" s="22"/>
      <c r="WCX417" s="22"/>
      <c r="WCY417" s="22"/>
      <c r="WCZ417" s="22"/>
      <c r="WDA417" s="22"/>
      <c r="WDB417" s="22"/>
      <c r="WDC417" s="22"/>
      <c r="WDD417" s="22"/>
      <c r="WDE417" s="22"/>
      <c r="WDF417" s="22"/>
      <c r="WDG417" s="22"/>
      <c r="WDH417" s="22"/>
      <c r="WDI417" s="22"/>
      <c r="WDJ417" s="22"/>
      <c r="WDK417" s="22"/>
      <c r="WDL417" s="22"/>
      <c r="WDM417" s="22"/>
      <c r="WDN417" s="22"/>
      <c r="WDO417" s="22"/>
      <c r="WDP417" s="22"/>
      <c r="WDQ417" s="22"/>
      <c r="WDR417" s="22"/>
      <c r="WDS417" s="22"/>
      <c r="WDT417" s="22"/>
      <c r="WDU417" s="22"/>
      <c r="WDV417" s="22"/>
      <c r="WDW417" s="22"/>
      <c r="WDX417" s="22"/>
      <c r="WDY417" s="22"/>
      <c r="WDZ417" s="22"/>
      <c r="WEA417" s="22"/>
      <c r="WEB417" s="22"/>
      <c r="WEC417" s="22"/>
      <c r="WED417" s="22"/>
      <c r="WEE417" s="22"/>
      <c r="WEF417" s="22"/>
      <c r="WEG417" s="22"/>
      <c r="WEH417" s="22"/>
      <c r="WEI417" s="22"/>
      <c r="WEJ417" s="22"/>
      <c r="WEK417" s="22"/>
      <c r="WEL417" s="22"/>
      <c r="WEM417" s="22"/>
      <c r="WEN417" s="22"/>
      <c r="WEO417" s="22"/>
      <c r="WEP417" s="22"/>
      <c r="WEQ417" s="22"/>
      <c r="WER417" s="22"/>
      <c r="WES417" s="22"/>
      <c r="WET417" s="22"/>
      <c r="WEU417" s="22"/>
      <c r="WEV417" s="22"/>
      <c r="WEW417" s="22"/>
      <c r="WEX417" s="22"/>
      <c r="WEY417" s="22"/>
      <c r="WEZ417" s="22"/>
      <c r="WFA417" s="22"/>
      <c r="WFB417" s="22"/>
      <c r="WFC417" s="22"/>
      <c r="WFD417" s="22"/>
      <c r="WFE417" s="22"/>
      <c r="WFF417" s="22"/>
      <c r="WFG417" s="22"/>
      <c r="WFH417" s="22"/>
      <c r="WFI417" s="22"/>
      <c r="WFJ417" s="22"/>
      <c r="WFK417" s="22"/>
      <c r="WFL417" s="22"/>
      <c r="WFM417" s="22"/>
      <c r="WFN417" s="22"/>
      <c r="WFO417" s="22"/>
      <c r="WFP417" s="22"/>
      <c r="WFQ417" s="22"/>
      <c r="WFR417" s="22"/>
      <c r="WFS417" s="22"/>
      <c r="WFT417" s="22"/>
      <c r="WFU417" s="22"/>
      <c r="WFV417" s="22"/>
      <c r="WFW417" s="22"/>
      <c r="WFX417" s="22"/>
      <c r="WFY417" s="22"/>
      <c r="WFZ417" s="22"/>
      <c r="WGA417" s="22"/>
      <c r="WGB417" s="22"/>
      <c r="WGC417" s="22"/>
      <c r="WGD417" s="22"/>
      <c r="WGE417" s="22"/>
      <c r="WGF417" s="22"/>
      <c r="WGG417" s="22"/>
      <c r="WGH417" s="22"/>
      <c r="WGI417" s="22"/>
      <c r="WGJ417" s="22"/>
      <c r="WGK417" s="22"/>
      <c r="WGL417" s="22"/>
      <c r="WGM417" s="22"/>
      <c r="WGN417" s="22"/>
      <c r="WGO417" s="22"/>
      <c r="WGP417" s="22"/>
      <c r="WGQ417" s="22"/>
      <c r="WGR417" s="22"/>
      <c r="WGS417" s="22"/>
      <c r="WGT417" s="22"/>
      <c r="WGU417" s="22"/>
      <c r="WGV417" s="22"/>
      <c r="WGW417" s="22"/>
      <c r="WGX417" s="22"/>
      <c r="WGY417" s="22"/>
      <c r="WGZ417" s="22"/>
      <c r="WHA417" s="22"/>
      <c r="WHB417" s="22"/>
      <c r="WHC417" s="22"/>
      <c r="WHD417" s="22"/>
      <c r="WHE417" s="22"/>
      <c r="WHF417" s="22"/>
      <c r="WHG417" s="22"/>
      <c r="WHH417" s="22"/>
      <c r="WHI417" s="22"/>
      <c r="WHJ417" s="22"/>
      <c r="WHK417" s="22"/>
      <c r="WHL417" s="22"/>
      <c r="WHM417" s="22"/>
      <c r="WHN417" s="22"/>
      <c r="WHO417" s="22"/>
      <c r="WHP417" s="22"/>
      <c r="WHQ417" s="22"/>
      <c r="WHR417" s="22"/>
      <c r="WHS417" s="22"/>
      <c r="WHT417" s="22"/>
      <c r="WHU417" s="22"/>
      <c r="WHV417" s="22"/>
      <c r="WHW417" s="22"/>
      <c r="WHX417" s="22"/>
      <c r="WHY417" s="22"/>
      <c r="WHZ417" s="22"/>
      <c r="WIA417" s="22"/>
      <c r="WIB417" s="22"/>
      <c r="WIC417" s="22"/>
      <c r="WID417" s="22"/>
      <c r="WIE417" s="22"/>
      <c r="WIF417" s="22"/>
      <c r="WIG417" s="22"/>
      <c r="WIH417" s="22"/>
      <c r="WII417" s="22"/>
      <c r="WIJ417" s="22"/>
      <c r="WIK417" s="22"/>
      <c r="WIL417" s="22"/>
      <c r="WIM417" s="22"/>
      <c r="WIN417" s="22"/>
      <c r="WIO417" s="22"/>
      <c r="WIP417" s="22"/>
      <c r="WIQ417" s="22"/>
      <c r="WIR417" s="22"/>
      <c r="WIS417" s="22"/>
      <c r="WIT417" s="22"/>
      <c r="WIU417" s="22"/>
      <c r="WIV417" s="22"/>
      <c r="WIW417" s="22"/>
      <c r="WIX417" s="22"/>
      <c r="WIY417" s="22"/>
      <c r="WIZ417" s="22"/>
      <c r="WJA417" s="22"/>
      <c r="WJB417" s="22"/>
      <c r="WJC417" s="22"/>
      <c r="WJD417" s="22"/>
      <c r="WJE417" s="22"/>
      <c r="WJF417" s="22"/>
      <c r="WJG417" s="22"/>
      <c r="WJH417" s="22"/>
      <c r="WJI417" s="22"/>
      <c r="WJJ417" s="22"/>
      <c r="WJK417" s="22"/>
      <c r="WJL417" s="22"/>
      <c r="WJM417" s="22"/>
      <c r="WJN417" s="22"/>
      <c r="WJO417" s="22"/>
      <c r="WJP417" s="22"/>
      <c r="WJQ417" s="22"/>
      <c r="WJR417" s="22"/>
      <c r="WJS417" s="22"/>
      <c r="WJT417" s="22"/>
      <c r="WJU417" s="22"/>
      <c r="WJV417" s="22"/>
      <c r="WJW417" s="22"/>
      <c r="WJX417" s="22"/>
      <c r="WJY417" s="22"/>
      <c r="WJZ417" s="22"/>
      <c r="WKA417" s="22"/>
      <c r="WKB417" s="22"/>
      <c r="WKC417" s="22"/>
      <c r="WKD417" s="22"/>
      <c r="WKE417" s="22"/>
      <c r="WKF417" s="22"/>
      <c r="WKG417" s="22"/>
      <c r="WKH417" s="22"/>
      <c r="WKI417" s="22"/>
      <c r="WKJ417" s="22"/>
      <c r="WKK417" s="22"/>
      <c r="WKL417" s="22"/>
      <c r="WKM417" s="22"/>
      <c r="WKN417" s="22"/>
      <c r="WKO417" s="22"/>
      <c r="WKP417" s="22"/>
      <c r="WKQ417" s="22"/>
      <c r="WKR417" s="22"/>
      <c r="WKS417" s="22"/>
      <c r="WKT417" s="22"/>
      <c r="WKU417" s="22"/>
      <c r="WKV417" s="22"/>
      <c r="WKW417" s="22"/>
      <c r="WKX417" s="22"/>
      <c r="WKY417" s="22"/>
      <c r="WKZ417" s="22"/>
      <c r="WLA417" s="22"/>
      <c r="WLB417" s="22"/>
      <c r="WLC417" s="22"/>
      <c r="WLD417" s="22"/>
      <c r="WLE417" s="22"/>
      <c r="WLF417" s="22"/>
      <c r="WLG417" s="22"/>
      <c r="WLH417" s="22"/>
      <c r="WLI417" s="22"/>
      <c r="WLJ417" s="22"/>
      <c r="WLK417" s="22"/>
      <c r="WLL417" s="22"/>
      <c r="WLM417" s="22"/>
      <c r="WLN417" s="22"/>
      <c r="WLO417" s="22"/>
      <c r="WLP417" s="22"/>
      <c r="WLQ417" s="22"/>
      <c r="WLR417" s="22"/>
      <c r="WLS417" s="22"/>
      <c r="WLT417" s="22"/>
      <c r="WLU417" s="22"/>
      <c r="WLV417" s="22"/>
      <c r="WLW417" s="22"/>
      <c r="WLX417" s="22"/>
      <c r="WLY417" s="22"/>
      <c r="WLZ417" s="22"/>
      <c r="WMA417" s="22"/>
      <c r="WMB417" s="22"/>
      <c r="WMC417" s="22"/>
      <c r="WMD417" s="22"/>
      <c r="WME417" s="22"/>
      <c r="WMF417" s="22"/>
      <c r="WMG417" s="22"/>
      <c r="WMH417" s="22"/>
      <c r="WMI417" s="22"/>
      <c r="WMJ417" s="22"/>
      <c r="WMK417" s="22"/>
      <c r="WML417" s="22"/>
      <c r="WMM417" s="22"/>
      <c r="WMN417" s="22"/>
      <c r="WMO417" s="22"/>
      <c r="WMP417" s="22"/>
      <c r="WMQ417" s="22"/>
      <c r="WMR417" s="22"/>
      <c r="WMS417" s="22"/>
      <c r="WMT417" s="22"/>
      <c r="WMU417" s="22"/>
      <c r="WMV417" s="22"/>
      <c r="WMW417" s="22"/>
      <c r="WMX417" s="22"/>
      <c r="WMY417" s="22"/>
      <c r="WMZ417" s="22"/>
      <c r="WNA417" s="22"/>
      <c r="WNB417" s="22"/>
      <c r="WNC417" s="22"/>
      <c r="WND417" s="22"/>
      <c r="WNE417" s="22"/>
      <c r="WNF417" s="22"/>
      <c r="WNG417" s="22"/>
      <c r="WNH417" s="22"/>
      <c r="WNI417" s="22"/>
      <c r="WNJ417" s="22"/>
      <c r="WNK417" s="22"/>
      <c r="WNL417" s="22"/>
      <c r="WNM417" s="22"/>
      <c r="WNN417" s="22"/>
      <c r="WNO417" s="22"/>
      <c r="WNP417" s="22"/>
      <c r="WNQ417" s="22"/>
      <c r="WNR417" s="22"/>
      <c r="WNS417" s="22"/>
      <c r="WNT417" s="22"/>
      <c r="WNU417" s="22"/>
      <c r="WNV417" s="22"/>
      <c r="WNW417" s="22"/>
      <c r="WNX417" s="22"/>
      <c r="WNY417" s="22"/>
      <c r="WNZ417" s="22"/>
      <c r="WOA417" s="22"/>
      <c r="WOB417" s="22"/>
      <c r="WOC417" s="22"/>
      <c r="WOD417" s="22"/>
      <c r="WOE417" s="22"/>
      <c r="WOF417" s="22"/>
      <c r="WOG417" s="22"/>
      <c r="WOH417" s="22"/>
      <c r="WOI417" s="22"/>
      <c r="WOJ417" s="22"/>
      <c r="WOK417" s="22"/>
      <c r="WOL417" s="22"/>
      <c r="WOM417" s="22"/>
      <c r="WON417" s="22"/>
      <c r="WOO417" s="22"/>
      <c r="WOP417" s="22"/>
      <c r="WOQ417" s="22"/>
      <c r="WOR417" s="22"/>
      <c r="WOS417" s="22"/>
      <c r="WOT417" s="22"/>
      <c r="WOU417" s="22"/>
      <c r="WOV417" s="22"/>
      <c r="WOW417" s="22"/>
      <c r="WOX417" s="22"/>
      <c r="WOY417" s="22"/>
      <c r="WOZ417" s="22"/>
      <c r="WPA417" s="22"/>
      <c r="WPB417" s="22"/>
      <c r="WPC417" s="22"/>
      <c r="WPD417" s="22"/>
      <c r="WPE417" s="22"/>
      <c r="WPF417" s="22"/>
      <c r="WPG417" s="22"/>
      <c r="WPH417" s="22"/>
      <c r="WPI417" s="22"/>
      <c r="WPJ417" s="22"/>
      <c r="WPK417" s="22"/>
      <c r="WPL417" s="22"/>
      <c r="WPM417" s="22"/>
      <c r="WPN417" s="22"/>
      <c r="WPO417" s="22"/>
      <c r="WPP417" s="22"/>
      <c r="WPQ417" s="22"/>
      <c r="WPR417" s="22"/>
      <c r="WPS417" s="22"/>
      <c r="WPT417" s="22"/>
      <c r="WPU417" s="22"/>
      <c r="WPV417" s="22"/>
      <c r="WPW417" s="22"/>
      <c r="WPX417" s="22"/>
      <c r="WPY417" s="22"/>
      <c r="WPZ417" s="22"/>
      <c r="WQA417" s="22"/>
      <c r="WQB417" s="22"/>
      <c r="WQC417" s="22"/>
      <c r="WQD417" s="22"/>
      <c r="WQE417" s="22"/>
      <c r="WQF417" s="22"/>
      <c r="WQG417" s="22"/>
      <c r="WQH417" s="22"/>
      <c r="WQI417" s="22"/>
      <c r="WQJ417" s="22"/>
      <c r="WQK417" s="22"/>
      <c r="WQL417" s="22"/>
      <c r="WQM417" s="22"/>
      <c r="WQN417" s="22"/>
      <c r="WQO417" s="22"/>
      <c r="WQP417" s="22"/>
      <c r="WQQ417" s="22"/>
      <c r="WQR417" s="22"/>
      <c r="WQS417" s="22"/>
      <c r="WQT417" s="22"/>
      <c r="WQU417" s="22"/>
      <c r="WQV417" s="22"/>
      <c r="WQW417" s="22"/>
      <c r="WQX417" s="22"/>
      <c r="WQY417" s="22"/>
      <c r="WQZ417" s="22"/>
      <c r="WRA417" s="22"/>
      <c r="WRB417" s="22"/>
      <c r="WRC417" s="22"/>
      <c r="WRD417" s="22"/>
      <c r="WRE417" s="22"/>
      <c r="WRF417" s="22"/>
      <c r="WRG417" s="22"/>
      <c r="WRH417" s="22"/>
      <c r="WRI417" s="22"/>
      <c r="WRJ417" s="22"/>
      <c r="WRK417" s="22"/>
      <c r="WRL417" s="22"/>
      <c r="WRM417" s="22"/>
      <c r="WRN417" s="22"/>
      <c r="WRO417" s="22"/>
      <c r="WRP417" s="22"/>
      <c r="WRQ417" s="22"/>
      <c r="WRR417" s="22"/>
      <c r="WRS417" s="22"/>
      <c r="WRT417" s="22"/>
      <c r="WRU417" s="22"/>
      <c r="WRV417" s="22"/>
      <c r="WRW417" s="22"/>
      <c r="WRX417" s="22"/>
      <c r="WRY417" s="22"/>
      <c r="WRZ417" s="22"/>
      <c r="WSA417" s="22"/>
      <c r="WSB417" s="22"/>
      <c r="WSC417" s="22"/>
      <c r="WSD417" s="22"/>
      <c r="WSE417" s="22"/>
      <c r="WSF417" s="22"/>
      <c r="WSG417" s="22"/>
      <c r="WSH417" s="22"/>
      <c r="WSI417" s="22"/>
      <c r="WSJ417" s="22"/>
      <c r="WSK417" s="22"/>
      <c r="WSL417" s="22"/>
      <c r="WSM417" s="22"/>
      <c r="WSN417" s="22"/>
      <c r="WSO417" s="22"/>
      <c r="WSP417" s="22"/>
      <c r="WSQ417" s="22"/>
      <c r="WSR417" s="22"/>
      <c r="WSS417" s="22"/>
      <c r="WST417" s="22"/>
      <c r="WSU417" s="22"/>
      <c r="WSV417" s="22"/>
      <c r="WSW417" s="22"/>
      <c r="WSX417" s="22"/>
      <c r="WSY417" s="22"/>
      <c r="WSZ417" s="22"/>
      <c r="WTA417" s="22"/>
      <c r="WTB417" s="22"/>
      <c r="WTC417" s="22"/>
      <c r="WTD417" s="22"/>
      <c r="WTE417" s="22"/>
      <c r="WTF417" s="22"/>
      <c r="WTG417" s="22"/>
      <c r="WTH417" s="22"/>
      <c r="WTI417" s="22"/>
      <c r="WTJ417" s="22"/>
      <c r="WTK417" s="22"/>
      <c r="WTL417" s="22"/>
      <c r="WTM417" s="22"/>
      <c r="WTN417" s="22"/>
      <c r="WTO417" s="22"/>
      <c r="WTP417" s="22"/>
      <c r="WTQ417" s="22"/>
      <c r="WTR417" s="22"/>
      <c r="WTS417" s="22"/>
      <c r="WTT417" s="22"/>
      <c r="WTU417" s="22"/>
      <c r="WTV417" s="22"/>
      <c r="WTW417" s="22"/>
      <c r="WTX417" s="22"/>
      <c r="WTY417" s="22"/>
      <c r="WTZ417" s="22"/>
      <c r="WUA417" s="22"/>
      <c r="WUB417" s="22"/>
      <c r="WUC417" s="22"/>
      <c r="WUD417" s="22"/>
      <c r="WUE417" s="22"/>
      <c r="WUF417" s="22"/>
      <c r="WUG417" s="22"/>
      <c r="WUH417" s="22"/>
      <c r="WUI417" s="22"/>
      <c r="WUJ417" s="22"/>
      <c r="WUK417" s="22"/>
      <c r="WUL417" s="22"/>
      <c r="WUM417" s="22"/>
      <c r="WUN417" s="22"/>
      <c r="WUO417" s="22"/>
      <c r="WUP417" s="22"/>
      <c r="WUQ417" s="22"/>
      <c r="WUR417" s="22"/>
      <c r="WUS417" s="22"/>
      <c r="WUT417" s="22"/>
      <c r="WUU417" s="22"/>
      <c r="WUV417" s="22"/>
      <c r="WUW417" s="22"/>
      <c r="WUX417" s="22"/>
      <c r="WUY417" s="22"/>
      <c r="WUZ417" s="22"/>
      <c r="WVA417" s="22"/>
      <c r="WVB417" s="22"/>
      <c r="WVC417" s="22"/>
      <c r="WVD417" s="22"/>
      <c r="WVE417" s="22"/>
      <c r="WVF417" s="22"/>
      <c r="WVG417" s="22"/>
      <c r="WVH417" s="22"/>
      <c r="WVI417" s="22"/>
      <c r="WVJ417" s="22"/>
      <c r="WVK417" s="22"/>
      <c r="WVL417" s="22"/>
      <c r="WVM417" s="22"/>
      <c r="WVN417" s="22"/>
      <c r="WVO417" s="22"/>
      <c r="WVP417" s="22"/>
      <c r="WVQ417" s="22"/>
      <c r="WVR417" s="22"/>
      <c r="WVS417" s="22"/>
      <c r="WVT417" s="22"/>
      <c r="WVU417" s="22"/>
      <c r="WVV417" s="22"/>
      <c r="WVW417" s="22"/>
      <c r="WVX417" s="22"/>
      <c r="WVY417" s="22"/>
      <c r="WVZ417" s="22"/>
      <c r="WWA417" s="22"/>
      <c r="WWB417" s="22"/>
      <c r="WWC417" s="22"/>
      <c r="WWD417" s="22"/>
      <c r="WWE417" s="22"/>
      <c r="WWF417" s="22"/>
      <c r="WWG417" s="22"/>
      <c r="WWH417" s="22"/>
      <c r="WWI417" s="22"/>
      <c r="WWJ417" s="22"/>
      <c r="WWK417" s="22"/>
      <c r="WWL417" s="22"/>
      <c r="WWM417" s="22"/>
      <c r="WWN417" s="22"/>
      <c r="WWO417" s="22"/>
      <c r="WWP417" s="22"/>
      <c r="WWQ417" s="22"/>
      <c r="WWR417" s="22"/>
      <c r="WWS417" s="22"/>
      <c r="WWT417" s="22"/>
      <c r="WWU417" s="22"/>
      <c r="WWV417" s="22"/>
      <c r="WWW417" s="22"/>
      <c r="WWX417" s="22"/>
      <c r="WWY417" s="22"/>
      <c r="WWZ417" s="22"/>
      <c r="WXA417" s="22"/>
      <c r="WXB417" s="22"/>
      <c r="WXC417" s="22"/>
      <c r="WXD417" s="22"/>
      <c r="WXE417" s="22"/>
      <c r="WXF417" s="22"/>
      <c r="WXG417" s="22"/>
      <c r="WXH417" s="22"/>
      <c r="WXI417" s="22"/>
      <c r="WXJ417" s="22"/>
      <c r="WXK417" s="22"/>
      <c r="WXL417" s="22"/>
      <c r="WXM417" s="22"/>
      <c r="WXN417" s="22"/>
      <c r="WXO417" s="22"/>
      <c r="WXP417" s="22"/>
      <c r="WXQ417" s="22"/>
      <c r="WXR417" s="22"/>
      <c r="WXS417" s="22"/>
      <c r="WXT417" s="22"/>
      <c r="WXU417" s="22"/>
      <c r="WXV417" s="22"/>
      <c r="WXW417" s="22"/>
      <c r="WXX417" s="22"/>
      <c r="WXY417" s="22"/>
      <c r="WXZ417" s="22"/>
      <c r="WYA417" s="22"/>
      <c r="WYB417" s="22"/>
      <c r="WYC417" s="22"/>
      <c r="WYD417" s="22"/>
      <c r="WYE417" s="22"/>
      <c r="WYF417" s="22"/>
      <c r="WYG417" s="22"/>
      <c r="WYH417" s="22"/>
      <c r="WYI417" s="22"/>
      <c r="WYJ417" s="22"/>
      <c r="WYK417" s="22"/>
      <c r="WYL417" s="22"/>
      <c r="WYM417" s="22"/>
      <c r="WYN417" s="22"/>
      <c r="WYO417" s="22"/>
      <c r="WYP417" s="22"/>
      <c r="WYQ417" s="22"/>
      <c r="WYR417" s="22"/>
      <c r="WYS417" s="22"/>
      <c r="WYT417" s="22"/>
      <c r="WYU417" s="22"/>
      <c r="WYV417" s="22"/>
      <c r="WYW417" s="22"/>
      <c r="WYX417" s="22"/>
      <c r="WYY417" s="22"/>
      <c r="WYZ417" s="22"/>
      <c r="WZA417" s="22"/>
      <c r="WZB417" s="22"/>
      <c r="WZC417" s="22"/>
      <c r="WZD417" s="22"/>
      <c r="WZE417" s="22"/>
      <c r="WZF417" s="22"/>
      <c r="WZG417" s="22"/>
      <c r="WZH417" s="22"/>
      <c r="WZI417" s="22"/>
      <c r="WZJ417" s="22"/>
      <c r="WZK417" s="22"/>
      <c r="WZL417" s="22"/>
      <c r="WZM417" s="22"/>
      <c r="WZN417" s="22"/>
      <c r="WZO417" s="22"/>
      <c r="WZP417" s="22"/>
      <c r="WZQ417" s="22"/>
      <c r="WZR417" s="22"/>
      <c r="WZS417" s="22"/>
      <c r="WZT417" s="22"/>
      <c r="WZU417" s="22"/>
      <c r="WZV417" s="22"/>
      <c r="WZW417" s="22"/>
      <c r="WZX417" s="22"/>
      <c r="WZY417" s="22"/>
      <c r="WZZ417" s="22"/>
      <c r="XAA417" s="22"/>
      <c r="XAB417" s="22"/>
      <c r="XAC417" s="22"/>
      <c r="XAD417" s="22"/>
      <c r="XAE417" s="22"/>
      <c r="XAF417" s="22"/>
      <c r="XAG417" s="22"/>
      <c r="XAH417" s="22"/>
      <c r="XAI417" s="22"/>
      <c r="XAJ417" s="22"/>
      <c r="XAK417" s="22"/>
      <c r="XAL417" s="22"/>
      <c r="XAM417" s="22"/>
      <c r="XAN417" s="22"/>
      <c r="XAO417" s="22"/>
      <c r="XAP417" s="22"/>
      <c r="XAQ417" s="22"/>
      <c r="XAR417" s="22"/>
      <c r="XAS417" s="22"/>
      <c r="XAT417" s="22"/>
      <c r="XAU417" s="22"/>
      <c r="XAV417" s="22"/>
      <c r="XAW417" s="22"/>
      <c r="XAX417" s="22"/>
      <c r="XAY417" s="22"/>
      <c r="XAZ417" s="22"/>
      <c r="XBA417" s="22"/>
      <c r="XBB417" s="22"/>
      <c r="XBC417" s="22"/>
      <c r="XBD417" s="22"/>
      <c r="XBE417" s="22"/>
      <c r="XBF417" s="22"/>
      <c r="XBG417" s="22"/>
      <c r="XBH417" s="22"/>
      <c r="XBI417" s="22"/>
      <c r="XBJ417" s="22"/>
      <c r="XBK417" s="22"/>
      <c r="XBL417" s="22"/>
      <c r="XBM417" s="22"/>
      <c r="XBN417" s="22"/>
      <c r="XBO417" s="22"/>
      <c r="XBP417" s="22"/>
      <c r="XBQ417" s="22"/>
      <c r="XBR417" s="22"/>
      <c r="XBS417" s="22"/>
      <c r="XBT417" s="22"/>
      <c r="XBU417" s="22"/>
      <c r="XBV417" s="22"/>
      <c r="XBW417" s="22"/>
      <c r="XBX417" s="22"/>
      <c r="XBY417" s="22"/>
      <c r="XBZ417" s="22"/>
      <c r="XCA417" s="22"/>
      <c r="XCB417" s="22"/>
      <c r="XCC417" s="22"/>
      <c r="XCD417" s="22"/>
      <c r="XCE417" s="22"/>
      <c r="XCF417" s="22"/>
      <c r="XCG417" s="22"/>
      <c r="XCH417" s="22"/>
      <c r="XCI417" s="22"/>
      <c r="XCJ417" s="22"/>
      <c r="XCK417" s="22"/>
      <c r="XCL417" s="22"/>
      <c r="XCM417" s="22"/>
      <c r="XCN417" s="22"/>
      <c r="XCO417" s="22"/>
      <c r="XCP417" s="22"/>
      <c r="XCQ417" s="22"/>
      <c r="XCR417" s="22"/>
      <c r="XCS417" s="22"/>
      <c r="XCT417" s="22"/>
      <c r="XCU417" s="22"/>
      <c r="XCV417" s="22"/>
      <c r="XCW417" s="22"/>
      <c r="XCX417" s="22"/>
      <c r="XCY417" s="22"/>
      <c r="XCZ417" s="22"/>
      <c r="XDA417" s="22"/>
      <c r="XDB417" s="22"/>
      <c r="XDC417" s="22"/>
      <c r="XDD417" s="22"/>
      <c r="XDE417" s="22"/>
      <c r="XDF417" s="22"/>
      <c r="XDG417" s="22"/>
      <c r="XDH417" s="22"/>
      <c r="XDI417" s="22"/>
      <c r="XDJ417" s="22"/>
      <c r="XDK417" s="22"/>
      <c r="XDL417" s="22"/>
      <c r="XDM417" s="22"/>
      <c r="XDN417" s="22"/>
      <c r="XDO417" s="22"/>
      <c r="XDP417" s="22"/>
      <c r="XDQ417" s="22"/>
      <c r="XDR417" s="22"/>
      <c r="XDS417" s="22"/>
      <c r="XDT417" s="22"/>
      <c r="XDU417" s="22"/>
      <c r="XDV417" s="22"/>
      <c r="XDW417" s="22"/>
      <c r="XDX417" s="22"/>
      <c r="XDY417" s="22"/>
      <c r="XDZ417" s="22"/>
      <c r="XEA417" s="22"/>
      <c r="XEB417" s="22"/>
      <c r="XEC417" s="22"/>
      <c r="XED417" s="22"/>
      <c r="XEE417" s="22"/>
      <c r="XEF417" s="22"/>
      <c r="XEG417" s="22"/>
      <c r="XEH417" s="22"/>
      <c r="XEI417" s="22"/>
      <c r="XEJ417" s="22"/>
      <c r="XEK417" s="22"/>
      <c r="XEL417" s="22"/>
      <c r="XEM417" s="22"/>
      <c r="XEN417" s="22"/>
      <c r="XEO417" s="22"/>
      <c r="XEP417" s="22"/>
      <c r="XEQ417" s="22"/>
      <c r="XER417" s="22"/>
      <c r="XES417" s="22"/>
      <c r="XET417" s="22"/>
      <c r="XEU417" s="22"/>
      <c r="XEV417" s="22"/>
      <c r="XEW417" s="22"/>
      <c r="XEX417" s="22"/>
      <c r="XEY417" s="22"/>
      <c r="XEZ417" s="22"/>
      <c r="XFA417" s="22"/>
      <c r="XFB417" s="22"/>
      <c r="XFC417" s="22"/>
    </row>
    <row r="418" spans="1:16384">
      <c r="A418" s="22">
        <v>28050500</v>
      </c>
      <c r="B418" s="23" t="s">
        <v>56</v>
      </c>
      <c r="C418" s="34" t="s">
        <v>911</v>
      </c>
      <c r="D418" s="34"/>
      <c r="F418" s="36" t="s">
        <v>486</v>
      </c>
      <c r="G418" s="23">
        <v>19646820.010000002</v>
      </c>
      <c r="H418" s="23">
        <v>19646820.010000002</v>
      </c>
      <c r="I418" s="37">
        <v>44485</v>
      </c>
      <c r="J418" s="37">
        <f t="shared" ref="J418" si="67">I418+30</f>
        <v>44515</v>
      </c>
      <c r="K418" s="38">
        <f t="shared" ref="K418" si="68">IF(J418-I418&lt;0,"Error",J418-I418)</f>
        <v>30</v>
      </c>
      <c r="L418" s="38" t="str">
        <f t="shared" ref="L418" si="69">IF(K418&gt;365,"Medir al costo amortizado","Dejar al valor nominal")</f>
        <v>Dejar al valor nominal</v>
      </c>
      <c r="M418" s="38">
        <f t="shared" ref="M418" si="70">H418-G418</f>
        <v>0</v>
      </c>
      <c r="N418" s="272" t="str">
        <f t="shared" ref="N418" si="71">IF($N$18-J418&gt;K418,"Revisar","OK")</f>
        <v>OK</v>
      </c>
      <c r="Y418" s="34" t="s">
        <v>776</v>
      </c>
      <c r="Z418" s="23">
        <v>769984532</v>
      </c>
      <c r="AA418" s="23">
        <f>ROUND(Z418/1000,0)</f>
        <v>769985</v>
      </c>
      <c r="XFD418" s="22"/>
    </row>
    <row r="419" spans="1:16384">
      <c r="A419" s="22">
        <v>28050500</v>
      </c>
      <c r="B419" s="23" t="s">
        <v>56</v>
      </c>
      <c r="C419" s="34" t="s">
        <v>1012</v>
      </c>
      <c r="D419" s="34"/>
      <c r="F419" s="36" t="s">
        <v>486</v>
      </c>
      <c r="G419" s="23">
        <v>42970201</v>
      </c>
      <c r="H419" s="23">
        <v>42970201</v>
      </c>
      <c r="I419" s="37">
        <v>44530</v>
      </c>
      <c r="J419" s="37">
        <f t="shared" ref="J419:J428" si="72">I419+30</f>
        <v>44560</v>
      </c>
      <c r="K419" s="38">
        <f t="shared" ref="K419:K428" si="73">IF(J419-I419&lt;0,"Error",J419-I419)</f>
        <v>30</v>
      </c>
      <c r="L419" s="38" t="str">
        <f t="shared" ref="L419:L428" si="74">IF(K419&gt;365,"Medir al costo amortizado","Dejar al valor nominal")</f>
        <v>Dejar al valor nominal</v>
      </c>
      <c r="M419" s="38">
        <f t="shared" ref="M419:M428" si="75">H419-G419</f>
        <v>0</v>
      </c>
      <c r="N419" s="272" t="str">
        <f t="shared" ref="N419:N428" si="76">IF($N$18-J419&gt;K419,"Revisar","OK")</f>
        <v>OK</v>
      </c>
      <c r="Y419" s="34" t="s">
        <v>749</v>
      </c>
      <c r="Z419" s="23">
        <f>99990000+99990000+5291838.22</f>
        <v>205271838.22</v>
      </c>
      <c r="AA419" s="23">
        <f t="shared" ref="AA419:AA424" si="77">ROUND(Z419/1000,0)</f>
        <v>205272</v>
      </c>
      <c r="XFD419" s="22"/>
    </row>
    <row r="420" spans="1:16384">
      <c r="A420" s="22">
        <v>28050500</v>
      </c>
      <c r="B420" s="23" t="s">
        <v>56</v>
      </c>
      <c r="C420" s="34" t="s">
        <v>913</v>
      </c>
      <c r="D420" s="34"/>
      <c r="F420" s="36" t="s">
        <v>486</v>
      </c>
      <c r="G420" s="23">
        <v>30463383.850000001</v>
      </c>
      <c r="H420" s="23">
        <v>30463383.850000001</v>
      </c>
      <c r="I420" s="37">
        <v>44534</v>
      </c>
      <c r="J420" s="37">
        <f t="shared" si="72"/>
        <v>44564</v>
      </c>
      <c r="K420" s="38">
        <f t="shared" si="73"/>
        <v>30</v>
      </c>
      <c r="L420" s="38" t="str">
        <f t="shared" si="74"/>
        <v>Dejar al valor nominal</v>
      </c>
      <c r="M420" s="38">
        <f t="shared" si="75"/>
        <v>0</v>
      </c>
      <c r="N420" s="272" t="str">
        <f t="shared" si="76"/>
        <v>OK</v>
      </c>
      <c r="Y420" s="34" t="s">
        <v>775</v>
      </c>
      <c r="Z420" s="23">
        <v>150594394</v>
      </c>
      <c r="AA420" s="23">
        <f t="shared" si="77"/>
        <v>150594</v>
      </c>
      <c r="XFD420" s="22"/>
    </row>
    <row r="421" spans="1:16384">
      <c r="A421" s="22">
        <v>28050500</v>
      </c>
      <c r="B421" s="23" t="s">
        <v>56</v>
      </c>
      <c r="C421" s="34" t="s">
        <v>913</v>
      </c>
      <c r="D421" s="34"/>
      <c r="F421" s="36" t="s">
        <v>486</v>
      </c>
      <c r="G421" s="23">
        <v>60329817.170000002</v>
      </c>
      <c r="H421" s="23">
        <v>60329817.170000002</v>
      </c>
      <c r="I421" s="37">
        <v>44539</v>
      </c>
      <c r="J421" s="37">
        <f t="shared" si="72"/>
        <v>44569</v>
      </c>
      <c r="K421" s="38">
        <f t="shared" si="73"/>
        <v>30</v>
      </c>
      <c r="L421" s="38" t="str">
        <f t="shared" si="74"/>
        <v>Dejar al valor nominal</v>
      </c>
      <c r="M421" s="38">
        <f t="shared" si="75"/>
        <v>0</v>
      </c>
      <c r="N421" s="272" t="str">
        <f t="shared" si="76"/>
        <v>OK</v>
      </c>
      <c r="V421" s="34"/>
      <c r="Y421" s="372" t="s">
        <v>265</v>
      </c>
      <c r="Z421" s="23">
        <f>30463383.85+60329817.17</f>
        <v>90793201.020000011</v>
      </c>
      <c r="AA421" s="23">
        <f t="shared" si="77"/>
        <v>90793</v>
      </c>
      <c r="XFD421" s="22"/>
    </row>
    <row r="422" spans="1:16384">
      <c r="A422" s="22">
        <v>28050500</v>
      </c>
      <c r="B422" s="23" t="s">
        <v>56</v>
      </c>
      <c r="C422" s="34" t="s">
        <v>1013</v>
      </c>
      <c r="D422" s="34"/>
      <c r="F422" s="36" t="s">
        <v>486</v>
      </c>
      <c r="G422" s="23">
        <v>380600.83</v>
      </c>
      <c r="H422" s="23">
        <v>380600.83</v>
      </c>
      <c r="I422" s="37">
        <v>44267</v>
      </c>
      <c r="J422" s="37">
        <f t="shared" si="72"/>
        <v>44297</v>
      </c>
      <c r="K422" s="38">
        <f t="shared" si="73"/>
        <v>30</v>
      </c>
      <c r="L422" s="38" t="str">
        <f t="shared" si="74"/>
        <v>Dejar al valor nominal</v>
      </c>
      <c r="M422" s="38">
        <f t="shared" si="75"/>
        <v>0</v>
      </c>
      <c r="N422" s="272" t="str">
        <f t="shared" si="76"/>
        <v>OK</v>
      </c>
      <c r="Y422" s="34" t="s">
        <v>503</v>
      </c>
      <c r="Z422" s="23">
        <v>52490652</v>
      </c>
      <c r="AA422" s="23">
        <f t="shared" si="77"/>
        <v>52491</v>
      </c>
      <c r="XFD422" s="22"/>
    </row>
    <row r="423" spans="1:16384">
      <c r="A423" s="22">
        <v>28050500</v>
      </c>
      <c r="B423" s="23" t="s">
        <v>56</v>
      </c>
      <c r="C423" s="34" t="s">
        <v>925</v>
      </c>
      <c r="D423" s="34"/>
      <c r="F423" s="36" t="s">
        <v>486</v>
      </c>
      <c r="G423" s="23">
        <v>99990000</v>
      </c>
      <c r="H423" s="23">
        <v>99990000</v>
      </c>
      <c r="I423" s="37">
        <v>44411</v>
      </c>
      <c r="J423" s="37">
        <f t="shared" si="72"/>
        <v>44441</v>
      </c>
      <c r="K423" s="38">
        <f t="shared" si="73"/>
        <v>30</v>
      </c>
      <c r="L423" s="38" t="str">
        <f t="shared" si="74"/>
        <v>Dejar al valor nominal</v>
      </c>
      <c r="M423" s="38">
        <f t="shared" si="75"/>
        <v>0</v>
      </c>
      <c r="N423" s="272" t="str">
        <f t="shared" si="76"/>
        <v>OK</v>
      </c>
      <c r="Y423" s="34" t="s">
        <v>774</v>
      </c>
      <c r="Z423" s="23">
        <v>42970201</v>
      </c>
      <c r="AA423" s="23">
        <f t="shared" si="77"/>
        <v>42970</v>
      </c>
      <c r="XFD423" s="22"/>
    </row>
    <row r="424" spans="1:16384">
      <c r="A424" s="22">
        <v>28050500</v>
      </c>
      <c r="B424" s="23" t="s">
        <v>56</v>
      </c>
      <c r="C424" s="34" t="s">
        <v>925</v>
      </c>
      <c r="D424" s="34"/>
      <c r="F424" s="36" t="s">
        <v>486</v>
      </c>
      <c r="G424" s="23">
        <v>99990000</v>
      </c>
      <c r="H424" s="23">
        <v>99990000</v>
      </c>
      <c r="I424" s="37">
        <v>44447</v>
      </c>
      <c r="J424" s="37">
        <f t="shared" si="72"/>
        <v>44477</v>
      </c>
      <c r="K424" s="38">
        <f t="shared" si="73"/>
        <v>30</v>
      </c>
      <c r="L424" s="38" t="str">
        <f t="shared" si="74"/>
        <v>Dejar al valor nominal</v>
      </c>
      <c r="M424" s="38">
        <f t="shared" si="75"/>
        <v>0</v>
      </c>
      <c r="N424" s="272" t="str">
        <f t="shared" si="76"/>
        <v>OK</v>
      </c>
      <c r="V424" s="34"/>
      <c r="Y424" s="34" t="s">
        <v>227</v>
      </c>
      <c r="Z424" s="23">
        <v>19646820.010000002</v>
      </c>
      <c r="AA424" s="23">
        <f t="shared" si="77"/>
        <v>19647</v>
      </c>
      <c r="XFD424" s="22"/>
    </row>
    <row r="425" spans="1:16384">
      <c r="A425" s="22">
        <v>28050500</v>
      </c>
      <c r="B425" s="23" t="s">
        <v>56</v>
      </c>
      <c r="C425" s="34" t="s">
        <v>925</v>
      </c>
      <c r="D425" s="34"/>
      <c r="F425" s="36" t="s">
        <v>486</v>
      </c>
      <c r="G425" s="23">
        <v>5291838.22</v>
      </c>
      <c r="H425" s="23">
        <v>5291838.22</v>
      </c>
      <c r="I425" s="37">
        <v>44561</v>
      </c>
      <c r="J425" s="37">
        <f t="shared" si="72"/>
        <v>44591</v>
      </c>
      <c r="K425" s="38">
        <f t="shared" si="73"/>
        <v>30</v>
      </c>
      <c r="L425" s="38" t="str">
        <f t="shared" si="74"/>
        <v>Dejar al valor nominal</v>
      </c>
      <c r="M425" s="38">
        <f t="shared" si="75"/>
        <v>0</v>
      </c>
      <c r="N425" s="272" t="str">
        <f t="shared" si="76"/>
        <v>OK</v>
      </c>
      <c r="V425" s="34"/>
      <c r="Y425" s="34" t="s">
        <v>782</v>
      </c>
      <c r="Z425" s="23">
        <v>380600.83</v>
      </c>
      <c r="AA425" s="23">
        <f>ROUND(Z425/1000,0)-1</f>
        <v>380</v>
      </c>
      <c r="XFD425" s="22"/>
    </row>
    <row r="426" spans="1:16384">
      <c r="A426" s="22">
        <v>28050500</v>
      </c>
      <c r="B426" s="23" t="s">
        <v>56</v>
      </c>
      <c r="C426" s="34" t="s">
        <v>1014</v>
      </c>
      <c r="D426" s="34"/>
      <c r="F426" s="36" t="s">
        <v>486</v>
      </c>
      <c r="G426" s="23">
        <v>150594394</v>
      </c>
      <c r="H426" s="23">
        <v>150594394</v>
      </c>
      <c r="I426" s="37">
        <v>44489</v>
      </c>
      <c r="J426" s="37">
        <f t="shared" si="72"/>
        <v>44519</v>
      </c>
      <c r="K426" s="38">
        <f t="shared" si="73"/>
        <v>30</v>
      </c>
      <c r="L426" s="38" t="str">
        <f t="shared" si="74"/>
        <v>Dejar al valor nominal</v>
      </c>
      <c r="M426" s="38">
        <f t="shared" si="75"/>
        <v>0</v>
      </c>
      <c r="N426" s="272" t="str">
        <f t="shared" si="76"/>
        <v>OK</v>
      </c>
      <c r="XFD426" s="22"/>
    </row>
    <row r="427" spans="1:16384">
      <c r="A427" s="22">
        <v>28050500</v>
      </c>
      <c r="B427" s="23" t="s">
        <v>56</v>
      </c>
      <c r="C427" s="34" t="s">
        <v>1015</v>
      </c>
      <c r="D427" s="34"/>
      <c r="F427" s="36" t="s">
        <v>486</v>
      </c>
      <c r="G427" s="23">
        <v>52490652</v>
      </c>
      <c r="H427" s="23">
        <v>52490652</v>
      </c>
      <c r="I427" s="37">
        <v>44518</v>
      </c>
      <c r="J427" s="37">
        <f t="shared" si="72"/>
        <v>44548</v>
      </c>
      <c r="K427" s="38">
        <f t="shared" si="73"/>
        <v>30</v>
      </c>
      <c r="L427" s="38" t="str">
        <f t="shared" si="74"/>
        <v>Dejar al valor nominal</v>
      </c>
      <c r="M427" s="38">
        <f t="shared" si="75"/>
        <v>0</v>
      </c>
      <c r="N427" s="272" t="str">
        <f t="shared" si="76"/>
        <v>OK</v>
      </c>
      <c r="XFD427" s="22"/>
    </row>
    <row r="428" spans="1:16384">
      <c r="A428" s="22">
        <v>28050500</v>
      </c>
      <c r="B428" s="23" t="s">
        <v>56</v>
      </c>
      <c r="C428" s="34" t="s">
        <v>1016</v>
      </c>
      <c r="D428" s="34"/>
      <c r="F428" s="36" t="s">
        <v>486</v>
      </c>
      <c r="G428" s="23">
        <v>769984532</v>
      </c>
      <c r="H428" s="23">
        <v>769984532</v>
      </c>
      <c r="I428" s="37">
        <v>44495</v>
      </c>
      <c r="J428" s="37">
        <f t="shared" si="72"/>
        <v>44525</v>
      </c>
      <c r="K428" s="38">
        <f t="shared" si="73"/>
        <v>30</v>
      </c>
      <c r="L428" s="38" t="str">
        <f t="shared" si="74"/>
        <v>Dejar al valor nominal</v>
      </c>
      <c r="M428" s="38">
        <f t="shared" si="75"/>
        <v>0</v>
      </c>
      <c r="N428" s="272" t="str">
        <f t="shared" si="76"/>
        <v>OK</v>
      </c>
      <c r="XFD428" s="22"/>
    </row>
    <row r="429" spans="1:16384" s="22" customFormat="1" ht="15.75">
      <c r="G429" s="48"/>
      <c r="H429" s="283"/>
      <c r="P429" s="280"/>
      <c r="Q429" s="280"/>
      <c r="R429" s="280"/>
      <c r="XFD429" s="23"/>
    </row>
    <row r="430" spans="1:16384">
      <c r="A430" s="114">
        <v>23650500</v>
      </c>
      <c r="B430" s="115" t="s">
        <v>37</v>
      </c>
      <c r="C430" s="273" t="s">
        <v>493</v>
      </c>
      <c r="D430" s="273">
        <v>800197268</v>
      </c>
      <c r="E430" s="284"/>
      <c r="F430" s="274" t="s">
        <v>484</v>
      </c>
      <c r="G430" s="115">
        <v>8228000</v>
      </c>
      <c r="H430" s="115">
        <f>ROUND(G430,-3)</f>
        <v>8228000</v>
      </c>
      <c r="I430" s="275">
        <v>44561</v>
      </c>
      <c r="J430" s="275">
        <f>I430+5</f>
        <v>44566</v>
      </c>
      <c r="K430" s="276">
        <f t="shared" ref="K430:K439" si="78">IF(J430-I430&lt;0,"Error",J430-I430)</f>
        <v>5</v>
      </c>
      <c r="L430" s="276" t="str">
        <f t="shared" ref="L430:L439" si="79">IF(K430&gt;365,"Medir al costo amortizado","Dejar al valor nominal")</f>
        <v>Dejar al valor nominal</v>
      </c>
      <c r="M430" s="276">
        <f t="shared" ref="M430:M439" si="80">H430-G430</f>
        <v>0</v>
      </c>
      <c r="N430" s="277" t="str">
        <f>IF($N$18-J430&gt;K430,"Revisar","OK")</f>
        <v>OK</v>
      </c>
      <c r="O430" s="115" t="s">
        <v>494</v>
      </c>
      <c r="XFD430" s="22"/>
    </row>
    <row r="431" spans="1:16384">
      <c r="A431" s="114">
        <v>23654000</v>
      </c>
      <c r="B431" s="115" t="s">
        <v>38</v>
      </c>
      <c r="C431" s="273" t="s">
        <v>493</v>
      </c>
      <c r="D431" s="273">
        <v>800197268</v>
      </c>
      <c r="E431" s="284"/>
      <c r="F431" s="274" t="s">
        <v>484</v>
      </c>
      <c r="G431" s="115">
        <v>18780270.399999999</v>
      </c>
      <c r="H431" s="115">
        <f t="shared" ref="H431:H439" si="81">ROUND(G431,-3)</f>
        <v>18780000</v>
      </c>
      <c r="I431" s="275">
        <v>44561</v>
      </c>
      <c r="J431" s="275">
        <f t="shared" ref="J431:J439" si="82">I431+5</f>
        <v>44566</v>
      </c>
      <c r="K431" s="276">
        <f t="shared" si="78"/>
        <v>5</v>
      </c>
      <c r="L431" s="276" t="str">
        <f t="shared" si="79"/>
        <v>Dejar al valor nominal</v>
      </c>
      <c r="M431" s="276">
        <f t="shared" si="80"/>
        <v>-270.39999999850988</v>
      </c>
      <c r="N431" s="277" t="str">
        <f>IF($N$18-J431&gt;K431,"Revisar","OK")</f>
        <v>OK</v>
      </c>
      <c r="O431" s="115" t="s">
        <v>494</v>
      </c>
    </row>
    <row r="432" spans="1:16384">
      <c r="A432" s="114">
        <v>23657001</v>
      </c>
      <c r="B432" s="115" t="s">
        <v>39</v>
      </c>
      <c r="C432" s="273" t="s">
        <v>493</v>
      </c>
      <c r="D432" s="273">
        <v>800197268</v>
      </c>
      <c r="E432" s="284"/>
      <c r="F432" s="274" t="s">
        <v>484</v>
      </c>
      <c r="G432" s="115">
        <v>9953586</v>
      </c>
      <c r="H432" s="115">
        <f>ROUND(G432,-3)</f>
        <v>9954000</v>
      </c>
      <c r="I432" s="275">
        <v>44561</v>
      </c>
      <c r="J432" s="275">
        <f>I432+5</f>
        <v>44566</v>
      </c>
      <c r="K432" s="276">
        <f>IF(J432-I432&lt;0,"Error",J432-I432)</f>
        <v>5</v>
      </c>
      <c r="L432" s="276" t="str">
        <f>IF(K432&gt;365,"Medir al costo amortizado","Dejar al valor nominal")</f>
        <v>Dejar al valor nominal</v>
      </c>
      <c r="M432" s="276">
        <f>H432-G432</f>
        <v>414</v>
      </c>
      <c r="N432" s="277" t="str">
        <f>IF($N$18-J432&gt;K432,"Revisar","OK")</f>
        <v>OK</v>
      </c>
      <c r="O432" s="115" t="s">
        <v>494</v>
      </c>
    </row>
    <row r="433" spans="1:16384">
      <c r="A433" s="114">
        <v>23670100</v>
      </c>
      <c r="B433" s="115" t="s">
        <v>40</v>
      </c>
      <c r="C433" s="273" t="s">
        <v>493</v>
      </c>
      <c r="D433" s="273">
        <v>800197268</v>
      </c>
      <c r="E433" s="284"/>
      <c r="F433" s="274" t="s">
        <v>484</v>
      </c>
      <c r="G433" s="115">
        <v>2160847.7400000002</v>
      </c>
      <c r="H433" s="115">
        <f>ROUND(G433,-3)</f>
        <v>2161000</v>
      </c>
      <c r="I433" s="275">
        <v>44561</v>
      </c>
      <c r="J433" s="275">
        <f t="shared" ref="J433" si="83">I433+5</f>
        <v>44566</v>
      </c>
      <c r="K433" s="276">
        <f t="shared" ref="K433" si="84">IF(J433-I433&lt;0,"Error",J433-I433)</f>
        <v>5</v>
      </c>
      <c r="L433" s="276" t="str">
        <f t="shared" ref="L433" si="85">IF(K433&gt;365,"Medir al costo amortizado","Dejar al valor nominal")</f>
        <v>Dejar al valor nominal</v>
      </c>
      <c r="M433" s="276">
        <f t="shared" ref="M433" si="86">H433-G433</f>
        <v>152.25999999977648</v>
      </c>
      <c r="N433" s="277" t="str">
        <f>IF($N$18-J433&gt;K433,"Revisar","OK")</f>
        <v>OK</v>
      </c>
      <c r="O433" s="115" t="s">
        <v>494</v>
      </c>
    </row>
    <row r="434" spans="1:16384">
      <c r="A434" s="114">
        <v>23680100</v>
      </c>
      <c r="B434" s="115" t="s">
        <v>41</v>
      </c>
      <c r="C434" s="273" t="s">
        <v>495</v>
      </c>
      <c r="D434" s="273">
        <v>899999061</v>
      </c>
      <c r="E434" s="284"/>
      <c r="F434" s="274" t="s">
        <v>484</v>
      </c>
      <c r="G434" s="115">
        <v>2509436.58</v>
      </c>
      <c r="H434" s="115">
        <f t="shared" si="81"/>
        <v>2509000</v>
      </c>
      <c r="I434" s="275">
        <v>44561</v>
      </c>
      <c r="J434" s="275">
        <f t="shared" si="82"/>
        <v>44566</v>
      </c>
      <c r="K434" s="276">
        <f t="shared" si="78"/>
        <v>5</v>
      </c>
      <c r="L434" s="276" t="str">
        <f t="shared" si="79"/>
        <v>Dejar al valor nominal</v>
      </c>
      <c r="M434" s="276">
        <f t="shared" si="80"/>
        <v>-436.58000000007451</v>
      </c>
      <c r="N434" s="277" t="str">
        <f>IF($N$18-J434&gt;K434,"Revisar","OK")</f>
        <v>OK</v>
      </c>
      <c r="O434" s="115" t="s">
        <v>496</v>
      </c>
    </row>
    <row r="435" spans="1:16384" s="22" customFormat="1">
      <c r="P435" s="280"/>
      <c r="Q435" s="280"/>
      <c r="R435" s="280"/>
      <c r="XFD435" s="23"/>
    </row>
    <row r="436" spans="1:16384">
      <c r="A436" s="114">
        <v>23700500</v>
      </c>
      <c r="B436" s="115" t="s">
        <v>42</v>
      </c>
      <c r="C436" s="273" t="s">
        <v>498</v>
      </c>
      <c r="D436" s="273" t="s">
        <v>498</v>
      </c>
      <c r="E436" s="284"/>
      <c r="F436" s="274" t="s">
        <v>485</v>
      </c>
      <c r="G436" s="115">
        <v>15291239</v>
      </c>
      <c r="H436" s="115">
        <f t="shared" si="81"/>
        <v>15291000</v>
      </c>
      <c r="I436" s="275">
        <v>44561</v>
      </c>
      <c r="J436" s="275">
        <f t="shared" si="82"/>
        <v>44566</v>
      </c>
      <c r="K436" s="276">
        <f t="shared" si="78"/>
        <v>5</v>
      </c>
      <c r="L436" s="276" t="str">
        <f t="shared" si="79"/>
        <v>Dejar al valor nominal</v>
      </c>
      <c r="M436" s="276">
        <f t="shared" si="80"/>
        <v>-239</v>
      </c>
      <c r="N436" s="277" t="str">
        <f>IF($N$18-J436&gt;K436,"Revisar","OK")</f>
        <v>OK</v>
      </c>
      <c r="O436" s="115" t="s">
        <v>497</v>
      </c>
      <c r="XFD436" s="22"/>
    </row>
    <row r="437" spans="1:16384">
      <c r="A437" s="114">
        <v>23700600</v>
      </c>
      <c r="B437" s="115" t="s">
        <v>43</v>
      </c>
      <c r="C437" s="273" t="s">
        <v>498</v>
      </c>
      <c r="D437" s="273" t="s">
        <v>498</v>
      </c>
      <c r="E437" s="284"/>
      <c r="F437" s="274" t="s">
        <v>485</v>
      </c>
      <c r="G437" s="115">
        <v>17902599</v>
      </c>
      <c r="H437" s="115">
        <f t="shared" si="81"/>
        <v>17903000</v>
      </c>
      <c r="I437" s="275">
        <v>44561</v>
      </c>
      <c r="J437" s="275">
        <f t="shared" si="82"/>
        <v>44566</v>
      </c>
      <c r="K437" s="276">
        <f t="shared" si="78"/>
        <v>5</v>
      </c>
      <c r="L437" s="276" t="str">
        <f t="shared" si="79"/>
        <v>Dejar al valor nominal</v>
      </c>
      <c r="M437" s="276">
        <f t="shared" si="80"/>
        <v>401</v>
      </c>
      <c r="N437" s="277" t="str">
        <f>IF($N$18-J437&gt;K437,"Revisar","OK")</f>
        <v>OK</v>
      </c>
      <c r="O437" s="115" t="s">
        <v>497</v>
      </c>
    </row>
    <row r="438" spans="1:16384">
      <c r="A438" s="114">
        <v>23701000</v>
      </c>
      <c r="B438" s="115" t="s">
        <v>44</v>
      </c>
      <c r="C438" s="273" t="s">
        <v>498</v>
      </c>
      <c r="D438" s="273" t="s">
        <v>498</v>
      </c>
      <c r="E438" s="284"/>
      <c r="F438" s="274" t="s">
        <v>485</v>
      </c>
      <c r="G438" s="115">
        <v>14059283</v>
      </c>
      <c r="H438" s="115">
        <f t="shared" si="81"/>
        <v>14059000</v>
      </c>
      <c r="I438" s="275">
        <v>44561</v>
      </c>
      <c r="J438" s="275">
        <f t="shared" si="82"/>
        <v>44566</v>
      </c>
      <c r="K438" s="276">
        <f t="shared" si="78"/>
        <v>5</v>
      </c>
      <c r="L438" s="276" t="str">
        <f t="shared" si="79"/>
        <v>Dejar al valor nominal</v>
      </c>
      <c r="M438" s="276">
        <f t="shared" si="80"/>
        <v>-283</v>
      </c>
      <c r="N438" s="277" t="str">
        <f>IF($N$18-J438&gt;K438,"Revisar","OK")</f>
        <v>OK</v>
      </c>
      <c r="O438" s="115" t="s">
        <v>497</v>
      </c>
    </row>
    <row r="439" spans="1:16384">
      <c r="A439" s="114">
        <v>23803000</v>
      </c>
      <c r="B439" s="115" t="s">
        <v>45</v>
      </c>
      <c r="C439" s="273" t="s">
        <v>498</v>
      </c>
      <c r="D439" s="273" t="s">
        <v>498</v>
      </c>
      <c r="E439" s="284"/>
      <c r="F439" s="274" t="s">
        <v>485</v>
      </c>
      <c r="G439" s="115">
        <v>97132563</v>
      </c>
      <c r="H439" s="115">
        <f t="shared" si="81"/>
        <v>97133000</v>
      </c>
      <c r="I439" s="275">
        <v>44561</v>
      </c>
      <c r="J439" s="275">
        <f t="shared" si="82"/>
        <v>44566</v>
      </c>
      <c r="K439" s="276">
        <f t="shared" si="78"/>
        <v>5</v>
      </c>
      <c r="L439" s="276" t="str">
        <f t="shared" si="79"/>
        <v>Dejar al valor nominal</v>
      </c>
      <c r="M439" s="276">
        <f t="shared" si="80"/>
        <v>437</v>
      </c>
      <c r="N439" s="277" t="str">
        <f>IF($N$18-J439&gt;K439,"Revisar","OK")</f>
        <v>OK</v>
      </c>
      <c r="O439" s="115" t="s">
        <v>497</v>
      </c>
    </row>
    <row r="440" spans="1:16384" s="22" customFormat="1">
      <c r="P440" s="280"/>
      <c r="Q440" s="280"/>
      <c r="R440" s="280"/>
      <c r="XFD440" s="23"/>
    </row>
    <row r="441" spans="1:16384" s="270" customFormat="1">
      <c r="A441" s="22"/>
      <c r="B441" s="34"/>
      <c r="C441" s="23"/>
      <c r="D441" s="23"/>
      <c r="E441" s="49"/>
      <c r="F441" s="23"/>
      <c r="G441" s="40">
        <f>SUM(G21:G440)</f>
        <v>3370640233.5899997</v>
      </c>
      <c r="H441" s="23"/>
      <c r="I441" s="23"/>
      <c r="J441" s="23"/>
      <c r="K441" s="23"/>
      <c r="L441" s="23"/>
      <c r="M441" s="26"/>
      <c r="N441" s="23"/>
      <c r="O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  <c r="EA441" s="23"/>
      <c r="EB441" s="23"/>
      <c r="EC441" s="23"/>
      <c r="ED441" s="23"/>
      <c r="EE441" s="23"/>
      <c r="EF441" s="23"/>
      <c r="EG441" s="23"/>
      <c r="EH441" s="23"/>
      <c r="EI441" s="23"/>
      <c r="EJ441" s="23"/>
      <c r="EK441" s="23"/>
      <c r="EL441" s="23"/>
      <c r="EM441" s="23"/>
      <c r="EN441" s="23"/>
      <c r="EO441" s="23"/>
      <c r="EP441" s="23"/>
      <c r="EQ441" s="23"/>
      <c r="ER441" s="23"/>
      <c r="ES441" s="23"/>
      <c r="ET441" s="23"/>
      <c r="EU441" s="23"/>
      <c r="EV441" s="23"/>
      <c r="EW441" s="23"/>
      <c r="EX441" s="23"/>
      <c r="EY441" s="23"/>
      <c r="EZ441" s="23"/>
      <c r="FA441" s="23"/>
      <c r="FB441" s="23"/>
      <c r="FC441" s="23"/>
      <c r="FD441" s="23"/>
      <c r="FE441" s="23"/>
      <c r="FF441" s="23"/>
      <c r="FG441" s="23"/>
      <c r="FH441" s="23"/>
      <c r="FI441" s="23"/>
      <c r="FJ441" s="23"/>
      <c r="FK441" s="23"/>
      <c r="FL441" s="23"/>
      <c r="FM441" s="23"/>
      <c r="FN441" s="23"/>
      <c r="FO441" s="23"/>
      <c r="FP441" s="23"/>
      <c r="FQ441" s="23"/>
      <c r="FR441" s="23"/>
      <c r="FS441" s="23"/>
      <c r="FT441" s="23"/>
      <c r="FU441" s="23"/>
      <c r="FV441" s="23"/>
      <c r="FW441" s="23"/>
      <c r="FX441" s="23"/>
      <c r="FY441" s="23"/>
      <c r="FZ441" s="23"/>
      <c r="GA441" s="23"/>
      <c r="GB441" s="23"/>
      <c r="GC441" s="23"/>
      <c r="GD441" s="23"/>
      <c r="GE441" s="23"/>
      <c r="GF441" s="23"/>
      <c r="GG441" s="23"/>
      <c r="GH441" s="23"/>
      <c r="GI441" s="23"/>
      <c r="GJ441" s="23"/>
      <c r="GK441" s="23"/>
      <c r="GL441" s="23"/>
      <c r="GM441" s="23"/>
      <c r="GN441" s="23"/>
      <c r="GO441" s="23"/>
      <c r="GP441" s="23"/>
      <c r="GQ441" s="23"/>
      <c r="GR441" s="23"/>
      <c r="GS441" s="23"/>
      <c r="GT441" s="23"/>
      <c r="GU441" s="23"/>
      <c r="GV441" s="23"/>
      <c r="GW441" s="23"/>
      <c r="GX441" s="23"/>
      <c r="GY441" s="23"/>
      <c r="GZ441" s="23"/>
      <c r="HA441" s="23"/>
      <c r="HB441" s="23"/>
      <c r="HC441" s="23"/>
      <c r="HD441" s="23"/>
      <c r="HE441" s="23"/>
      <c r="HF441" s="23"/>
      <c r="HG441" s="23"/>
      <c r="HH441" s="23"/>
      <c r="HI441" s="23"/>
      <c r="HJ441" s="23"/>
      <c r="HK441" s="23"/>
      <c r="HL441" s="23"/>
      <c r="HM441" s="23"/>
      <c r="HN441" s="23"/>
      <c r="HO441" s="23"/>
      <c r="HP441" s="23"/>
      <c r="HQ441" s="23"/>
      <c r="HR441" s="23"/>
      <c r="HS441" s="23"/>
      <c r="HT441" s="23"/>
      <c r="HU441" s="23"/>
      <c r="HV441" s="23"/>
      <c r="HW441" s="23"/>
      <c r="HX441" s="23"/>
      <c r="HY441" s="23"/>
      <c r="HZ441" s="23"/>
      <c r="IA441" s="23"/>
      <c r="IB441" s="23"/>
      <c r="IC441" s="23"/>
      <c r="ID441" s="23"/>
      <c r="IE441" s="23"/>
      <c r="IF441" s="23"/>
      <c r="IG441" s="23"/>
      <c r="IH441" s="23"/>
      <c r="II441" s="23"/>
      <c r="IJ441" s="23"/>
      <c r="IK441" s="23"/>
      <c r="IL441" s="23"/>
      <c r="IM441" s="23"/>
      <c r="IN441" s="23"/>
      <c r="IO441" s="23"/>
      <c r="IP441" s="23"/>
      <c r="IQ441" s="23"/>
      <c r="IR441" s="23"/>
      <c r="IS441" s="23"/>
      <c r="IT441" s="23"/>
      <c r="IU441" s="23"/>
      <c r="IV441" s="23"/>
      <c r="IW441" s="23"/>
      <c r="IX441" s="23"/>
      <c r="IY441" s="23"/>
      <c r="IZ441" s="23"/>
      <c r="JA441" s="23"/>
      <c r="JB441" s="23"/>
      <c r="JC441" s="23"/>
      <c r="JD441" s="23"/>
      <c r="JE441" s="23"/>
      <c r="JF441" s="23"/>
      <c r="JG441" s="23"/>
      <c r="JH441" s="23"/>
      <c r="JI441" s="23"/>
      <c r="JJ441" s="23"/>
      <c r="JK441" s="23"/>
      <c r="JL441" s="23"/>
      <c r="JM441" s="23"/>
      <c r="JN441" s="23"/>
      <c r="JO441" s="23"/>
      <c r="JP441" s="23"/>
      <c r="JQ441" s="23"/>
      <c r="JR441" s="23"/>
      <c r="JS441" s="23"/>
      <c r="JT441" s="23"/>
      <c r="JU441" s="23"/>
      <c r="JV441" s="23"/>
      <c r="JW441" s="23"/>
      <c r="JX441" s="23"/>
      <c r="JY441" s="23"/>
      <c r="JZ441" s="23"/>
      <c r="KA441" s="23"/>
      <c r="KB441" s="23"/>
      <c r="KC441" s="23"/>
      <c r="KD441" s="23"/>
      <c r="KE441" s="23"/>
      <c r="KF441" s="23"/>
      <c r="KG441" s="23"/>
      <c r="KH441" s="23"/>
      <c r="KI441" s="23"/>
      <c r="KJ441" s="23"/>
      <c r="KK441" s="23"/>
      <c r="KL441" s="23"/>
      <c r="KM441" s="23"/>
      <c r="KN441" s="23"/>
      <c r="KO441" s="23"/>
      <c r="KP441" s="23"/>
      <c r="KQ441" s="23"/>
      <c r="KR441" s="23"/>
      <c r="KS441" s="23"/>
      <c r="KT441" s="23"/>
      <c r="KU441" s="23"/>
      <c r="KV441" s="23"/>
      <c r="KW441" s="23"/>
      <c r="KX441" s="23"/>
      <c r="KY441" s="23"/>
      <c r="KZ441" s="23"/>
      <c r="LA441" s="23"/>
      <c r="LB441" s="23"/>
      <c r="LC441" s="23"/>
      <c r="LD441" s="23"/>
      <c r="LE441" s="23"/>
      <c r="LF441" s="23"/>
      <c r="LG441" s="23"/>
      <c r="LH441" s="23"/>
      <c r="LI441" s="23"/>
      <c r="LJ441" s="23"/>
      <c r="LK441" s="23"/>
      <c r="LL441" s="23"/>
      <c r="LM441" s="23"/>
      <c r="LN441" s="23"/>
      <c r="LO441" s="23"/>
      <c r="LP441" s="23"/>
      <c r="LQ441" s="23"/>
      <c r="LR441" s="23"/>
      <c r="LS441" s="23"/>
      <c r="LT441" s="23"/>
      <c r="LU441" s="23"/>
      <c r="LV441" s="23"/>
      <c r="LW441" s="23"/>
      <c r="LX441" s="23"/>
      <c r="LY441" s="23"/>
      <c r="LZ441" s="23"/>
      <c r="MA441" s="23"/>
      <c r="MB441" s="23"/>
      <c r="MC441" s="23"/>
      <c r="MD441" s="23"/>
      <c r="ME441" s="23"/>
      <c r="MF441" s="23"/>
      <c r="MG441" s="23"/>
      <c r="MH441" s="23"/>
      <c r="MI441" s="23"/>
      <c r="MJ441" s="23"/>
      <c r="MK441" s="23"/>
      <c r="ML441" s="23"/>
      <c r="MM441" s="23"/>
      <c r="MN441" s="23"/>
      <c r="MO441" s="23"/>
      <c r="MP441" s="23"/>
      <c r="MQ441" s="23"/>
      <c r="MR441" s="23"/>
      <c r="MS441" s="23"/>
      <c r="MT441" s="23"/>
      <c r="MU441" s="23"/>
      <c r="MV441" s="23"/>
      <c r="MW441" s="23"/>
      <c r="MX441" s="23"/>
      <c r="MY441" s="23"/>
      <c r="MZ441" s="23"/>
      <c r="NA441" s="23"/>
      <c r="NB441" s="23"/>
      <c r="NC441" s="23"/>
      <c r="ND441" s="23"/>
      <c r="NE441" s="23"/>
      <c r="NF441" s="23"/>
      <c r="NG441" s="23"/>
      <c r="NH441" s="23"/>
      <c r="NI441" s="23"/>
      <c r="NJ441" s="23"/>
      <c r="NK441" s="23"/>
      <c r="NL441" s="23"/>
      <c r="NM441" s="23"/>
      <c r="NN441" s="23"/>
      <c r="NO441" s="23"/>
      <c r="NP441" s="23"/>
      <c r="NQ441" s="23"/>
      <c r="NR441" s="23"/>
      <c r="NS441" s="23"/>
      <c r="NT441" s="23"/>
      <c r="NU441" s="23"/>
      <c r="NV441" s="23"/>
      <c r="NW441" s="23"/>
      <c r="NX441" s="23"/>
      <c r="NY441" s="23"/>
      <c r="NZ441" s="23"/>
      <c r="OA441" s="23"/>
      <c r="OB441" s="23"/>
      <c r="OC441" s="23"/>
      <c r="OD441" s="23"/>
      <c r="OE441" s="23"/>
      <c r="OF441" s="23"/>
      <c r="OG441" s="23"/>
      <c r="OH441" s="23"/>
      <c r="OI441" s="23"/>
      <c r="OJ441" s="23"/>
      <c r="OK441" s="23"/>
      <c r="OL441" s="23"/>
      <c r="OM441" s="23"/>
      <c r="ON441" s="23"/>
      <c r="OO441" s="23"/>
      <c r="OP441" s="23"/>
      <c r="OQ441" s="23"/>
      <c r="OR441" s="23"/>
      <c r="OS441" s="23"/>
      <c r="OT441" s="23"/>
      <c r="OU441" s="23"/>
      <c r="OV441" s="23"/>
      <c r="OW441" s="23"/>
      <c r="OX441" s="23"/>
      <c r="OY441" s="23"/>
      <c r="OZ441" s="23"/>
      <c r="PA441" s="23"/>
      <c r="PB441" s="23"/>
      <c r="PC441" s="23"/>
      <c r="PD441" s="23"/>
      <c r="PE441" s="23"/>
      <c r="PF441" s="23"/>
      <c r="PG441" s="23"/>
      <c r="PH441" s="23"/>
      <c r="PI441" s="23"/>
      <c r="PJ441" s="23"/>
      <c r="PK441" s="23"/>
      <c r="PL441" s="23"/>
      <c r="PM441" s="23"/>
      <c r="PN441" s="23"/>
      <c r="PO441" s="23"/>
      <c r="PP441" s="23"/>
      <c r="PQ441" s="23"/>
      <c r="PR441" s="23"/>
      <c r="PS441" s="23"/>
      <c r="PT441" s="23"/>
      <c r="PU441" s="23"/>
      <c r="PV441" s="23"/>
      <c r="PW441" s="23"/>
      <c r="PX441" s="23"/>
      <c r="PY441" s="23"/>
      <c r="PZ441" s="23"/>
      <c r="QA441" s="23"/>
      <c r="QB441" s="23"/>
      <c r="QC441" s="23"/>
      <c r="QD441" s="23"/>
      <c r="QE441" s="23"/>
      <c r="QF441" s="23"/>
      <c r="QG441" s="23"/>
      <c r="QH441" s="23"/>
      <c r="QI441" s="23"/>
      <c r="QJ441" s="23"/>
      <c r="QK441" s="23"/>
      <c r="QL441" s="23"/>
      <c r="QM441" s="23"/>
      <c r="QN441" s="23"/>
      <c r="QO441" s="23"/>
      <c r="QP441" s="23"/>
      <c r="QQ441" s="23"/>
      <c r="QR441" s="23"/>
      <c r="QS441" s="23"/>
      <c r="QT441" s="23"/>
      <c r="QU441" s="23"/>
      <c r="QV441" s="23"/>
      <c r="QW441" s="23"/>
      <c r="QX441" s="23"/>
      <c r="QY441" s="23"/>
      <c r="QZ441" s="23"/>
      <c r="RA441" s="23"/>
      <c r="RB441" s="23"/>
      <c r="RC441" s="23"/>
      <c r="RD441" s="23"/>
      <c r="RE441" s="23"/>
      <c r="RF441" s="23"/>
      <c r="RG441" s="23"/>
      <c r="RH441" s="23"/>
      <c r="RI441" s="23"/>
      <c r="RJ441" s="23"/>
      <c r="RK441" s="23"/>
      <c r="RL441" s="23"/>
      <c r="RM441" s="23"/>
      <c r="RN441" s="23"/>
      <c r="RO441" s="23"/>
      <c r="RP441" s="23"/>
      <c r="RQ441" s="23"/>
      <c r="RR441" s="23"/>
      <c r="RS441" s="23"/>
      <c r="RT441" s="23"/>
      <c r="RU441" s="23"/>
      <c r="RV441" s="23"/>
      <c r="RW441" s="23"/>
      <c r="RX441" s="23"/>
      <c r="RY441" s="23"/>
      <c r="RZ441" s="23"/>
      <c r="SA441" s="23"/>
      <c r="SB441" s="23"/>
      <c r="SC441" s="23"/>
      <c r="SD441" s="23"/>
      <c r="SE441" s="23"/>
      <c r="SF441" s="23"/>
      <c r="SG441" s="23"/>
      <c r="SH441" s="23"/>
      <c r="SI441" s="23"/>
      <c r="SJ441" s="23"/>
      <c r="SK441" s="23"/>
      <c r="SL441" s="23"/>
      <c r="SM441" s="23"/>
      <c r="SN441" s="23"/>
      <c r="SO441" s="23"/>
      <c r="SP441" s="23"/>
      <c r="SQ441" s="23"/>
      <c r="SR441" s="23"/>
      <c r="SS441" s="23"/>
      <c r="ST441" s="23"/>
      <c r="SU441" s="23"/>
      <c r="SV441" s="23"/>
      <c r="SW441" s="23"/>
      <c r="SX441" s="23"/>
      <c r="SY441" s="23"/>
      <c r="SZ441" s="23"/>
      <c r="TA441" s="23"/>
      <c r="TB441" s="23"/>
      <c r="TC441" s="23"/>
      <c r="TD441" s="23"/>
      <c r="TE441" s="23"/>
      <c r="TF441" s="23"/>
      <c r="TG441" s="23"/>
      <c r="TH441" s="23"/>
      <c r="TI441" s="23"/>
      <c r="TJ441" s="23"/>
      <c r="TK441" s="23"/>
      <c r="TL441" s="23"/>
      <c r="TM441" s="23"/>
      <c r="TN441" s="23"/>
      <c r="TO441" s="23"/>
      <c r="TP441" s="23"/>
      <c r="TQ441" s="23"/>
      <c r="TR441" s="23"/>
      <c r="TS441" s="23"/>
      <c r="TT441" s="23"/>
      <c r="TU441" s="23"/>
      <c r="TV441" s="23"/>
      <c r="TW441" s="23"/>
      <c r="TX441" s="23"/>
      <c r="TY441" s="23"/>
      <c r="TZ441" s="23"/>
      <c r="UA441" s="23"/>
      <c r="UB441" s="23"/>
      <c r="UC441" s="23"/>
      <c r="UD441" s="23"/>
      <c r="UE441" s="23"/>
      <c r="UF441" s="23"/>
      <c r="UG441" s="23"/>
      <c r="UH441" s="23"/>
      <c r="UI441" s="23"/>
      <c r="UJ441" s="23"/>
      <c r="UK441" s="23"/>
      <c r="UL441" s="23"/>
      <c r="UM441" s="23"/>
      <c r="UN441" s="23"/>
      <c r="UO441" s="23"/>
      <c r="UP441" s="23"/>
      <c r="UQ441" s="23"/>
      <c r="UR441" s="23"/>
      <c r="US441" s="23"/>
      <c r="UT441" s="23"/>
      <c r="UU441" s="23"/>
      <c r="UV441" s="23"/>
      <c r="UW441" s="23"/>
      <c r="UX441" s="23"/>
      <c r="UY441" s="23"/>
      <c r="UZ441" s="23"/>
      <c r="VA441" s="23"/>
      <c r="VB441" s="23"/>
      <c r="VC441" s="23"/>
      <c r="VD441" s="23"/>
      <c r="VE441" s="23"/>
      <c r="VF441" s="23"/>
      <c r="VG441" s="23"/>
      <c r="VH441" s="23"/>
      <c r="VI441" s="23"/>
      <c r="VJ441" s="23"/>
      <c r="VK441" s="23"/>
      <c r="VL441" s="23"/>
      <c r="VM441" s="23"/>
      <c r="VN441" s="23"/>
      <c r="VO441" s="23"/>
      <c r="VP441" s="23"/>
      <c r="VQ441" s="23"/>
      <c r="VR441" s="23"/>
      <c r="VS441" s="23"/>
      <c r="VT441" s="23"/>
      <c r="VU441" s="23"/>
      <c r="VV441" s="23"/>
      <c r="VW441" s="23"/>
      <c r="VX441" s="23"/>
      <c r="VY441" s="23"/>
      <c r="VZ441" s="23"/>
      <c r="WA441" s="23"/>
      <c r="WB441" s="23"/>
      <c r="WC441" s="23"/>
      <c r="WD441" s="23"/>
      <c r="WE441" s="23"/>
      <c r="WF441" s="23"/>
      <c r="WG441" s="23"/>
      <c r="WH441" s="23"/>
      <c r="WI441" s="23"/>
      <c r="WJ441" s="23"/>
      <c r="WK441" s="23"/>
      <c r="WL441" s="23"/>
      <c r="WM441" s="23"/>
      <c r="WN441" s="23"/>
      <c r="WO441" s="23"/>
      <c r="WP441" s="23"/>
      <c r="WQ441" s="23"/>
      <c r="WR441" s="23"/>
      <c r="WS441" s="23"/>
      <c r="WT441" s="23"/>
      <c r="WU441" s="23"/>
      <c r="WV441" s="23"/>
      <c r="WW441" s="23"/>
      <c r="WX441" s="23"/>
      <c r="WY441" s="23"/>
      <c r="WZ441" s="23"/>
      <c r="XA441" s="23"/>
      <c r="XB441" s="23"/>
      <c r="XC441" s="23"/>
      <c r="XD441" s="23"/>
      <c r="XE441" s="23"/>
      <c r="XF441" s="23"/>
      <c r="XG441" s="23"/>
      <c r="XH441" s="23"/>
      <c r="XI441" s="23"/>
      <c r="XJ441" s="23"/>
      <c r="XK441" s="23"/>
      <c r="XL441" s="23"/>
      <c r="XM441" s="23"/>
      <c r="XN441" s="23"/>
      <c r="XO441" s="23"/>
      <c r="XP441" s="23"/>
      <c r="XQ441" s="23"/>
      <c r="XR441" s="23"/>
      <c r="XS441" s="23"/>
      <c r="XT441" s="23"/>
      <c r="XU441" s="23"/>
      <c r="XV441" s="23"/>
      <c r="XW441" s="23"/>
      <c r="XX441" s="23"/>
      <c r="XY441" s="23"/>
      <c r="XZ441" s="23"/>
      <c r="YA441" s="23"/>
      <c r="YB441" s="23"/>
      <c r="YC441" s="23"/>
      <c r="YD441" s="23"/>
      <c r="YE441" s="23"/>
      <c r="YF441" s="23"/>
      <c r="YG441" s="23"/>
      <c r="YH441" s="23"/>
      <c r="YI441" s="23"/>
      <c r="YJ441" s="23"/>
      <c r="YK441" s="23"/>
      <c r="YL441" s="23"/>
      <c r="YM441" s="23"/>
      <c r="YN441" s="23"/>
      <c r="YO441" s="23"/>
      <c r="YP441" s="23"/>
      <c r="YQ441" s="23"/>
      <c r="YR441" s="23"/>
      <c r="YS441" s="23"/>
      <c r="YT441" s="23"/>
      <c r="YU441" s="23"/>
      <c r="YV441" s="23"/>
      <c r="YW441" s="23"/>
      <c r="YX441" s="23"/>
      <c r="YY441" s="23"/>
      <c r="YZ441" s="23"/>
      <c r="ZA441" s="23"/>
      <c r="ZB441" s="23"/>
      <c r="ZC441" s="23"/>
      <c r="ZD441" s="23"/>
      <c r="ZE441" s="23"/>
      <c r="ZF441" s="23"/>
      <c r="ZG441" s="23"/>
      <c r="ZH441" s="23"/>
      <c r="ZI441" s="23"/>
      <c r="ZJ441" s="23"/>
      <c r="ZK441" s="23"/>
      <c r="ZL441" s="23"/>
      <c r="ZM441" s="23"/>
      <c r="ZN441" s="23"/>
      <c r="ZO441" s="23"/>
      <c r="ZP441" s="23"/>
      <c r="ZQ441" s="23"/>
      <c r="ZR441" s="23"/>
      <c r="ZS441" s="23"/>
      <c r="ZT441" s="23"/>
      <c r="ZU441" s="23"/>
      <c r="ZV441" s="23"/>
      <c r="ZW441" s="23"/>
      <c r="ZX441" s="23"/>
      <c r="ZY441" s="23"/>
      <c r="ZZ441" s="23"/>
      <c r="AAA441" s="23"/>
      <c r="AAB441" s="23"/>
      <c r="AAC441" s="23"/>
      <c r="AAD441" s="23"/>
      <c r="AAE441" s="23"/>
      <c r="AAF441" s="23"/>
      <c r="AAG441" s="23"/>
      <c r="AAH441" s="23"/>
      <c r="AAI441" s="23"/>
      <c r="AAJ441" s="23"/>
      <c r="AAK441" s="23"/>
      <c r="AAL441" s="23"/>
      <c r="AAM441" s="23"/>
      <c r="AAN441" s="23"/>
      <c r="AAO441" s="23"/>
      <c r="AAP441" s="23"/>
      <c r="AAQ441" s="23"/>
      <c r="AAR441" s="23"/>
      <c r="AAS441" s="23"/>
      <c r="AAT441" s="23"/>
      <c r="AAU441" s="23"/>
      <c r="AAV441" s="23"/>
      <c r="AAW441" s="23"/>
      <c r="AAX441" s="23"/>
      <c r="AAY441" s="23"/>
      <c r="AAZ441" s="23"/>
      <c r="ABA441" s="23"/>
      <c r="ABB441" s="23"/>
      <c r="ABC441" s="23"/>
      <c r="ABD441" s="23"/>
      <c r="ABE441" s="23"/>
      <c r="ABF441" s="23"/>
      <c r="ABG441" s="23"/>
      <c r="ABH441" s="23"/>
      <c r="ABI441" s="23"/>
      <c r="ABJ441" s="23"/>
      <c r="ABK441" s="23"/>
      <c r="ABL441" s="23"/>
      <c r="ABM441" s="23"/>
      <c r="ABN441" s="23"/>
      <c r="ABO441" s="23"/>
      <c r="ABP441" s="23"/>
      <c r="ABQ441" s="23"/>
      <c r="ABR441" s="23"/>
      <c r="ABS441" s="23"/>
      <c r="ABT441" s="23"/>
      <c r="ABU441" s="23"/>
      <c r="ABV441" s="23"/>
      <c r="ABW441" s="23"/>
      <c r="ABX441" s="23"/>
      <c r="ABY441" s="23"/>
      <c r="ABZ441" s="23"/>
      <c r="ACA441" s="23"/>
      <c r="ACB441" s="23"/>
      <c r="ACC441" s="23"/>
      <c r="ACD441" s="23"/>
      <c r="ACE441" s="23"/>
      <c r="ACF441" s="23"/>
      <c r="ACG441" s="23"/>
      <c r="ACH441" s="23"/>
      <c r="ACI441" s="23"/>
      <c r="ACJ441" s="23"/>
      <c r="ACK441" s="23"/>
      <c r="ACL441" s="23"/>
      <c r="ACM441" s="23"/>
      <c r="ACN441" s="23"/>
      <c r="ACO441" s="23"/>
      <c r="ACP441" s="23"/>
      <c r="ACQ441" s="23"/>
      <c r="ACR441" s="23"/>
      <c r="ACS441" s="23"/>
      <c r="ACT441" s="23"/>
      <c r="ACU441" s="23"/>
      <c r="ACV441" s="23"/>
      <c r="ACW441" s="23"/>
      <c r="ACX441" s="23"/>
      <c r="ACY441" s="23"/>
      <c r="ACZ441" s="23"/>
      <c r="ADA441" s="23"/>
      <c r="ADB441" s="23"/>
      <c r="ADC441" s="23"/>
      <c r="ADD441" s="23"/>
      <c r="ADE441" s="23"/>
      <c r="ADF441" s="23"/>
      <c r="ADG441" s="23"/>
      <c r="ADH441" s="23"/>
      <c r="ADI441" s="23"/>
      <c r="ADJ441" s="23"/>
      <c r="ADK441" s="23"/>
      <c r="ADL441" s="23"/>
      <c r="ADM441" s="23"/>
      <c r="ADN441" s="23"/>
      <c r="ADO441" s="23"/>
      <c r="ADP441" s="23"/>
      <c r="ADQ441" s="23"/>
      <c r="ADR441" s="23"/>
      <c r="ADS441" s="23"/>
      <c r="ADT441" s="23"/>
      <c r="ADU441" s="23"/>
      <c r="ADV441" s="23"/>
      <c r="ADW441" s="23"/>
      <c r="ADX441" s="23"/>
      <c r="ADY441" s="23"/>
      <c r="ADZ441" s="23"/>
      <c r="AEA441" s="23"/>
      <c r="AEB441" s="23"/>
      <c r="AEC441" s="23"/>
      <c r="AED441" s="23"/>
      <c r="AEE441" s="23"/>
      <c r="AEF441" s="23"/>
      <c r="AEG441" s="23"/>
      <c r="AEH441" s="23"/>
      <c r="AEI441" s="23"/>
      <c r="AEJ441" s="23"/>
      <c r="AEK441" s="23"/>
      <c r="AEL441" s="23"/>
      <c r="AEM441" s="23"/>
      <c r="AEN441" s="23"/>
      <c r="AEO441" s="23"/>
      <c r="AEP441" s="23"/>
      <c r="AEQ441" s="23"/>
      <c r="AER441" s="23"/>
      <c r="AES441" s="23"/>
      <c r="AET441" s="23"/>
      <c r="AEU441" s="23"/>
      <c r="AEV441" s="23"/>
      <c r="AEW441" s="23"/>
      <c r="AEX441" s="23"/>
      <c r="AEY441" s="23"/>
      <c r="AEZ441" s="23"/>
      <c r="AFA441" s="23"/>
      <c r="AFB441" s="23"/>
      <c r="AFC441" s="23"/>
      <c r="AFD441" s="23"/>
      <c r="AFE441" s="23"/>
      <c r="AFF441" s="23"/>
      <c r="AFG441" s="23"/>
      <c r="AFH441" s="23"/>
      <c r="AFI441" s="23"/>
      <c r="AFJ441" s="23"/>
      <c r="AFK441" s="23"/>
      <c r="AFL441" s="23"/>
      <c r="AFM441" s="23"/>
      <c r="AFN441" s="23"/>
      <c r="AFO441" s="23"/>
      <c r="AFP441" s="23"/>
      <c r="AFQ441" s="23"/>
      <c r="AFR441" s="23"/>
      <c r="AFS441" s="23"/>
      <c r="AFT441" s="23"/>
      <c r="AFU441" s="23"/>
      <c r="AFV441" s="23"/>
      <c r="AFW441" s="23"/>
      <c r="AFX441" s="23"/>
      <c r="AFY441" s="23"/>
      <c r="AFZ441" s="23"/>
      <c r="AGA441" s="23"/>
      <c r="AGB441" s="23"/>
      <c r="AGC441" s="23"/>
      <c r="AGD441" s="23"/>
      <c r="AGE441" s="23"/>
      <c r="AGF441" s="23"/>
      <c r="AGG441" s="23"/>
      <c r="AGH441" s="23"/>
      <c r="AGI441" s="23"/>
      <c r="AGJ441" s="23"/>
      <c r="AGK441" s="23"/>
      <c r="AGL441" s="23"/>
      <c r="AGM441" s="23"/>
      <c r="AGN441" s="23"/>
      <c r="AGO441" s="23"/>
      <c r="AGP441" s="23"/>
      <c r="AGQ441" s="23"/>
      <c r="AGR441" s="23"/>
      <c r="AGS441" s="23"/>
      <c r="AGT441" s="23"/>
      <c r="AGU441" s="23"/>
      <c r="AGV441" s="23"/>
      <c r="AGW441" s="23"/>
      <c r="AGX441" s="23"/>
      <c r="AGY441" s="23"/>
      <c r="AGZ441" s="23"/>
      <c r="AHA441" s="23"/>
      <c r="AHB441" s="23"/>
      <c r="AHC441" s="23"/>
      <c r="AHD441" s="23"/>
      <c r="AHE441" s="23"/>
      <c r="AHF441" s="23"/>
      <c r="AHG441" s="23"/>
      <c r="AHH441" s="23"/>
      <c r="AHI441" s="23"/>
      <c r="AHJ441" s="23"/>
      <c r="AHK441" s="23"/>
      <c r="AHL441" s="23"/>
      <c r="AHM441" s="23"/>
      <c r="AHN441" s="23"/>
      <c r="AHO441" s="23"/>
      <c r="AHP441" s="23"/>
      <c r="AHQ441" s="23"/>
      <c r="AHR441" s="23"/>
      <c r="AHS441" s="23"/>
      <c r="AHT441" s="23"/>
      <c r="AHU441" s="23"/>
      <c r="AHV441" s="23"/>
      <c r="AHW441" s="23"/>
      <c r="AHX441" s="23"/>
      <c r="AHY441" s="23"/>
      <c r="AHZ441" s="23"/>
      <c r="AIA441" s="23"/>
      <c r="AIB441" s="23"/>
      <c r="AIC441" s="23"/>
      <c r="AID441" s="23"/>
      <c r="AIE441" s="23"/>
      <c r="AIF441" s="23"/>
      <c r="AIG441" s="23"/>
      <c r="AIH441" s="23"/>
      <c r="AII441" s="23"/>
      <c r="AIJ441" s="23"/>
      <c r="AIK441" s="23"/>
      <c r="AIL441" s="23"/>
      <c r="AIM441" s="23"/>
      <c r="AIN441" s="23"/>
      <c r="AIO441" s="23"/>
      <c r="AIP441" s="23"/>
      <c r="AIQ441" s="23"/>
      <c r="AIR441" s="23"/>
      <c r="AIS441" s="23"/>
      <c r="AIT441" s="23"/>
      <c r="AIU441" s="23"/>
      <c r="AIV441" s="23"/>
      <c r="AIW441" s="23"/>
      <c r="AIX441" s="23"/>
      <c r="AIY441" s="23"/>
      <c r="AIZ441" s="23"/>
      <c r="AJA441" s="23"/>
      <c r="AJB441" s="23"/>
      <c r="AJC441" s="23"/>
      <c r="AJD441" s="23"/>
      <c r="AJE441" s="23"/>
      <c r="AJF441" s="23"/>
      <c r="AJG441" s="23"/>
      <c r="AJH441" s="23"/>
      <c r="AJI441" s="23"/>
      <c r="AJJ441" s="23"/>
      <c r="AJK441" s="23"/>
      <c r="AJL441" s="23"/>
      <c r="AJM441" s="23"/>
      <c r="AJN441" s="23"/>
      <c r="AJO441" s="23"/>
      <c r="AJP441" s="23"/>
      <c r="AJQ441" s="23"/>
      <c r="AJR441" s="23"/>
      <c r="AJS441" s="23"/>
      <c r="AJT441" s="23"/>
      <c r="AJU441" s="23"/>
      <c r="AJV441" s="23"/>
      <c r="AJW441" s="23"/>
      <c r="AJX441" s="23"/>
      <c r="AJY441" s="23"/>
      <c r="AJZ441" s="23"/>
      <c r="AKA441" s="23"/>
      <c r="AKB441" s="23"/>
      <c r="AKC441" s="23"/>
      <c r="AKD441" s="23"/>
      <c r="AKE441" s="23"/>
      <c r="AKF441" s="23"/>
      <c r="AKG441" s="23"/>
      <c r="AKH441" s="23"/>
      <c r="AKI441" s="23"/>
      <c r="AKJ441" s="23"/>
      <c r="AKK441" s="23"/>
      <c r="AKL441" s="23"/>
      <c r="AKM441" s="23"/>
      <c r="AKN441" s="23"/>
      <c r="AKO441" s="23"/>
      <c r="AKP441" s="23"/>
      <c r="AKQ441" s="23"/>
      <c r="AKR441" s="23"/>
      <c r="AKS441" s="23"/>
      <c r="AKT441" s="23"/>
      <c r="AKU441" s="23"/>
      <c r="AKV441" s="23"/>
      <c r="AKW441" s="23"/>
      <c r="AKX441" s="23"/>
      <c r="AKY441" s="23"/>
      <c r="AKZ441" s="23"/>
      <c r="ALA441" s="23"/>
      <c r="ALB441" s="23"/>
      <c r="ALC441" s="23"/>
      <c r="ALD441" s="23"/>
      <c r="ALE441" s="23"/>
      <c r="ALF441" s="23"/>
      <c r="ALG441" s="23"/>
      <c r="ALH441" s="23"/>
      <c r="ALI441" s="23"/>
      <c r="ALJ441" s="23"/>
      <c r="ALK441" s="23"/>
      <c r="ALL441" s="23"/>
      <c r="ALM441" s="23"/>
      <c r="ALN441" s="23"/>
      <c r="ALO441" s="23"/>
      <c r="ALP441" s="23"/>
      <c r="ALQ441" s="23"/>
      <c r="ALR441" s="23"/>
      <c r="ALS441" s="23"/>
      <c r="ALT441" s="23"/>
      <c r="ALU441" s="23"/>
      <c r="ALV441" s="23"/>
      <c r="ALW441" s="23"/>
      <c r="ALX441" s="23"/>
      <c r="ALY441" s="23"/>
      <c r="ALZ441" s="23"/>
      <c r="AMA441" s="23"/>
      <c r="AMB441" s="23"/>
      <c r="AMC441" s="23"/>
      <c r="AMD441" s="23"/>
      <c r="AME441" s="23"/>
      <c r="AMF441" s="23"/>
      <c r="AMG441" s="23"/>
      <c r="AMH441" s="23"/>
      <c r="AMI441" s="23"/>
      <c r="AMJ441" s="23"/>
      <c r="AMK441" s="23"/>
      <c r="AML441" s="23"/>
      <c r="AMM441" s="23"/>
      <c r="AMN441" s="23"/>
      <c r="AMO441" s="23"/>
      <c r="AMP441" s="23"/>
      <c r="AMQ441" s="23"/>
      <c r="AMR441" s="23"/>
      <c r="AMS441" s="23"/>
      <c r="AMT441" s="23"/>
      <c r="AMU441" s="23"/>
      <c r="AMV441" s="23"/>
      <c r="AMW441" s="23"/>
      <c r="AMX441" s="23"/>
      <c r="AMY441" s="23"/>
      <c r="AMZ441" s="23"/>
      <c r="ANA441" s="23"/>
      <c r="ANB441" s="23"/>
      <c r="ANC441" s="23"/>
      <c r="AND441" s="23"/>
      <c r="ANE441" s="23"/>
      <c r="ANF441" s="23"/>
      <c r="ANG441" s="23"/>
      <c r="ANH441" s="23"/>
      <c r="ANI441" s="23"/>
      <c r="ANJ441" s="23"/>
      <c r="ANK441" s="23"/>
      <c r="ANL441" s="23"/>
      <c r="ANM441" s="23"/>
      <c r="ANN441" s="23"/>
      <c r="ANO441" s="23"/>
      <c r="ANP441" s="23"/>
      <c r="ANQ441" s="23"/>
      <c r="ANR441" s="23"/>
      <c r="ANS441" s="23"/>
      <c r="ANT441" s="23"/>
      <c r="ANU441" s="23"/>
      <c r="ANV441" s="23"/>
      <c r="ANW441" s="23"/>
      <c r="ANX441" s="23"/>
      <c r="ANY441" s="23"/>
      <c r="ANZ441" s="23"/>
      <c r="AOA441" s="23"/>
      <c r="AOB441" s="23"/>
      <c r="AOC441" s="23"/>
      <c r="AOD441" s="23"/>
      <c r="AOE441" s="23"/>
      <c r="AOF441" s="23"/>
      <c r="AOG441" s="23"/>
      <c r="AOH441" s="23"/>
      <c r="AOI441" s="23"/>
      <c r="AOJ441" s="23"/>
      <c r="AOK441" s="23"/>
      <c r="AOL441" s="23"/>
      <c r="AOM441" s="23"/>
      <c r="AON441" s="23"/>
      <c r="AOO441" s="23"/>
      <c r="AOP441" s="23"/>
      <c r="AOQ441" s="23"/>
      <c r="AOR441" s="23"/>
      <c r="AOS441" s="23"/>
      <c r="AOT441" s="23"/>
      <c r="AOU441" s="23"/>
      <c r="AOV441" s="23"/>
      <c r="AOW441" s="23"/>
      <c r="AOX441" s="23"/>
      <c r="AOY441" s="23"/>
      <c r="AOZ441" s="23"/>
      <c r="APA441" s="23"/>
      <c r="APB441" s="23"/>
      <c r="APC441" s="23"/>
      <c r="APD441" s="23"/>
      <c r="APE441" s="23"/>
      <c r="APF441" s="23"/>
      <c r="APG441" s="23"/>
      <c r="APH441" s="23"/>
      <c r="API441" s="23"/>
      <c r="APJ441" s="23"/>
      <c r="APK441" s="23"/>
      <c r="APL441" s="23"/>
      <c r="APM441" s="23"/>
      <c r="APN441" s="23"/>
      <c r="APO441" s="23"/>
      <c r="APP441" s="23"/>
      <c r="APQ441" s="23"/>
      <c r="APR441" s="23"/>
      <c r="APS441" s="23"/>
      <c r="APT441" s="23"/>
      <c r="APU441" s="23"/>
      <c r="APV441" s="23"/>
      <c r="APW441" s="23"/>
      <c r="APX441" s="23"/>
      <c r="APY441" s="23"/>
      <c r="APZ441" s="23"/>
      <c r="AQA441" s="23"/>
      <c r="AQB441" s="23"/>
      <c r="AQC441" s="23"/>
      <c r="AQD441" s="23"/>
      <c r="AQE441" s="23"/>
      <c r="AQF441" s="23"/>
      <c r="AQG441" s="23"/>
      <c r="AQH441" s="23"/>
      <c r="AQI441" s="23"/>
      <c r="AQJ441" s="23"/>
      <c r="AQK441" s="23"/>
      <c r="AQL441" s="23"/>
      <c r="AQM441" s="23"/>
      <c r="AQN441" s="23"/>
      <c r="AQO441" s="23"/>
      <c r="AQP441" s="23"/>
      <c r="AQQ441" s="23"/>
      <c r="AQR441" s="23"/>
      <c r="AQS441" s="23"/>
      <c r="AQT441" s="23"/>
      <c r="AQU441" s="23"/>
      <c r="AQV441" s="23"/>
      <c r="AQW441" s="23"/>
      <c r="AQX441" s="23"/>
      <c r="AQY441" s="23"/>
      <c r="AQZ441" s="23"/>
      <c r="ARA441" s="23"/>
      <c r="ARB441" s="23"/>
      <c r="ARC441" s="23"/>
      <c r="ARD441" s="23"/>
      <c r="ARE441" s="23"/>
      <c r="ARF441" s="23"/>
      <c r="ARG441" s="23"/>
      <c r="ARH441" s="23"/>
      <c r="ARI441" s="23"/>
      <c r="ARJ441" s="23"/>
      <c r="ARK441" s="23"/>
      <c r="ARL441" s="23"/>
      <c r="ARM441" s="23"/>
      <c r="ARN441" s="23"/>
      <c r="ARO441" s="23"/>
      <c r="ARP441" s="23"/>
      <c r="ARQ441" s="23"/>
      <c r="ARR441" s="23"/>
      <c r="ARS441" s="23"/>
      <c r="ART441" s="23"/>
      <c r="ARU441" s="23"/>
      <c r="ARV441" s="23"/>
      <c r="ARW441" s="23"/>
      <c r="ARX441" s="23"/>
      <c r="ARY441" s="23"/>
      <c r="ARZ441" s="23"/>
      <c r="ASA441" s="23"/>
      <c r="ASB441" s="23"/>
      <c r="ASC441" s="23"/>
      <c r="ASD441" s="23"/>
      <c r="ASE441" s="23"/>
      <c r="ASF441" s="23"/>
      <c r="ASG441" s="23"/>
      <c r="ASH441" s="23"/>
      <c r="ASI441" s="23"/>
      <c r="ASJ441" s="23"/>
      <c r="ASK441" s="23"/>
      <c r="ASL441" s="23"/>
      <c r="ASM441" s="23"/>
      <c r="ASN441" s="23"/>
      <c r="ASO441" s="23"/>
      <c r="ASP441" s="23"/>
      <c r="ASQ441" s="23"/>
      <c r="ASR441" s="23"/>
      <c r="ASS441" s="23"/>
      <c r="AST441" s="23"/>
      <c r="ASU441" s="23"/>
      <c r="ASV441" s="23"/>
      <c r="ASW441" s="23"/>
      <c r="ASX441" s="23"/>
      <c r="ASY441" s="23"/>
      <c r="ASZ441" s="23"/>
      <c r="ATA441" s="23"/>
      <c r="ATB441" s="23"/>
      <c r="ATC441" s="23"/>
      <c r="ATD441" s="23"/>
      <c r="ATE441" s="23"/>
      <c r="ATF441" s="23"/>
      <c r="ATG441" s="23"/>
      <c r="ATH441" s="23"/>
      <c r="ATI441" s="23"/>
      <c r="ATJ441" s="23"/>
      <c r="ATK441" s="23"/>
      <c r="ATL441" s="23"/>
      <c r="ATM441" s="23"/>
      <c r="ATN441" s="23"/>
      <c r="ATO441" s="23"/>
      <c r="ATP441" s="23"/>
      <c r="ATQ441" s="23"/>
      <c r="ATR441" s="23"/>
      <c r="ATS441" s="23"/>
      <c r="ATT441" s="23"/>
      <c r="ATU441" s="23"/>
      <c r="ATV441" s="23"/>
      <c r="ATW441" s="23"/>
      <c r="ATX441" s="23"/>
      <c r="ATY441" s="23"/>
      <c r="ATZ441" s="23"/>
      <c r="AUA441" s="23"/>
      <c r="AUB441" s="23"/>
      <c r="AUC441" s="23"/>
      <c r="AUD441" s="23"/>
      <c r="AUE441" s="23"/>
      <c r="AUF441" s="23"/>
      <c r="AUG441" s="23"/>
      <c r="AUH441" s="23"/>
      <c r="AUI441" s="23"/>
      <c r="AUJ441" s="23"/>
      <c r="AUK441" s="23"/>
      <c r="AUL441" s="23"/>
      <c r="AUM441" s="23"/>
      <c r="AUN441" s="23"/>
      <c r="AUO441" s="23"/>
      <c r="AUP441" s="23"/>
      <c r="AUQ441" s="23"/>
      <c r="AUR441" s="23"/>
      <c r="AUS441" s="23"/>
      <c r="AUT441" s="23"/>
      <c r="AUU441" s="23"/>
      <c r="AUV441" s="23"/>
      <c r="AUW441" s="23"/>
      <c r="AUX441" s="23"/>
      <c r="AUY441" s="23"/>
      <c r="AUZ441" s="23"/>
      <c r="AVA441" s="23"/>
      <c r="AVB441" s="23"/>
      <c r="AVC441" s="23"/>
      <c r="AVD441" s="23"/>
      <c r="AVE441" s="23"/>
      <c r="AVF441" s="23"/>
      <c r="AVG441" s="23"/>
      <c r="AVH441" s="23"/>
      <c r="AVI441" s="23"/>
      <c r="AVJ441" s="23"/>
      <c r="AVK441" s="23"/>
      <c r="AVL441" s="23"/>
      <c r="AVM441" s="23"/>
      <c r="AVN441" s="23"/>
      <c r="AVO441" s="23"/>
      <c r="AVP441" s="23"/>
      <c r="AVQ441" s="23"/>
      <c r="AVR441" s="23"/>
      <c r="AVS441" s="23"/>
      <c r="AVT441" s="23"/>
      <c r="AVU441" s="23"/>
      <c r="AVV441" s="23"/>
      <c r="AVW441" s="23"/>
      <c r="AVX441" s="23"/>
      <c r="AVY441" s="23"/>
      <c r="AVZ441" s="23"/>
      <c r="AWA441" s="23"/>
      <c r="AWB441" s="23"/>
      <c r="AWC441" s="23"/>
      <c r="AWD441" s="23"/>
      <c r="AWE441" s="23"/>
      <c r="AWF441" s="23"/>
      <c r="AWG441" s="23"/>
      <c r="AWH441" s="23"/>
      <c r="AWI441" s="23"/>
      <c r="AWJ441" s="23"/>
      <c r="AWK441" s="23"/>
      <c r="AWL441" s="23"/>
      <c r="AWM441" s="23"/>
      <c r="AWN441" s="23"/>
      <c r="AWO441" s="23"/>
      <c r="AWP441" s="23"/>
      <c r="AWQ441" s="23"/>
      <c r="AWR441" s="23"/>
      <c r="AWS441" s="23"/>
      <c r="AWT441" s="23"/>
      <c r="AWU441" s="23"/>
      <c r="AWV441" s="23"/>
      <c r="AWW441" s="23"/>
      <c r="AWX441" s="23"/>
      <c r="AWY441" s="23"/>
      <c r="AWZ441" s="23"/>
      <c r="AXA441" s="23"/>
      <c r="AXB441" s="23"/>
      <c r="AXC441" s="23"/>
      <c r="AXD441" s="23"/>
      <c r="AXE441" s="23"/>
      <c r="AXF441" s="23"/>
      <c r="AXG441" s="23"/>
      <c r="AXH441" s="23"/>
      <c r="AXI441" s="23"/>
      <c r="AXJ441" s="23"/>
      <c r="AXK441" s="23"/>
      <c r="AXL441" s="23"/>
      <c r="AXM441" s="23"/>
      <c r="AXN441" s="23"/>
      <c r="AXO441" s="23"/>
      <c r="AXP441" s="23"/>
      <c r="AXQ441" s="23"/>
      <c r="AXR441" s="23"/>
      <c r="AXS441" s="23"/>
      <c r="AXT441" s="23"/>
      <c r="AXU441" s="23"/>
      <c r="AXV441" s="23"/>
      <c r="AXW441" s="23"/>
      <c r="AXX441" s="23"/>
      <c r="AXY441" s="23"/>
      <c r="AXZ441" s="23"/>
      <c r="AYA441" s="23"/>
      <c r="AYB441" s="23"/>
      <c r="AYC441" s="23"/>
      <c r="AYD441" s="23"/>
      <c r="AYE441" s="23"/>
      <c r="AYF441" s="23"/>
      <c r="AYG441" s="23"/>
      <c r="AYH441" s="23"/>
      <c r="AYI441" s="23"/>
      <c r="AYJ441" s="23"/>
      <c r="AYK441" s="23"/>
      <c r="AYL441" s="23"/>
      <c r="AYM441" s="23"/>
      <c r="AYN441" s="23"/>
      <c r="AYO441" s="23"/>
      <c r="AYP441" s="23"/>
      <c r="AYQ441" s="23"/>
      <c r="AYR441" s="23"/>
      <c r="AYS441" s="23"/>
      <c r="AYT441" s="23"/>
      <c r="AYU441" s="23"/>
      <c r="AYV441" s="23"/>
      <c r="AYW441" s="23"/>
      <c r="AYX441" s="23"/>
      <c r="AYY441" s="23"/>
      <c r="AYZ441" s="23"/>
      <c r="AZA441" s="23"/>
      <c r="AZB441" s="23"/>
      <c r="AZC441" s="23"/>
      <c r="AZD441" s="23"/>
      <c r="AZE441" s="23"/>
      <c r="AZF441" s="23"/>
      <c r="AZG441" s="23"/>
      <c r="AZH441" s="23"/>
      <c r="AZI441" s="23"/>
      <c r="AZJ441" s="23"/>
      <c r="AZK441" s="23"/>
      <c r="AZL441" s="23"/>
      <c r="AZM441" s="23"/>
      <c r="AZN441" s="23"/>
      <c r="AZO441" s="23"/>
      <c r="AZP441" s="23"/>
      <c r="AZQ441" s="23"/>
      <c r="AZR441" s="23"/>
      <c r="AZS441" s="23"/>
      <c r="AZT441" s="23"/>
      <c r="AZU441" s="23"/>
      <c r="AZV441" s="23"/>
      <c r="AZW441" s="23"/>
      <c r="AZX441" s="23"/>
      <c r="AZY441" s="23"/>
      <c r="AZZ441" s="23"/>
      <c r="BAA441" s="23"/>
      <c r="BAB441" s="23"/>
      <c r="BAC441" s="23"/>
      <c r="BAD441" s="23"/>
      <c r="BAE441" s="23"/>
      <c r="BAF441" s="23"/>
      <c r="BAG441" s="23"/>
      <c r="BAH441" s="23"/>
      <c r="BAI441" s="23"/>
      <c r="BAJ441" s="23"/>
      <c r="BAK441" s="23"/>
      <c r="BAL441" s="23"/>
      <c r="BAM441" s="23"/>
      <c r="BAN441" s="23"/>
      <c r="BAO441" s="23"/>
      <c r="BAP441" s="23"/>
      <c r="BAQ441" s="23"/>
      <c r="BAR441" s="23"/>
      <c r="BAS441" s="23"/>
      <c r="BAT441" s="23"/>
      <c r="BAU441" s="23"/>
      <c r="BAV441" s="23"/>
      <c r="BAW441" s="23"/>
      <c r="BAX441" s="23"/>
      <c r="BAY441" s="23"/>
      <c r="BAZ441" s="23"/>
      <c r="BBA441" s="23"/>
      <c r="BBB441" s="23"/>
      <c r="BBC441" s="23"/>
      <c r="BBD441" s="23"/>
      <c r="BBE441" s="23"/>
      <c r="BBF441" s="23"/>
      <c r="BBG441" s="23"/>
      <c r="BBH441" s="23"/>
      <c r="BBI441" s="23"/>
      <c r="BBJ441" s="23"/>
      <c r="BBK441" s="23"/>
      <c r="BBL441" s="23"/>
      <c r="BBM441" s="23"/>
      <c r="BBN441" s="23"/>
      <c r="BBO441" s="23"/>
      <c r="BBP441" s="23"/>
      <c r="BBQ441" s="23"/>
      <c r="BBR441" s="23"/>
      <c r="BBS441" s="23"/>
      <c r="BBT441" s="23"/>
      <c r="BBU441" s="23"/>
      <c r="BBV441" s="23"/>
      <c r="BBW441" s="23"/>
      <c r="BBX441" s="23"/>
      <c r="BBY441" s="23"/>
      <c r="BBZ441" s="23"/>
      <c r="BCA441" s="23"/>
      <c r="BCB441" s="23"/>
      <c r="BCC441" s="23"/>
      <c r="BCD441" s="23"/>
      <c r="BCE441" s="23"/>
      <c r="BCF441" s="23"/>
      <c r="BCG441" s="23"/>
      <c r="BCH441" s="23"/>
      <c r="BCI441" s="23"/>
      <c r="BCJ441" s="23"/>
      <c r="BCK441" s="23"/>
      <c r="BCL441" s="23"/>
      <c r="BCM441" s="23"/>
      <c r="BCN441" s="23"/>
      <c r="BCO441" s="23"/>
      <c r="BCP441" s="23"/>
      <c r="BCQ441" s="23"/>
      <c r="BCR441" s="23"/>
      <c r="BCS441" s="23"/>
      <c r="BCT441" s="23"/>
      <c r="BCU441" s="23"/>
      <c r="BCV441" s="23"/>
      <c r="BCW441" s="23"/>
      <c r="BCX441" s="23"/>
      <c r="BCY441" s="23"/>
      <c r="BCZ441" s="23"/>
      <c r="BDA441" s="23"/>
      <c r="BDB441" s="23"/>
      <c r="BDC441" s="23"/>
      <c r="BDD441" s="23"/>
      <c r="BDE441" s="23"/>
      <c r="BDF441" s="23"/>
      <c r="BDG441" s="23"/>
      <c r="BDH441" s="23"/>
      <c r="BDI441" s="23"/>
      <c r="BDJ441" s="23"/>
      <c r="BDK441" s="23"/>
      <c r="BDL441" s="23"/>
      <c r="BDM441" s="23"/>
      <c r="BDN441" s="23"/>
      <c r="BDO441" s="23"/>
      <c r="BDP441" s="23"/>
      <c r="BDQ441" s="23"/>
      <c r="BDR441" s="23"/>
      <c r="BDS441" s="23"/>
      <c r="BDT441" s="23"/>
      <c r="BDU441" s="23"/>
      <c r="BDV441" s="23"/>
      <c r="BDW441" s="23"/>
      <c r="BDX441" s="23"/>
      <c r="BDY441" s="23"/>
      <c r="BDZ441" s="23"/>
      <c r="BEA441" s="23"/>
      <c r="BEB441" s="23"/>
      <c r="BEC441" s="23"/>
      <c r="BED441" s="23"/>
      <c r="BEE441" s="23"/>
      <c r="BEF441" s="23"/>
      <c r="BEG441" s="23"/>
      <c r="BEH441" s="23"/>
      <c r="BEI441" s="23"/>
      <c r="BEJ441" s="23"/>
      <c r="BEK441" s="23"/>
      <c r="BEL441" s="23"/>
      <c r="BEM441" s="23"/>
      <c r="BEN441" s="23"/>
      <c r="BEO441" s="23"/>
      <c r="BEP441" s="23"/>
      <c r="BEQ441" s="23"/>
      <c r="BER441" s="23"/>
      <c r="BES441" s="23"/>
      <c r="BET441" s="23"/>
      <c r="BEU441" s="23"/>
      <c r="BEV441" s="23"/>
      <c r="BEW441" s="23"/>
      <c r="BEX441" s="23"/>
      <c r="BEY441" s="23"/>
      <c r="BEZ441" s="23"/>
      <c r="BFA441" s="23"/>
      <c r="BFB441" s="23"/>
      <c r="BFC441" s="23"/>
      <c r="BFD441" s="23"/>
      <c r="BFE441" s="23"/>
      <c r="BFF441" s="23"/>
      <c r="BFG441" s="23"/>
      <c r="BFH441" s="23"/>
      <c r="BFI441" s="23"/>
      <c r="BFJ441" s="23"/>
      <c r="BFK441" s="23"/>
      <c r="BFL441" s="23"/>
      <c r="BFM441" s="23"/>
      <c r="BFN441" s="23"/>
      <c r="BFO441" s="23"/>
      <c r="BFP441" s="23"/>
      <c r="BFQ441" s="23"/>
      <c r="BFR441" s="23"/>
      <c r="BFS441" s="23"/>
      <c r="BFT441" s="23"/>
      <c r="BFU441" s="23"/>
      <c r="BFV441" s="23"/>
      <c r="BFW441" s="23"/>
      <c r="BFX441" s="23"/>
      <c r="BFY441" s="23"/>
      <c r="BFZ441" s="23"/>
      <c r="BGA441" s="23"/>
      <c r="BGB441" s="23"/>
      <c r="BGC441" s="23"/>
      <c r="BGD441" s="23"/>
      <c r="BGE441" s="23"/>
      <c r="BGF441" s="23"/>
      <c r="BGG441" s="23"/>
      <c r="BGH441" s="23"/>
      <c r="BGI441" s="23"/>
      <c r="BGJ441" s="23"/>
      <c r="BGK441" s="23"/>
      <c r="BGL441" s="23"/>
      <c r="BGM441" s="23"/>
      <c r="BGN441" s="23"/>
      <c r="BGO441" s="23"/>
      <c r="BGP441" s="23"/>
      <c r="BGQ441" s="23"/>
      <c r="BGR441" s="23"/>
      <c r="BGS441" s="23"/>
      <c r="BGT441" s="23"/>
      <c r="BGU441" s="23"/>
      <c r="BGV441" s="23"/>
      <c r="BGW441" s="23"/>
      <c r="BGX441" s="23"/>
      <c r="BGY441" s="23"/>
      <c r="BGZ441" s="23"/>
      <c r="BHA441" s="23"/>
      <c r="BHB441" s="23"/>
      <c r="BHC441" s="23"/>
      <c r="BHD441" s="23"/>
      <c r="BHE441" s="23"/>
      <c r="BHF441" s="23"/>
      <c r="BHG441" s="23"/>
      <c r="BHH441" s="23"/>
      <c r="BHI441" s="23"/>
      <c r="BHJ441" s="23"/>
      <c r="BHK441" s="23"/>
      <c r="BHL441" s="23"/>
      <c r="BHM441" s="23"/>
      <c r="BHN441" s="23"/>
      <c r="BHO441" s="23"/>
      <c r="BHP441" s="23"/>
      <c r="BHQ441" s="23"/>
      <c r="BHR441" s="23"/>
      <c r="BHS441" s="23"/>
      <c r="BHT441" s="23"/>
      <c r="BHU441" s="23"/>
      <c r="BHV441" s="23"/>
      <c r="BHW441" s="23"/>
      <c r="BHX441" s="23"/>
      <c r="BHY441" s="23"/>
      <c r="BHZ441" s="23"/>
      <c r="BIA441" s="23"/>
      <c r="BIB441" s="23"/>
      <c r="BIC441" s="23"/>
      <c r="BID441" s="23"/>
      <c r="BIE441" s="23"/>
      <c r="BIF441" s="23"/>
      <c r="BIG441" s="23"/>
      <c r="BIH441" s="23"/>
      <c r="BII441" s="23"/>
      <c r="BIJ441" s="23"/>
      <c r="BIK441" s="23"/>
      <c r="BIL441" s="23"/>
      <c r="BIM441" s="23"/>
      <c r="BIN441" s="23"/>
      <c r="BIO441" s="23"/>
      <c r="BIP441" s="23"/>
      <c r="BIQ441" s="23"/>
      <c r="BIR441" s="23"/>
      <c r="BIS441" s="23"/>
      <c r="BIT441" s="23"/>
      <c r="BIU441" s="23"/>
      <c r="BIV441" s="23"/>
      <c r="BIW441" s="23"/>
      <c r="BIX441" s="23"/>
      <c r="BIY441" s="23"/>
      <c r="BIZ441" s="23"/>
      <c r="BJA441" s="23"/>
      <c r="BJB441" s="23"/>
      <c r="BJC441" s="23"/>
      <c r="BJD441" s="23"/>
      <c r="BJE441" s="23"/>
      <c r="BJF441" s="23"/>
      <c r="BJG441" s="23"/>
      <c r="BJH441" s="23"/>
      <c r="BJI441" s="23"/>
      <c r="BJJ441" s="23"/>
      <c r="BJK441" s="23"/>
      <c r="BJL441" s="23"/>
      <c r="BJM441" s="23"/>
      <c r="BJN441" s="23"/>
      <c r="BJO441" s="23"/>
      <c r="BJP441" s="23"/>
      <c r="BJQ441" s="23"/>
      <c r="BJR441" s="23"/>
      <c r="BJS441" s="23"/>
      <c r="BJT441" s="23"/>
      <c r="BJU441" s="23"/>
      <c r="BJV441" s="23"/>
      <c r="BJW441" s="23"/>
      <c r="BJX441" s="23"/>
      <c r="BJY441" s="23"/>
      <c r="BJZ441" s="23"/>
      <c r="BKA441" s="23"/>
      <c r="BKB441" s="23"/>
      <c r="BKC441" s="23"/>
      <c r="BKD441" s="23"/>
      <c r="BKE441" s="23"/>
      <c r="BKF441" s="23"/>
      <c r="BKG441" s="23"/>
      <c r="BKH441" s="23"/>
      <c r="BKI441" s="23"/>
      <c r="BKJ441" s="23"/>
      <c r="BKK441" s="23"/>
      <c r="BKL441" s="23"/>
      <c r="BKM441" s="23"/>
      <c r="BKN441" s="23"/>
      <c r="BKO441" s="23"/>
      <c r="BKP441" s="23"/>
      <c r="BKQ441" s="23"/>
      <c r="BKR441" s="23"/>
      <c r="BKS441" s="23"/>
      <c r="BKT441" s="23"/>
      <c r="BKU441" s="23"/>
      <c r="BKV441" s="23"/>
      <c r="BKW441" s="23"/>
      <c r="BKX441" s="23"/>
      <c r="BKY441" s="23"/>
      <c r="BKZ441" s="23"/>
      <c r="BLA441" s="23"/>
      <c r="BLB441" s="23"/>
      <c r="BLC441" s="23"/>
      <c r="BLD441" s="23"/>
      <c r="BLE441" s="23"/>
      <c r="BLF441" s="23"/>
      <c r="BLG441" s="23"/>
      <c r="BLH441" s="23"/>
      <c r="BLI441" s="23"/>
      <c r="BLJ441" s="23"/>
      <c r="BLK441" s="23"/>
      <c r="BLL441" s="23"/>
      <c r="BLM441" s="23"/>
      <c r="BLN441" s="23"/>
      <c r="BLO441" s="23"/>
      <c r="BLP441" s="23"/>
      <c r="BLQ441" s="23"/>
      <c r="BLR441" s="23"/>
      <c r="BLS441" s="23"/>
      <c r="BLT441" s="23"/>
      <c r="BLU441" s="23"/>
      <c r="BLV441" s="23"/>
      <c r="BLW441" s="23"/>
      <c r="BLX441" s="23"/>
      <c r="BLY441" s="23"/>
      <c r="BLZ441" s="23"/>
      <c r="BMA441" s="23"/>
      <c r="BMB441" s="23"/>
      <c r="BMC441" s="23"/>
      <c r="BMD441" s="23"/>
      <c r="BME441" s="23"/>
      <c r="BMF441" s="23"/>
      <c r="BMG441" s="23"/>
      <c r="BMH441" s="23"/>
      <c r="BMI441" s="23"/>
      <c r="BMJ441" s="23"/>
      <c r="BMK441" s="23"/>
      <c r="BML441" s="23"/>
      <c r="BMM441" s="23"/>
      <c r="BMN441" s="23"/>
      <c r="BMO441" s="23"/>
      <c r="BMP441" s="23"/>
      <c r="BMQ441" s="23"/>
      <c r="BMR441" s="23"/>
      <c r="BMS441" s="23"/>
      <c r="BMT441" s="23"/>
      <c r="BMU441" s="23"/>
      <c r="BMV441" s="23"/>
      <c r="BMW441" s="23"/>
      <c r="BMX441" s="23"/>
      <c r="BMY441" s="23"/>
      <c r="BMZ441" s="23"/>
      <c r="BNA441" s="23"/>
      <c r="BNB441" s="23"/>
      <c r="BNC441" s="23"/>
      <c r="BND441" s="23"/>
      <c r="BNE441" s="23"/>
      <c r="BNF441" s="23"/>
      <c r="BNG441" s="23"/>
      <c r="BNH441" s="23"/>
      <c r="BNI441" s="23"/>
      <c r="BNJ441" s="23"/>
      <c r="BNK441" s="23"/>
      <c r="BNL441" s="23"/>
      <c r="BNM441" s="23"/>
      <c r="BNN441" s="23"/>
      <c r="BNO441" s="23"/>
      <c r="BNP441" s="23"/>
      <c r="BNQ441" s="23"/>
      <c r="BNR441" s="23"/>
      <c r="BNS441" s="23"/>
      <c r="BNT441" s="23"/>
      <c r="BNU441" s="23"/>
      <c r="BNV441" s="23"/>
      <c r="BNW441" s="23"/>
      <c r="BNX441" s="23"/>
      <c r="BNY441" s="23"/>
      <c r="BNZ441" s="23"/>
      <c r="BOA441" s="23"/>
      <c r="BOB441" s="23"/>
      <c r="BOC441" s="23"/>
      <c r="BOD441" s="23"/>
      <c r="BOE441" s="23"/>
      <c r="BOF441" s="23"/>
      <c r="BOG441" s="23"/>
      <c r="BOH441" s="23"/>
      <c r="BOI441" s="23"/>
      <c r="BOJ441" s="23"/>
      <c r="BOK441" s="23"/>
      <c r="BOL441" s="23"/>
      <c r="BOM441" s="23"/>
      <c r="BON441" s="23"/>
      <c r="BOO441" s="23"/>
      <c r="BOP441" s="23"/>
      <c r="BOQ441" s="23"/>
      <c r="BOR441" s="23"/>
      <c r="BOS441" s="23"/>
      <c r="BOT441" s="23"/>
      <c r="BOU441" s="23"/>
      <c r="BOV441" s="23"/>
      <c r="BOW441" s="23"/>
      <c r="BOX441" s="23"/>
      <c r="BOY441" s="23"/>
      <c r="BOZ441" s="23"/>
      <c r="BPA441" s="23"/>
      <c r="BPB441" s="23"/>
      <c r="BPC441" s="23"/>
      <c r="BPD441" s="23"/>
      <c r="BPE441" s="23"/>
      <c r="BPF441" s="23"/>
      <c r="BPG441" s="23"/>
      <c r="BPH441" s="23"/>
      <c r="BPI441" s="23"/>
      <c r="BPJ441" s="23"/>
      <c r="BPK441" s="23"/>
      <c r="BPL441" s="23"/>
      <c r="BPM441" s="23"/>
      <c r="BPN441" s="23"/>
      <c r="BPO441" s="23"/>
      <c r="BPP441" s="23"/>
      <c r="BPQ441" s="23"/>
      <c r="BPR441" s="23"/>
      <c r="BPS441" s="23"/>
      <c r="BPT441" s="23"/>
      <c r="BPU441" s="23"/>
      <c r="BPV441" s="23"/>
      <c r="BPW441" s="23"/>
      <c r="BPX441" s="23"/>
      <c r="BPY441" s="23"/>
      <c r="BPZ441" s="23"/>
      <c r="BQA441" s="23"/>
      <c r="BQB441" s="23"/>
      <c r="BQC441" s="23"/>
      <c r="BQD441" s="23"/>
      <c r="BQE441" s="23"/>
      <c r="BQF441" s="23"/>
      <c r="BQG441" s="23"/>
      <c r="BQH441" s="23"/>
      <c r="BQI441" s="23"/>
      <c r="BQJ441" s="23"/>
      <c r="BQK441" s="23"/>
      <c r="BQL441" s="23"/>
      <c r="BQM441" s="23"/>
      <c r="BQN441" s="23"/>
      <c r="BQO441" s="23"/>
      <c r="BQP441" s="23"/>
      <c r="BQQ441" s="23"/>
      <c r="BQR441" s="23"/>
      <c r="BQS441" s="23"/>
      <c r="BQT441" s="23"/>
      <c r="BQU441" s="23"/>
      <c r="BQV441" s="23"/>
      <c r="BQW441" s="23"/>
      <c r="BQX441" s="23"/>
      <c r="BQY441" s="23"/>
      <c r="BQZ441" s="23"/>
      <c r="BRA441" s="23"/>
      <c r="BRB441" s="23"/>
      <c r="BRC441" s="23"/>
      <c r="BRD441" s="23"/>
      <c r="BRE441" s="23"/>
      <c r="BRF441" s="23"/>
      <c r="BRG441" s="23"/>
      <c r="BRH441" s="23"/>
      <c r="BRI441" s="23"/>
      <c r="BRJ441" s="23"/>
      <c r="BRK441" s="23"/>
      <c r="BRL441" s="23"/>
      <c r="BRM441" s="23"/>
      <c r="BRN441" s="23"/>
      <c r="BRO441" s="23"/>
      <c r="BRP441" s="23"/>
      <c r="BRQ441" s="23"/>
      <c r="BRR441" s="23"/>
      <c r="BRS441" s="23"/>
      <c r="BRT441" s="23"/>
      <c r="BRU441" s="23"/>
      <c r="BRV441" s="23"/>
      <c r="BRW441" s="23"/>
      <c r="BRX441" s="23"/>
      <c r="BRY441" s="23"/>
      <c r="BRZ441" s="23"/>
      <c r="BSA441" s="23"/>
      <c r="BSB441" s="23"/>
      <c r="BSC441" s="23"/>
      <c r="BSD441" s="23"/>
      <c r="BSE441" s="23"/>
      <c r="BSF441" s="23"/>
      <c r="BSG441" s="23"/>
      <c r="BSH441" s="23"/>
      <c r="BSI441" s="23"/>
      <c r="BSJ441" s="23"/>
      <c r="BSK441" s="23"/>
      <c r="BSL441" s="23"/>
      <c r="BSM441" s="23"/>
      <c r="BSN441" s="23"/>
      <c r="BSO441" s="23"/>
      <c r="BSP441" s="23"/>
      <c r="BSQ441" s="23"/>
      <c r="BSR441" s="23"/>
      <c r="BSS441" s="23"/>
      <c r="BST441" s="23"/>
      <c r="BSU441" s="23"/>
      <c r="BSV441" s="23"/>
      <c r="BSW441" s="23"/>
      <c r="BSX441" s="23"/>
      <c r="BSY441" s="23"/>
      <c r="BSZ441" s="23"/>
      <c r="BTA441" s="23"/>
      <c r="BTB441" s="23"/>
      <c r="BTC441" s="23"/>
      <c r="BTD441" s="23"/>
      <c r="BTE441" s="23"/>
      <c r="BTF441" s="23"/>
      <c r="BTG441" s="23"/>
      <c r="BTH441" s="23"/>
      <c r="BTI441" s="23"/>
      <c r="BTJ441" s="23"/>
      <c r="BTK441" s="23"/>
      <c r="BTL441" s="23"/>
      <c r="BTM441" s="23"/>
      <c r="BTN441" s="23"/>
      <c r="BTO441" s="23"/>
      <c r="BTP441" s="23"/>
      <c r="BTQ441" s="23"/>
      <c r="BTR441" s="23"/>
      <c r="BTS441" s="23"/>
      <c r="BTT441" s="23"/>
      <c r="BTU441" s="23"/>
      <c r="BTV441" s="23"/>
      <c r="BTW441" s="23"/>
      <c r="BTX441" s="23"/>
      <c r="BTY441" s="23"/>
      <c r="BTZ441" s="23"/>
      <c r="BUA441" s="23"/>
      <c r="BUB441" s="23"/>
      <c r="BUC441" s="23"/>
      <c r="BUD441" s="23"/>
      <c r="BUE441" s="23"/>
      <c r="BUF441" s="23"/>
      <c r="BUG441" s="23"/>
      <c r="BUH441" s="23"/>
      <c r="BUI441" s="23"/>
      <c r="BUJ441" s="23"/>
      <c r="BUK441" s="23"/>
      <c r="BUL441" s="23"/>
      <c r="BUM441" s="23"/>
      <c r="BUN441" s="23"/>
      <c r="BUO441" s="23"/>
      <c r="BUP441" s="23"/>
      <c r="BUQ441" s="23"/>
      <c r="BUR441" s="23"/>
      <c r="BUS441" s="23"/>
      <c r="BUT441" s="23"/>
      <c r="BUU441" s="23"/>
      <c r="BUV441" s="23"/>
      <c r="BUW441" s="23"/>
      <c r="BUX441" s="23"/>
      <c r="BUY441" s="23"/>
      <c r="BUZ441" s="23"/>
      <c r="BVA441" s="23"/>
      <c r="BVB441" s="23"/>
      <c r="BVC441" s="23"/>
      <c r="BVD441" s="23"/>
      <c r="BVE441" s="23"/>
      <c r="BVF441" s="23"/>
      <c r="BVG441" s="23"/>
      <c r="BVH441" s="23"/>
      <c r="BVI441" s="23"/>
      <c r="BVJ441" s="23"/>
      <c r="BVK441" s="23"/>
      <c r="BVL441" s="23"/>
      <c r="BVM441" s="23"/>
      <c r="BVN441" s="23"/>
      <c r="BVO441" s="23"/>
      <c r="BVP441" s="23"/>
      <c r="BVQ441" s="23"/>
      <c r="BVR441" s="23"/>
      <c r="BVS441" s="23"/>
      <c r="BVT441" s="23"/>
      <c r="BVU441" s="23"/>
      <c r="BVV441" s="23"/>
      <c r="BVW441" s="23"/>
      <c r="BVX441" s="23"/>
      <c r="BVY441" s="23"/>
      <c r="BVZ441" s="23"/>
      <c r="BWA441" s="23"/>
      <c r="BWB441" s="23"/>
      <c r="BWC441" s="23"/>
      <c r="BWD441" s="23"/>
      <c r="BWE441" s="23"/>
      <c r="BWF441" s="23"/>
      <c r="BWG441" s="23"/>
      <c r="BWH441" s="23"/>
      <c r="BWI441" s="23"/>
      <c r="BWJ441" s="23"/>
      <c r="BWK441" s="23"/>
      <c r="BWL441" s="23"/>
      <c r="BWM441" s="23"/>
      <c r="BWN441" s="23"/>
      <c r="BWO441" s="23"/>
      <c r="BWP441" s="23"/>
      <c r="BWQ441" s="23"/>
      <c r="BWR441" s="23"/>
      <c r="BWS441" s="23"/>
      <c r="BWT441" s="23"/>
      <c r="BWU441" s="23"/>
      <c r="BWV441" s="23"/>
      <c r="BWW441" s="23"/>
      <c r="BWX441" s="23"/>
      <c r="BWY441" s="23"/>
      <c r="BWZ441" s="23"/>
      <c r="BXA441" s="23"/>
      <c r="BXB441" s="23"/>
      <c r="BXC441" s="23"/>
      <c r="BXD441" s="23"/>
      <c r="BXE441" s="23"/>
      <c r="BXF441" s="23"/>
      <c r="BXG441" s="23"/>
      <c r="BXH441" s="23"/>
      <c r="BXI441" s="23"/>
      <c r="BXJ441" s="23"/>
      <c r="BXK441" s="23"/>
      <c r="BXL441" s="23"/>
      <c r="BXM441" s="23"/>
      <c r="BXN441" s="23"/>
      <c r="BXO441" s="23"/>
      <c r="BXP441" s="23"/>
      <c r="BXQ441" s="23"/>
      <c r="BXR441" s="23"/>
      <c r="BXS441" s="23"/>
      <c r="BXT441" s="23"/>
      <c r="BXU441" s="23"/>
      <c r="BXV441" s="23"/>
      <c r="BXW441" s="23"/>
      <c r="BXX441" s="23"/>
      <c r="BXY441" s="23"/>
      <c r="BXZ441" s="23"/>
      <c r="BYA441" s="23"/>
      <c r="BYB441" s="23"/>
      <c r="BYC441" s="23"/>
      <c r="BYD441" s="23"/>
      <c r="BYE441" s="23"/>
      <c r="BYF441" s="23"/>
      <c r="BYG441" s="23"/>
      <c r="BYH441" s="23"/>
      <c r="BYI441" s="23"/>
      <c r="BYJ441" s="23"/>
      <c r="BYK441" s="23"/>
      <c r="BYL441" s="23"/>
      <c r="BYM441" s="23"/>
      <c r="BYN441" s="23"/>
      <c r="BYO441" s="23"/>
      <c r="BYP441" s="23"/>
      <c r="BYQ441" s="23"/>
      <c r="BYR441" s="23"/>
      <c r="BYS441" s="23"/>
      <c r="BYT441" s="23"/>
      <c r="BYU441" s="23"/>
      <c r="BYV441" s="23"/>
      <c r="BYW441" s="23"/>
      <c r="BYX441" s="23"/>
      <c r="BYY441" s="23"/>
      <c r="BYZ441" s="23"/>
      <c r="BZA441" s="23"/>
      <c r="BZB441" s="23"/>
      <c r="BZC441" s="23"/>
      <c r="BZD441" s="23"/>
      <c r="BZE441" s="23"/>
      <c r="BZF441" s="23"/>
      <c r="BZG441" s="23"/>
      <c r="BZH441" s="23"/>
      <c r="BZI441" s="23"/>
      <c r="BZJ441" s="23"/>
      <c r="BZK441" s="23"/>
      <c r="BZL441" s="23"/>
      <c r="BZM441" s="23"/>
      <c r="BZN441" s="23"/>
      <c r="BZO441" s="23"/>
      <c r="BZP441" s="23"/>
      <c r="BZQ441" s="23"/>
      <c r="BZR441" s="23"/>
      <c r="BZS441" s="23"/>
      <c r="BZT441" s="23"/>
      <c r="BZU441" s="23"/>
      <c r="BZV441" s="23"/>
      <c r="BZW441" s="23"/>
      <c r="BZX441" s="23"/>
      <c r="BZY441" s="23"/>
      <c r="BZZ441" s="23"/>
      <c r="CAA441" s="23"/>
      <c r="CAB441" s="23"/>
      <c r="CAC441" s="23"/>
      <c r="CAD441" s="23"/>
      <c r="CAE441" s="23"/>
      <c r="CAF441" s="23"/>
      <c r="CAG441" s="23"/>
      <c r="CAH441" s="23"/>
      <c r="CAI441" s="23"/>
      <c r="CAJ441" s="23"/>
      <c r="CAK441" s="23"/>
      <c r="CAL441" s="23"/>
      <c r="CAM441" s="23"/>
      <c r="CAN441" s="23"/>
      <c r="CAO441" s="23"/>
      <c r="CAP441" s="23"/>
      <c r="CAQ441" s="23"/>
      <c r="CAR441" s="23"/>
      <c r="CAS441" s="23"/>
      <c r="CAT441" s="23"/>
      <c r="CAU441" s="23"/>
      <c r="CAV441" s="23"/>
      <c r="CAW441" s="23"/>
      <c r="CAX441" s="23"/>
      <c r="CAY441" s="23"/>
      <c r="CAZ441" s="23"/>
      <c r="CBA441" s="23"/>
      <c r="CBB441" s="23"/>
      <c r="CBC441" s="23"/>
      <c r="CBD441" s="23"/>
      <c r="CBE441" s="23"/>
      <c r="CBF441" s="23"/>
      <c r="CBG441" s="23"/>
      <c r="CBH441" s="23"/>
      <c r="CBI441" s="23"/>
      <c r="CBJ441" s="23"/>
      <c r="CBK441" s="23"/>
      <c r="CBL441" s="23"/>
      <c r="CBM441" s="23"/>
      <c r="CBN441" s="23"/>
      <c r="CBO441" s="23"/>
      <c r="CBP441" s="23"/>
      <c r="CBQ441" s="23"/>
      <c r="CBR441" s="23"/>
      <c r="CBS441" s="23"/>
      <c r="CBT441" s="23"/>
      <c r="CBU441" s="23"/>
      <c r="CBV441" s="23"/>
      <c r="CBW441" s="23"/>
      <c r="CBX441" s="23"/>
      <c r="CBY441" s="23"/>
      <c r="CBZ441" s="23"/>
      <c r="CCA441" s="23"/>
      <c r="CCB441" s="23"/>
      <c r="CCC441" s="23"/>
      <c r="CCD441" s="23"/>
      <c r="CCE441" s="23"/>
      <c r="CCF441" s="23"/>
      <c r="CCG441" s="23"/>
      <c r="CCH441" s="23"/>
      <c r="CCI441" s="23"/>
      <c r="CCJ441" s="23"/>
      <c r="CCK441" s="23"/>
      <c r="CCL441" s="23"/>
      <c r="CCM441" s="23"/>
      <c r="CCN441" s="23"/>
      <c r="CCO441" s="23"/>
      <c r="CCP441" s="23"/>
      <c r="CCQ441" s="23"/>
      <c r="CCR441" s="23"/>
      <c r="CCS441" s="23"/>
      <c r="CCT441" s="23"/>
      <c r="CCU441" s="23"/>
      <c r="CCV441" s="23"/>
      <c r="CCW441" s="23"/>
      <c r="CCX441" s="23"/>
      <c r="CCY441" s="23"/>
      <c r="CCZ441" s="23"/>
      <c r="CDA441" s="23"/>
      <c r="CDB441" s="23"/>
      <c r="CDC441" s="23"/>
      <c r="CDD441" s="23"/>
      <c r="CDE441" s="23"/>
      <c r="CDF441" s="23"/>
      <c r="CDG441" s="23"/>
      <c r="CDH441" s="23"/>
      <c r="CDI441" s="23"/>
      <c r="CDJ441" s="23"/>
      <c r="CDK441" s="23"/>
      <c r="CDL441" s="23"/>
      <c r="CDM441" s="23"/>
      <c r="CDN441" s="23"/>
      <c r="CDO441" s="23"/>
      <c r="CDP441" s="23"/>
      <c r="CDQ441" s="23"/>
      <c r="CDR441" s="23"/>
      <c r="CDS441" s="23"/>
      <c r="CDT441" s="23"/>
      <c r="CDU441" s="23"/>
      <c r="CDV441" s="23"/>
      <c r="CDW441" s="23"/>
      <c r="CDX441" s="23"/>
      <c r="CDY441" s="23"/>
      <c r="CDZ441" s="23"/>
      <c r="CEA441" s="23"/>
      <c r="CEB441" s="23"/>
      <c r="CEC441" s="23"/>
      <c r="CED441" s="23"/>
      <c r="CEE441" s="23"/>
      <c r="CEF441" s="23"/>
      <c r="CEG441" s="23"/>
      <c r="CEH441" s="23"/>
      <c r="CEI441" s="23"/>
      <c r="CEJ441" s="23"/>
      <c r="CEK441" s="23"/>
      <c r="CEL441" s="23"/>
      <c r="CEM441" s="23"/>
      <c r="CEN441" s="23"/>
      <c r="CEO441" s="23"/>
      <c r="CEP441" s="23"/>
      <c r="CEQ441" s="23"/>
      <c r="CER441" s="23"/>
      <c r="CES441" s="23"/>
      <c r="CET441" s="23"/>
      <c r="CEU441" s="23"/>
      <c r="CEV441" s="23"/>
      <c r="CEW441" s="23"/>
      <c r="CEX441" s="23"/>
      <c r="CEY441" s="23"/>
      <c r="CEZ441" s="23"/>
      <c r="CFA441" s="23"/>
      <c r="CFB441" s="23"/>
      <c r="CFC441" s="23"/>
      <c r="CFD441" s="23"/>
      <c r="CFE441" s="23"/>
      <c r="CFF441" s="23"/>
      <c r="CFG441" s="23"/>
      <c r="CFH441" s="23"/>
      <c r="CFI441" s="23"/>
      <c r="CFJ441" s="23"/>
      <c r="CFK441" s="23"/>
      <c r="CFL441" s="23"/>
      <c r="CFM441" s="23"/>
      <c r="CFN441" s="23"/>
      <c r="CFO441" s="23"/>
      <c r="CFP441" s="23"/>
      <c r="CFQ441" s="23"/>
      <c r="CFR441" s="23"/>
      <c r="CFS441" s="23"/>
      <c r="CFT441" s="23"/>
      <c r="CFU441" s="23"/>
      <c r="CFV441" s="23"/>
      <c r="CFW441" s="23"/>
      <c r="CFX441" s="23"/>
      <c r="CFY441" s="23"/>
      <c r="CFZ441" s="23"/>
      <c r="CGA441" s="23"/>
      <c r="CGB441" s="23"/>
      <c r="CGC441" s="23"/>
      <c r="CGD441" s="23"/>
      <c r="CGE441" s="23"/>
      <c r="CGF441" s="23"/>
      <c r="CGG441" s="23"/>
      <c r="CGH441" s="23"/>
      <c r="CGI441" s="23"/>
      <c r="CGJ441" s="23"/>
      <c r="CGK441" s="23"/>
      <c r="CGL441" s="23"/>
      <c r="CGM441" s="23"/>
      <c r="CGN441" s="23"/>
      <c r="CGO441" s="23"/>
      <c r="CGP441" s="23"/>
      <c r="CGQ441" s="23"/>
      <c r="CGR441" s="23"/>
      <c r="CGS441" s="23"/>
      <c r="CGT441" s="23"/>
      <c r="CGU441" s="23"/>
      <c r="CGV441" s="23"/>
      <c r="CGW441" s="23"/>
      <c r="CGX441" s="23"/>
      <c r="CGY441" s="23"/>
      <c r="CGZ441" s="23"/>
      <c r="CHA441" s="23"/>
      <c r="CHB441" s="23"/>
      <c r="CHC441" s="23"/>
      <c r="CHD441" s="23"/>
      <c r="CHE441" s="23"/>
      <c r="CHF441" s="23"/>
      <c r="CHG441" s="23"/>
      <c r="CHH441" s="23"/>
      <c r="CHI441" s="23"/>
      <c r="CHJ441" s="23"/>
      <c r="CHK441" s="23"/>
      <c r="CHL441" s="23"/>
      <c r="CHM441" s="23"/>
      <c r="CHN441" s="23"/>
      <c r="CHO441" s="23"/>
      <c r="CHP441" s="23"/>
      <c r="CHQ441" s="23"/>
      <c r="CHR441" s="23"/>
      <c r="CHS441" s="23"/>
      <c r="CHT441" s="23"/>
      <c r="CHU441" s="23"/>
      <c r="CHV441" s="23"/>
      <c r="CHW441" s="23"/>
      <c r="CHX441" s="23"/>
      <c r="CHY441" s="23"/>
      <c r="CHZ441" s="23"/>
      <c r="CIA441" s="23"/>
      <c r="CIB441" s="23"/>
      <c r="CIC441" s="23"/>
      <c r="CID441" s="23"/>
      <c r="CIE441" s="23"/>
      <c r="CIF441" s="23"/>
      <c r="CIG441" s="23"/>
      <c r="CIH441" s="23"/>
      <c r="CII441" s="23"/>
      <c r="CIJ441" s="23"/>
      <c r="CIK441" s="23"/>
      <c r="CIL441" s="23"/>
      <c r="CIM441" s="23"/>
      <c r="CIN441" s="23"/>
      <c r="CIO441" s="23"/>
      <c r="CIP441" s="23"/>
      <c r="CIQ441" s="23"/>
      <c r="CIR441" s="23"/>
      <c r="CIS441" s="23"/>
      <c r="CIT441" s="23"/>
      <c r="CIU441" s="23"/>
      <c r="CIV441" s="23"/>
      <c r="CIW441" s="23"/>
      <c r="CIX441" s="23"/>
      <c r="CIY441" s="23"/>
      <c r="CIZ441" s="23"/>
      <c r="CJA441" s="23"/>
      <c r="CJB441" s="23"/>
      <c r="CJC441" s="23"/>
      <c r="CJD441" s="23"/>
      <c r="CJE441" s="23"/>
      <c r="CJF441" s="23"/>
      <c r="CJG441" s="23"/>
      <c r="CJH441" s="23"/>
      <c r="CJI441" s="23"/>
      <c r="CJJ441" s="23"/>
      <c r="CJK441" s="23"/>
      <c r="CJL441" s="23"/>
      <c r="CJM441" s="23"/>
      <c r="CJN441" s="23"/>
      <c r="CJO441" s="23"/>
      <c r="CJP441" s="23"/>
      <c r="CJQ441" s="23"/>
      <c r="CJR441" s="23"/>
      <c r="CJS441" s="23"/>
      <c r="CJT441" s="23"/>
      <c r="CJU441" s="23"/>
      <c r="CJV441" s="23"/>
      <c r="CJW441" s="23"/>
      <c r="CJX441" s="23"/>
      <c r="CJY441" s="23"/>
      <c r="CJZ441" s="23"/>
      <c r="CKA441" s="23"/>
      <c r="CKB441" s="23"/>
      <c r="CKC441" s="23"/>
      <c r="CKD441" s="23"/>
      <c r="CKE441" s="23"/>
      <c r="CKF441" s="23"/>
      <c r="CKG441" s="23"/>
      <c r="CKH441" s="23"/>
      <c r="CKI441" s="23"/>
      <c r="CKJ441" s="23"/>
      <c r="CKK441" s="23"/>
      <c r="CKL441" s="23"/>
      <c r="CKM441" s="23"/>
      <c r="CKN441" s="23"/>
      <c r="CKO441" s="23"/>
      <c r="CKP441" s="23"/>
      <c r="CKQ441" s="23"/>
      <c r="CKR441" s="23"/>
      <c r="CKS441" s="23"/>
      <c r="CKT441" s="23"/>
      <c r="CKU441" s="23"/>
      <c r="CKV441" s="23"/>
      <c r="CKW441" s="23"/>
      <c r="CKX441" s="23"/>
      <c r="CKY441" s="23"/>
      <c r="CKZ441" s="23"/>
      <c r="CLA441" s="23"/>
      <c r="CLB441" s="23"/>
      <c r="CLC441" s="23"/>
      <c r="CLD441" s="23"/>
      <c r="CLE441" s="23"/>
      <c r="CLF441" s="23"/>
      <c r="CLG441" s="23"/>
      <c r="CLH441" s="23"/>
      <c r="CLI441" s="23"/>
      <c r="CLJ441" s="23"/>
      <c r="CLK441" s="23"/>
      <c r="CLL441" s="23"/>
      <c r="CLM441" s="23"/>
      <c r="CLN441" s="23"/>
      <c r="CLO441" s="23"/>
      <c r="CLP441" s="23"/>
      <c r="CLQ441" s="23"/>
      <c r="CLR441" s="23"/>
      <c r="CLS441" s="23"/>
      <c r="CLT441" s="23"/>
      <c r="CLU441" s="23"/>
      <c r="CLV441" s="23"/>
      <c r="CLW441" s="23"/>
      <c r="CLX441" s="23"/>
      <c r="CLY441" s="23"/>
      <c r="CLZ441" s="23"/>
      <c r="CMA441" s="23"/>
      <c r="CMB441" s="23"/>
      <c r="CMC441" s="23"/>
      <c r="CMD441" s="23"/>
      <c r="CME441" s="23"/>
      <c r="CMF441" s="23"/>
      <c r="CMG441" s="23"/>
      <c r="CMH441" s="23"/>
      <c r="CMI441" s="23"/>
      <c r="CMJ441" s="23"/>
      <c r="CMK441" s="23"/>
      <c r="CML441" s="23"/>
      <c r="CMM441" s="23"/>
      <c r="CMN441" s="23"/>
      <c r="CMO441" s="23"/>
      <c r="CMP441" s="23"/>
      <c r="CMQ441" s="23"/>
      <c r="CMR441" s="23"/>
      <c r="CMS441" s="23"/>
      <c r="CMT441" s="23"/>
      <c r="CMU441" s="23"/>
      <c r="CMV441" s="23"/>
      <c r="CMW441" s="23"/>
      <c r="CMX441" s="23"/>
      <c r="CMY441" s="23"/>
      <c r="CMZ441" s="23"/>
      <c r="CNA441" s="23"/>
      <c r="CNB441" s="23"/>
      <c r="CNC441" s="23"/>
      <c r="CND441" s="23"/>
      <c r="CNE441" s="23"/>
      <c r="CNF441" s="23"/>
      <c r="CNG441" s="23"/>
      <c r="CNH441" s="23"/>
      <c r="CNI441" s="23"/>
      <c r="CNJ441" s="23"/>
      <c r="CNK441" s="23"/>
      <c r="CNL441" s="23"/>
      <c r="CNM441" s="23"/>
      <c r="CNN441" s="23"/>
      <c r="CNO441" s="23"/>
      <c r="CNP441" s="23"/>
      <c r="CNQ441" s="23"/>
      <c r="CNR441" s="23"/>
      <c r="CNS441" s="23"/>
      <c r="CNT441" s="23"/>
      <c r="CNU441" s="23"/>
      <c r="CNV441" s="23"/>
      <c r="CNW441" s="23"/>
      <c r="CNX441" s="23"/>
      <c r="CNY441" s="23"/>
      <c r="CNZ441" s="23"/>
      <c r="COA441" s="23"/>
      <c r="COB441" s="23"/>
      <c r="COC441" s="23"/>
      <c r="COD441" s="23"/>
      <c r="COE441" s="23"/>
      <c r="COF441" s="23"/>
      <c r="COG441" s="23"/>
      <c r="COH441" s="23"/>
      <c r="COI441" s="23"/>
      <c r="COJ441" s="23"/>
      <c r="COK441" s="23"/>
      <c r="COL441" s="23"/>
      <c r="COM441" s="23"/>
      <c r="CON441" s="23"/>
      <c r="COO441" s="23"/>
      <c r="COP441" s="23"/>
      <c r="COQ441" s="23"/>
      <c r="COR441" s="23"/>
      <c r="COS441" s="23"/>
      <c r="COT441" s="23"/>
      <c r="COU441" s="23"/>
      <c r="COV441" s="23"/>
      <c r="COW441" s="23"/>
      <c r="COX441" s="23"/>
      <c r="COY441" s="23"/>
      <c r="COZ441" s="23"/>
      <c r="CPA441" s="23"/>
      <c r="CPB441" s="23"/>
      <c r="CPC441" s="23"/>
      <c r="CPD441" s="23"/>
      <c r="CPE441" s="23"/>
      <c r="CPF441" s="23"/>
      <c r="CPG441" s="23"/>
      <c r="CPH441" s="23"/>
      <c r="CPI441" s="23"/>
      <c r="CPJ441" s="23"/>
      <c r="CPK441" s="23"/>
      <c r="CPL441" s="23"/>
      <c r="CPM441" s="23"/>
      <c r="CPN441" s="23"/>
      <c r="CPO441" s="23"/>
      <c r="CPP441" s="23"/>
      <c r="CPQ441" s="23"/>
      <c r="CPR441" s="23"/>
      <c r="CPS441" s="23"/>
      <c r="CPT441" s="23"/>
      <c r="CPU441" s="23"/>
      <c r="CPV441" s="23"/>
      <c r="CPW441" s="23"/>
      <c r="CPX441" s="23"/>
      <c r="CPY441" s="23"/>
      <c r="CPZ441" s="23"/>
      <c r="CQA441" s="23"/>
      <c r="CQB441" s="23"/>
      <c r="CQC441" s="23"/>
      <c r="CQD441" s="23"/>
      <c r="CQE441" s="23"/>
      <c r="CQF441" s="23"/>
      <c r="CQG441" s="23"/>
      <c r="CQH441" s="23"/>
      <c r="CQI441" s="23"/>
      <c r="CQJ441" s="23"/>
      <c r="CQK441" s="23"/>
      <c r="CQL441" s="23"/>
      <c r="CQM441" s="23"/>
      <c r="CQN441" s="23"/>
      <c r="CQO441" s="23"/>
      <c r="CQP441" s="23"/>
      <c r="CQQ441" s="23"/>
      <c r="CQR441" s="23"/>
      <c r="CQS441" s="23"/>
      <c r="CQT441" s="23"/>
      <c r="CQU441" s="23"/>
      <c r="CQV441" s="23"/>
      <c r="CQW441" s="23"/>
      <c r="CQX441" s="23"/>
      <c r="CQY441" s="23"/>
      <c r="CQZ441" s="23"/>
      <c r="CRA441" s="23"/>
      <c r="CRB441" s="23"/>
      <c r="CRC441" s="23"/>
      <c r="CRD441" s="23"/>
      <c r="CRE441" s="23"/>
      <c r="CRF441" s="23"/>
      <c r="CRG441" s="23"/>
      <c r="CRH441" s="23"/>
      <c r="CRI441" s="23"/>
      <c r="CRJ441" s="23"/>
      <c r="CRK441" s="23"/>
      <c r="CRL441" s="23"/>
      <c r="CRM441" s="23"/>
      <c r="CRN441" s="23"/>
      <c r="CRO441" s="23"/>
      <c r="CRP441" s="23"/>
      <c r="CRQ441" s="23"/>
      <c r="CRR441" s="23"/>
      <c r="CRS441" s="23"/>
      <c r="CRT441" s="23"/>
      <c r="CRU441" s="23"/>
      <c r="CRV441" s="23"/>
      <c r="CRW441" s="23"/>
      <c r="CRX441" s="23"/>
      <c r="CRY441" s="23"/>
      <c r="CRZ441" s="23"/>
      <c r="CSA441" s="23"/>
      <c r="CSB441" s="23"/>
      <c r="CSC441" s="23"/>
      <c r="CSD441" s="23"/>
      <c r="CSE441" s="23"/>
      <c r="CSF441" s="23"/>
      <c r="CSG441" s="23"/>
      <c r="CSH441" s="23"/>
      <c r="CSI441" s="23"/>
      <c r="CSJ441" s="23"/>
      <c r="CSK441" s="23"/>
      <c r="CSL441" s="23"/>
      <c r="CSM441" s="23"/>
      <c r="CSN441" s="23"/>
      <c r="CSO441" s="23"/>
      <c r="CSP441" s="23"/>
      <c r="CSQ441" s="23"/>
      <c r="CSR441" s="23"/>
      <c r="CSS441" s="23"/>
      <c r="CST441" s="23"/>
      <c r="CSU441" s="23"/>
      <c r="CSV441" s="23"/>
      <c r="CSW441" s="23"/>
      <c r="CSX441" s="23"/>
      <c r="CSY441" s="23"/>
      <c r="CSZ441" s="23"/>
      <c r="CTA441" s="23"/>
      <c r="CTB441" s="23"/>
      <c r="CTC441" s="23"/>
      <c r="CTD441" s="23"/>
      <c r="CTE441" s="23"/>
      <c r="CTF441" s="23"/>
      <c r="CTG441" s="23"/>
      <c r="CTH441" s="23"/>
      <c r="CTI441" s="23"/>
      <c r="CTJ441" s="23"/>
      <c r="CTK441" s="23"/>
      <c r="CTL441" s="23"/>
      <c r="CTM441" s="23"/>
      <c r="CTN441" s="23"/>
      <c r="CTO441" s="23"/>
      <c r="CTP441" s="23"/>
      <c r="CTQ441" s="23"/>
      <c r="CTR441" s="23"/>
      <c r="CTS441" s="23"/>
      <c r="CTT441" s="23"/>
      <c r="CTU441" s="23"/>
      <c r="CTV441" s="23"/>
      <c r="CTW441" s="23"/>
      <c r="CTX441" s="23"/>
      <c r="CTY441" s="23"/>
      <c r="CTZ441" s="23"/>
      <c r="CUA441" s="23"/>
      <c r="CUB441" s="23"/>
      <c r="CUC441" s="23"/>
      <c r="CUD441" s="23"/>
      <c r="CUE441" s="23"/>
      <c r="CUF441" s="23"/>
      <c r="CUG441" s="23"/>
      <c r="CUH441" s="23"/>
      <c r="CUI441" s="23"/>
      <c r="CUJ441" s="23"/>
      <c r="CUK441" s="23"/>
      <c r="CUL441" s="23"/>
      <c r="CUM441" s="23"/>
      <c r="CUN441" s="23"/>
      <c r="CUO441" s="23"/>
      <c r="CUP441" s="23"/>
      <c r="CUQ441" s="23"/>
      <c r="CUR441" s="23"/>
      <c r="CUS441" s="23"/>
      <c r="CUT441" s="23"/>
      <c r="CUU441" s="23"/>
      <c r="CUV441" s="23"/>
      <c r="CUW441" s="23"/>
      <c r="CUX441" s="23"/>
      <c r="CUY441" s="23"/>
      <c r="CUZ441" s="23"/>
      <c r="CVA441" s="23"/>
      <c r="CVB441" s="23"/>
      <c r="CVC441" s="23"/>
      <c r="CVD441" s="23"/>
      <c r="CVE441" s="23"/>
      <c r="CVF441" s="23"/>
      <c r="CVG441" s="23"/>
      <c r="CVH441" s="23"/>
      <c r="CVI441" s="23"/>
      <c r="CVJ441" s="23"/>
      <c r="CVK441" s="23"/>
      <c r="CVL441" s="23"/>
      <c r="CVM441" s="23"/>
      <c r="CVN441" s="23"/>
      <c r="CVO441" s="23"/>
      <c r="CVP441" s="23"/>
      <c r="CVQ441" s="23"/>
      <c r="CVR441" s="23"/>
      <c r="CVS441" s="23"/>
      <c r="CVT441" s="23"/>
      <c r="CVU441" s="23"/>
      <c r="CVV441" s="23"/>
      <c r="CVW441" s="23"/>
      <c r="CVX441" s="23"/>
      <c r="CVY441" s="23"/>
      <c r="CVZ441" s="23"/>
      <c r="CWA441" s="23"/>
      <c r="CWB441" s="23"/>
      <c r="CWC441" s="23"/>
      <c r="CWD441" s="23"/>
      <c r="CWE441" s="23"/>
      <c r="CWF441" s="23"/>
      <c r="CWG441" s="23"/>
      <c r="CWH441" s="23"/>
      <c r="CWI441" s="23"/>
      <c r="CWJ441" s="23"/>
      <c r="CWK441" s="23"/>
      <c r="CWL441" s="23"/>
      <c r="CWM441" s="23"/>
      <c r="CWN441" s="23"/>
      <c r="CWO441" s="23"/>
      <c r="CWP441" s="23"/>
      <c r="CWQ441" s="23"/>
      <c r="CWR441" s="23"/>
      <c r="CWS441" s="23"/>
      <c r="CWT441" s="23"/>
      <c r="CWU441" s="23"/>
      <c r="CWV441" s="23"/>
      <c r="CWW441" s="23"/>
      <c r="CWX441" s="23"/>
      <c r="CWY441" s="23"/>
      <c r="CWZ441" s="23"/>
      <c r="CXA441" s="23"/>
      <c r="CXB441" s="23"/>
      <c r="CXC441" s="23"/>
      <c r="CXD441" s="23"/>
      <c r="CXE441" s="23"/>
      <c r="CXF441" s="23"/>
      <c r="CXG441" s="23"/>
      <c r="CXH441" s="23"/>
      <c r="CXI441" s="23"/>
      <c r="CXJ441" s="23"/>
      <c r="CXK441" s="23"/>
      <c r="CXL441" s="23"/>
      <c r="CXM441" s="23"/>
      <c r="CXN441" s="23"/>
      <c r="CXO441" s="23"/>
      <c r="CXP441" s="23"/>
      <c r="CXQ441" s="23"/>
      <c r="CXR441" s="23"/>
      <c r="CXS441" s="23"/>
      <c r="CXT441" s="23"/>
      <c r="CXU441" s="23"/>
      <c r="CXV441" s="23"/>
      <c r="CXW441" s="23"/>
      <c r="CXX441" s="23"/>
      <c r="CXY441" s="23"/>
      <c r="CXZ441" s="23"/>
      <c r="CYA441" s="23"/>
      <c r="CYB441" s="23"/>
      <c r="CYC441" s="23"/>
      <c r="CYD441" s="23"/>
      <c r="CYE441" s="23"/>
      <c r="CYF441" s="23"/>
      <c r="CYG441" s="23"/>
      <c r="CYH441" s="23"/>
      <c r="CYI441" s="23"/>
      <c r="CYJ441" s="23"/>
      <c r="CYK441" s="23"/>
      <c r="CYL441" s="23"/>
      <c r="CYM441" s="23"/>
      <c r="CYN441" s="23"/>
      <c r="CYO441" s="23"/>
      <c r="CYP441" s="23"/>
      <c r="CYQ441" s="23"/>
      <c r="CYR441" s="23"/>
      <c r="CYS441" s="23"/>
      <c r="CYT441" s="23"/>
      <c r="CYU441" s="23"/>
      <c r="CYV441" s="23"/>
      <c r="CYW441" s="23"/>
      <c r="CYX441" s="23"/>
      <c r="CYY441" s="23"/>
      <c r="CYZ441" s="23"/>
      <c r="CZA441" s="23"/>
      <c r="CZB441" s="23"/>
      <c r="CZC441" s="23"/>
      <c r="CZD441" s="23"/>
      <c r="CZE441" s="23"/>
      <c r="CZF441" s="23"/>
      <c r="CZG441" s="23"/>
      <c r="CZH441" s="23"/>
      <c r="CZI441" s="23"/>
      <c r="CZJ441" s="23"/>
      <c r="CZK441" s="23"/>
      <c r="CZL441" s="23"/>
      <c r="CZM441" s="23"/>
      <c r="CZN441" s="23"/>
      <c r="CZO441" s="23"/>
      <c r="CZP441" s="23"/>
      <c r="CZQ441" s="23"/>
      <c r="CZR441" s="23"/>
      <c r="CZS441" s="23"/>
      <c r="CZT441" s="23"/>
      <c r="CZU441" s="23"/>
      <c r="CZV441" s="23"/>
      <c r="CZW441" s="23"/>
      <c r="CZX441" s="23"/>
      <c r="CZY441" s="23"/>
      <c r="CZZ441" s="23"/>
      <c r="DAA441" s="23"/>
      <c r="DAB441" s="23"/>
      <c r="DAC441" s="23"/>
      <c r="DAD441" s="23"/>
      <c r="DAE441" s="23"/>
      <c r="DAF441" s="23"/>
      <c r="DAG441" s="23"/>
      <c r="DAH441" s="23"/>
      <c r="DAI441" s="23"/>
      <c r="DAJ441" s="23"/>
      <c r="DAK441" s="23"/>
      <c r="DAL441" s="23"/>
      <c r="DAM441" s="23"/>
      <c r="DAN441" s="23"/>
      <c r="DAO441" s="23"/>
      <c r="DAP441" s="23"/>
      <c r="DAQ441" s="23"/>
      <c r="DAR441" s="23"/>
      <c r="DAS441" s="23"/>
      <c r="DAT441" s="23"/>
      <c r="DAU441" s="23"/>
      <c r="DAV441" s="23"/>
      <c r="DAW441" s="23"/>
      <c r="DAX441" s="23"/>
      <c r="DAY441" s="23"/>
      <c r="DAZ441" s="23"/>
      <c r="DBA441" s="23"/>
      <c r="DBB441" s="23"/>
      <c r="DBC441" s="23"/>
      <c r="DBD441" s="23"/>
      <c r="DBE441" s="23"/>
      <c r="DBF441" s="23"/>
      <c r="DBG441" s="23"/>
      <c r="DBH441" s="23"/>
      <c r="DBI441" s="23"/>
      <c r="DBJ441" s="23"/>
      <c r="DBK441" s="23"/>
      <c r="DBL441" s="23"/>
      <c r="DBM441" s="23"/>
      <c r="DBN441" s="23"/>
      <c r="DBO441" s="23"/>
      <c r="DBP441" s="23"/>
      <c r="DBQ441" s="23"/>
      <c r="DBR441" s="23"/>
      <c r="DBS441" s="23"/>
      <c r="DBT441" s="23"/>
      <c r="DBU441" s="23"/>
      <c r="DBV441" s="23"/>
      <c r="DBW441" s="23"/>
      <c r="DBX441" s="23"/>
      <c r="DBY441" s="23"/>
      <c r="DBZ441" s="23"/>
      <c r="DCA441" s="23"/>
      <c r="DCB441" s="23"/>
      <c r="DCC441" s="23"/>
      <c r="DCD441" s="23"/>
      <c r="DCE441" s="23"/>
      <c r="DCF441" s="23"/>
      <c r="DCG441" s="23"/>
      <c r="DCH441" s="23"/>
      <c r="DCI441" s="23"/>
      <c r="DCJ441" s="23"/>
      <c r="DCK441" s="23"/>
      <c r="DCL441" s="23"/>
      <c r="DCM441" s="23"/>
      <c r="DCN441" s="23"/>
      <c r="DCO441" s="23"/>
      <c r="DCP441" s="23"/>
      <c r="DCQ441" s="23"/>
      <c r="DCR441" s="23"/>
      <c r="DCS441" s="23"/>
      <c r="DCT441" s="23"/>
      <c r="DCU441" s="23"/>
      <c r="DCV441" s="23"/>
      <c r="DCW441" s="23"/>
      <c r="DCX441" s="23"/>
      <c r="DCY441" s="23"/>
      <c r="DCZ441" s="23"/>
      <c r="DDA441" s="23"/>
      <c r="DDB441" s="23"/>
      <c r="DDC441" s="23"/>
      <c r="DDD441" s="23"/>
      <c r="DDE441" s="23"/>
      <c r="DDF441" s="23"/>
      <c r="DDG441" s="23"/>
      <c r="DDH441" s="23"/>
      <c r="DDI441" s="23"/>
      <c r="DDJ441" s="23"/>
      <c r="DDK441" s="23"/>
      <c r="DDL441" s="23"/>
      <c r="DDM441" s="23"/>
      <c r="DDN441" s="23"/>
      <c r="DDO441" s="23"/>
      <c r="DDP441" s="23"/>
      <c r="DDQ441" s="23"/>
      <c r="DDR441" s="23"/>
      <c r="DDS441" s="23"/>
      <c r="DDT441" s="23"/>
      <c r="DDU441" s="23"/>
      <c r="DDV441" s="23"/>
      <c r="DDW441" s="23"/>
      <c r="DDX441" s="23"/>
      <c r="DDY441" s="23"/>
      <c r="DDZ441" s="23"/>
      <c r="DEA441" s="23"/>
      <c r="DEB441" s="23"/>
      <c r="DEC441" s="23"/>
      <c r="DED441" s="23"/>
      <c r="DEE441" s="23"/>
      <c r="DEF441" s="23"/>
      <c r="DEG441" s="23"/>
      <c r="DEH441" s="23"/>
      <c r="DEI441" s="23"/>
      <c r="DEJ441" s="23"/>
      <c r="DEK441" s="23"/>
      <c r="DEL441" s="23"/>
      <c r="DEM441" s="23"/>
      <c r="DEN441" s="23"/>
      <c r="DEO441" s="23"/>
      <c r="DEP441" s="23"/>
      <c r="DEQ441" s="23"/>
      <c r="DER441" s="23"/>
      <c r="DES441" s="23"/>
      <c r="DET441" s="23"/>
      <c r="DEU441" s="23"/>
      <c r="DEV441" s="23"/>
      <c r="DEW441" s="23"/>
      <c r="DEX441" s="23"/>
      <c r="DEY441" s="23"/>
      <c r="DEZ441" s="23"/>
      <c r="DFA441" s="23"/>
      <c r="DFB441" s="23"/>
      <c r="DFC441" s="23"/>
      <c r="DFD441" s="23"/>
      <c r="DFE441" s="23"/>
      <c r="DFF441" s="23"/>
      <c r="DFG441" s="23"/>
      <c r="DFH441" s="23"/>
      <c r="DFI441" s="23"/>
      <c r="DFJ441" s="23"/>
      <c r="DFK441" s="23"/>
      <c r="DFL441" s="23"/>
      <c r="DFM441" s="23"/>
      <c r="DFN441" s="23"/>
      <c r="DFO441" s="23"/>
      <c r="DFP441" s="23"/>
      <c r="DFQ441" s="23"/>
      <c r="DFR441" s="23"/>
      <c r="DFS441" s="23"/>
      <c r="DFT441" s="23"/>
      <c r="DFU441" s="23"/>
      <c r="DFV441" s="23"/>
      <c r="DFW441" s="23"/>
      <c r="DFX441" s="23"/>
      <c r="DFY441" s="23"/>
      <c r="DFZ441" s="23"/>
      <c r="DGA441" s="23"/>
      <c r="DGB441" s="23"/>
      <c r="DGC441" s="23"/>
      <c r="DGD441" s="23"/>
      <c r="DGE441" s="23"/>
      <c r="DGF441" s="23"/>
      <c r="DGG441" s="23"/>
      <c r="DGH441" s="23"/>
      <c r="DGI441" s="23"/>
      <c r="DGJ441" s="23"/>
      <c r="DGK441" s="23"/>
      <c r="DGL441" s="23"/>
      <c r="DGM441" s="23"/>
      <c r="DGN441" s="23"/>
      <c r="DGO441" s="23"/>
      <c r="DGP441" s="23"/>
      <c r="DGQ441" s="23"/>
      <c r="DGR441" s="23"/>
      <c r="DGS441" s="23"/>
      <c r="DGT441" s="23"/>
      <c r="DGU441" s="23"/>
      <c r="DGV441" s="23"/>
      <c r="DGW441" s="23"/>
      <c r="DGX441" s="23"/>
      <c r="DGY441" s="23"/>
      <c r="DGZ441" s="23"/>
      <c r="DHA441" s="23"/>
      <c r="DHB441" s="23"/>
      <c r="DHC441" s="23"/>
      <c r="DHD441" s="23"/>
      <c r="DHE441" s="23"/>
      <c r="DHF441" s="23"/>
      <c r="DHG441" s="23"/>
      <c r="DHH441" s="23"/>
      <c r="DHI441" s="23"/>
      <c r="DHJ441" s="23"/>
      <c r="DHK441" s="23"/>
      <c r="DHL441" s="23"/>
      <c r="DHM441" s="23"/>
      <c r="DHN441" s="23"/>
      <c r="DHO441" s="23"/>
      <c r="DHP441" s="23"/>
      <c r="DHQ441" s="23"/>
      <c r="DHR441" s="23"/>
      <c r="DHS441" s="23"/>
      <c r="DHT441" s="23"/>
      <c r="DHU441" s="23"/>
      <c r="DHV441" s="23"/>
      <c r="DHW441" s="23"/>
      <c r="DHX441" s="23"/>
      <c r="DHY441" s="23"/>
      <c r="DHZ441" s="23"/>
      <c r="DIA441" s="23"/>
      <c r="DIB441" s="23"/>
      <c r="DIC441" s="23"/>
      <c r="DID441" s="23"/>
      <c r="DIE441" s="23"/>
      <c r="DIF441" s="23"/>
      <c r="DIG441" s="23"/>
      <c r="DIH441" s="23"/>
      <c r="DII441" s="23"/>
      <c r="DIJ441" s="23"/>
      <c r="DIK441" s="23"/>
      <c r="DIL441" s="23"/>
      <c r="DIM441" s="23"/>
      <c r="DIN441" s="23"/>
      <c r="DIO441" s="23"/>
      <c r="DIP441" s="23"/>
      <c r="DIQ441" s="23"/>
      <c r="DIR441" s="23"/>
      <c r="DIS441" s="23"/>
      <c r="DIT441" s="23"/>
      <c r="DIU441" s="23"/>
      <c r="DIV441" s="23"/>
      <c r="DIW441" s="23"/>
      <c r="DIX441" s="23"/>
      <c r="DIY441" s="23"/>
      <c r="DIZ441" s="23"/>
      <c r="DJA441" s="23"/>
      <c r="DJB441" s="23"/>
      <c r="DJC441" s="23"/>
      <c r="DJD441" s="23"/>
      <c r="DJE441" s="23"/>
      <c r="DJF441" s="23"/>
      <c r="DJG441" s="23"/>
      <c r="DJH441" s="23"/>
      <c r="DJI441" s="23"/>
      <c r="DJJ441" s="23"/>
      <c r="DJK441" s="23"/>
      <c r="DJL441" s="23"/>
      <c r="DJM441" s="23"/>
      <c r="DJN441" s="23"/>
      <c r="DJO441" s="23"/>
      <c r="DJP441" s="23"/>
      <c r="DJQ441" s="23"/>
      <c r="DJR441" s="23"/>
      <c r="DJS441" s="23"/>
      <c r="DJT441" s="23"/>
      <c r="DJU441" s="23"/>
      <c r="DJV441" s="23"/>
      <c r="DJW441" s="23"/>
      <c r="DJX441" s="23"/>
      <c r="DJY441" s="23"/>
      <c r="DJZ441" s="23"/>
      <c r="DKA441" s="23"/>
      <c r="DKB441" s="23"/>
      <c r="DKC441" s="23"/>
      <c r="DKD441" s="23"/>
      <c r="DKE441" s="23"/>
      <c r="DKF441" s="23"/>
      <c r="DKG441" s="23"/>
      <c r="DKH441" s="23"/>
      <c r="DKI441" s="23"/>
      <c r="DKJ441" s="23"/>
      <c r="DKK441" s="23"/>
      <c r="DKL441" s="23"/>
      <c r="DKM441" s="23"/>
      <c r="DKN441" s="23"/>
      <c r="DKO441" s="23"/>
      <c r="DKP441" s="23"/>
      <c r="DKQ441" s="23"/>
      <c r="DKR441" s="23"/>
      <c r="DKS441" s="23"/>
      <c r="DKT441" s="23"/>
      <c r="DKU441" s="23"/>
      <c r="DKV441" s="23"/>
      <c r="DKW441" s="23"/>
      <c r="DKX441" s="23"/>
      <c r="DKY441" s="23"/>
      <c r="DKZ441" s="23"/>
      <c r="DLA441" s="23"/>
      <c r="DLB441" s="23"/>
      <c r="DLC441" s="23"/>
      <c r="DLD441" s="23"/>
      <c r="DLE441" s="23"/>
      <c r="DLF441" s="23"/>
      <c r="DLG441" s="23"/>
      <c r="DLH441" s="23"/>
      <c r="DLI441" s="23"/>
      <c r="DLJ441" s="23"/>
      <c r="DLK441" s="23"/>
      <c r="DLL441" s="23"/>
      <c r="DLM441" s="23"/>
      <c r="DLN441" s="23"/>
      <c r="DLO441" s="23"/>
      <c r="DLP441" s="23"/>
      <c r="DLQ441" s="23"/>
      <c r="DLR441" s="23"/>
      <c r="DLS441" s="23"/>
      <c r="DLT441" s="23"/>
      <c r="DLU441" s="23"/>
      <c r="DLV441" s="23"/>
      <c r="DLW441" s="23"/>
      <c r="DLX441" s="23"/>
      <c r="DLY441" s="23"/>
      <c r="DLZ441" s="23"/>
      <c r="DMA441" s="23"/>
      <c r="DMB441" s="23"/>
      <c r="DMC441" s="23"/>
      <c r="DMD441" s="23"/>
      <c r="DME441" s="23"/>
      <c r="DMF441" s="23"/>
      <c r="DMG441" s="23"/>
      <c r="DMH441" s="23"/>
      <c r="DMI441" s="23"/>
      <c r="DMJ441" s="23"/>
      <c r="DMK441" s="23"/>
      <c r="DML441" s="23"/>
      <c r="DMM441" s="23"/>
      <c r="DMN441" s="23"/>
      <c r="DMO441" s="23"/>
      <c r="DMP441" s="23"/>
      <c r="DMQ441" s="23"/>
      <c r="DMR441" s="23"/>
      <c r="DMS441" s="23"/>
      <c r="DMT441" s="23"/>
      <c r="DMU441" s="23"/>
      <c r="DMV441" s="23"/>
      <c r="DMW441" s="23"/>
      <c r="DMX441" s="23"/>
      <c r="DMY441" s="23"/>
      <c r="DMZ441" s="23"/>
      <c r="DNA441" s="23"/>
      <c r="DNB441" s="23"/>
      <c r="DNC441" s="23"/>
      <c r="DND441" s="23"/>
      <c r="DNE441" s="23"/>
      <c r="DNF441" s="23"/>
      <c r="DNG441" s="23"/>
      <c r="DNH441" s="23"/>
      <c r="DNI441" s="23"/>
      <c r="DNJ441" s="23"/>
      <c r="DNK441" s="23"/>
      <c r="DNL441" s="23"/>
      <c r="DNM441" s="23"/>
      <c r="DNN441" s="23"/>
      <c r="DNO441" s="23"/>
      <c r="DNP441" s="23"/>
      <c r="DNQ441" s="23"/>
      <c r="DNR441" s="23"/>
      <c r="DNS441" s="23"/>
      <c r="DNT441" s="23"/>
      <c r="DNU441" s="23"/>
      <c r="DNV441" s="23"/>
      <c r="DNW441" s="23"/>
      <c r="DNX441" s="23"/>
      <c r="DNY441" s="23"/>
      <c r="DNZ441" s="23"/>
      <c r="DOA441" s="23"/>
      <c r="DOB441" s="23"/>
      <c r="DOC441" s="23"/>
      <c r="DOD441" s="23"/>
      <c r="DOE441" s="23"/>
      <c r="DOF441" s="23"/>
      <c r="DOG441" s="23"/>
      <c r="DOH441" s="23"/>
      <c r="DOI441" s="23"/>
      <c r="DOJ441" s="23"/>
      <c r="DOK441" s="23"/>
      <c r="DOL441" s="23"/>
      <c r="DOM441" s="23"/>
      <c r="DON441" s="23"/>
      <c r="DOO441" s="23"/>
      <c r="DOP441" s="23"/>
      <c r="DOQ441" s="23"/>
      <c r="DOR441" s="23"/>
      <c r="DOS441" s="23"/>
      <c r="DOT441" s="23"/>
      <c r="DOU441" s="23"/>
      <c r="DOV441" s="23"/>
      <c r="DOW441" s="23"/>
      <c r="DOX441" s="23"/>
      <c r="DOY441" s="23"/>
      <c r="DOZ441" s="23"/>
      <c r="DPA441" s="23"/>
      <c r="DPB441" s="23"/>
      <c r="DPC441" s="23"/>
      <c r="DPD441" s="23"/>
      <c r="DPE441" s="23"/>
      <c r="DPF441" s="23"/>
      <c r="DPG441" s="23"/>
      <c r="DPH441" s="23"/>
      <c r="DPI441" s="23"/>
      <c r="DPJ441" s="23"/>
      <c r="DPK441" s="23"/>
      <c r="DPL441" s="23"/>
      <c r="DPM441" s="23"/>
      <c r="DPN441" s="23"/>
      <c r="DPO441" s="23"/>
      <c r="DPP441" s="23"/>
      <c r="DPQ441" s="23"/>
      <c r="DPR441" s="23"/>
      <c r="DPS441" s="23"/>
      <c r="DPT441" s="23"/>
      <c r="DPU441" s="23"/>
      <c r="DPV441" s="23"/>
      <c r="DPW441" s="23"/>
      <c r="DPX441" s="23"/>
      <c r="DPY441" s="23"/>
      <c r="DPZ441" s="23"/>
      <c r="DQA441" s="23"/>
      <c r="DQB441" s="23"/>
      <c r="DQC441" s="23"/>
      <c r="DQD441" s="23"/>
      <c r="DQE441" s="23"/>
      <c r="DQF441" s="23"/>
      <c r="DQG441" s="23"/>
      <c r="DQH441" s="23"/>
      <c r="DQI441" s="23"/>
      <c r="DQJ441" s="23"/>
      <c r="DQK441" s="23"/>
      <c r="DQL441" s="23"/>
      <c r="DQM441" s="23"/>
      <c r="DQN441" s="23"/>
      <c r="DQO441" s="23"/>
      <c r="DQP441" s="23"/>
      <c r="DQQ441" s="23"/>
      <c r="DQR441" s="23"/>
      <c r="DQS441" s="23"/>
      <c r="DQT441" s="23"/>
      <c r="DQU441" s="23"/>
      <c r="DQV441" s="23"/>
      <c r="DQW441" s="23"/>
      <c r="DQX441" s="23"/>
      <c r="DQY441" s="23"/>
      <c r="DQZ441" s="23"/>
      <c r="DRA441" s="23"/>
      <c r="DRB441" s="23"/>
      <c r="DRC441" s="23"/>
      <c r="DRD441" s="23"/>
      <c r="DRE441" s="23"/>
      <c r="DRF441" s="23"/>
      <c r="DRG441" s="23"/>
      <c r="DRH441" s="23"/>
      <c r="DRI441" s="23"/>
      <c r="DRJ441" s="23"/>
      <c r="DRK441" s="23"/>
      <c r="DRL441" s="23"/>
      <c r="DRM441" s="23"/>
      <c r="DRN441" s="23"/>
      <c r="DRO441" s="23"/>
      <c r="DRP441" s="23"/>
      <c r="DRQ441" s="23"/>
      <c r="DRR441" s="23"/>
      <c r="DRS441" s="23"/>
      <c r="DRT441" s="23"/>
      <c r="DRU441" s="23"/>
      <c r="DRV441" s="23"/>
      <c r="DRW441" s="23"/>
      <c r="DRX441" s="23"/>
      <c r="DRY441" s="23"/>
      <c r="DRZ441" s="23"/>
      <c r="DSA441" s="23"/>
      <c r="DSB441" s="23"/>
      <c r="DSC441" s="23"/>
      <c r="DSD441" s="23"/>
      <c r="DSE441" s="23"/>
      <c r="DSF441" s="23"/>
      <c r="DSG441" s="23"/>
      <c r="DSH441" s="23"/>
      <c r="DSI441" s="23"/>
      <c r="DSJ441" s="23"/>
      <c r="DSK441" s="23"/>
      <c r="DSL441" s="23"/>
      <c r="DSM441" s="23"/>
      <c r="DSN441" s="23"/>
      <c r="DSO441" s="23"/>
      <c r="DSP441" s="23"/>
      <c r="DSQ441" s="23"/>
      <c r="DSR441" s="23"/>
      <c r="DSS441" s="23"/>
      <c r="DST441" s="23"/>
      <c r="DSU441" s="23"/>
      <c r="DSV441" s="23"/>
      <c r="DSW441" s="23"/>
      <c r="DSX441" s="23"/>
      <c r="DSY441" s="23"/>
      <c r="DSZ441" s="23"/>
      <c r="DTA441" s="23"/>
      <c r="DTB441" s="23"/>
      <c r="DTC441" s="23"/>
      <c r="DTD441" s="23"/>
      <c r="DTE441" s="23"/>
      <c r="DTF441" s="23"/>
      <c r="DTG441" s="23"/>
      <c r="DTH441" s="23"/>
      <c r="DTI441" s="23"/>
      <c r="DTJ441" s="23"/>
      <c r="DTK441" s="23"/>
      <c r="DTL441" s="23"/>
      <c r="DTM441" s="23"/>
      <c r="DTN441" s="23"/>
      <c r="DTO441" s="23"/>
      <c r="DTP441" s="23"/>
      <c r="DTQ441" s="23"/>
      <c r="DTR441" s="23"/>
      <c r="DTS441" s="23"/>
      <c r="DTT441" s="23"/>
      <c r="DTU441" s="23"/>
      <c r="DTV441" s="23"/>
      <c r="DTW441" s="23"/>
      <c r="DTX441" s="23"/>
      <c r="DTY441" s="23"/>
      <c r="DTZ441" s="23"/>
      <c r="DUA441" s="23"/>
      <c r="DUB441" s="23"/>
      <c r="DUC441" s="23"/>
      <c r="DUD441" s="23"/>
      <c r="DUE441" s="23"/>
      <c r="DUF441" s="23"/>
      <c r="DUG441" s="23"/>
      <c r="DUH441" s="23"/>
      <c r="DUI441" s="23"/>
      <c r="DUJ441" s="23"/>
      <c r="DUK441" s="23"/>
      <c r="DUL441" s="23"/>
      <c r="DUM441" s="23"/>
      <c r="DUN441" s="23"/>
      <c r="DUO441" s="23"/>
      <c r="DUP441" s="23"/>
      <c r="DUQ441" s="23"/>
      <c r="DUR441" s="23"/>
      <c r="DUS441" s="23"/>
      <c r="DUT441" s="23"/>
      <c r="DUU441" s="23"/>
      <c r="DUV441" s="23"/>
      <c r="DUW441" s="23"/>
      <c r="DUX441" s="23"/>
      <c r="DUY441" s="23"/>
      <c r="DUZ441" s="23"/>
      <c r="DVA441" s="23"/>
      <c r="DVB441" s="23"/>
      <c r="DVC441" s="23"/>
      <c r="DVD441" s="23"/>
      <c r="DVE441" s="23"/>
      <c r="DVF441" s="23"/>
      <c r="DVG441" s="23"/>
      <c r="DVH441" s="23"/>
      <c r="DVI441" s="23"/>
      <c r="DVJ441" s="23"/>
      <c r="DVK441" s="23"/>
      <c r="DVL441" s="23"/>
      <c r="DVM441" s="23"/>
      <c r="DVN441" s="23"/>
      <c r="DVO441" s="23"/>
      <c r="DVP441" s="23"/>
      <c r="DVQ441" s="23"/>
      <c r="DVR441" s="23"/>
      <c r="DVS441" s="23"/>
      <c r="DVT441" s="23"/>
      <c r="DVU441" s="23"/>
      <c r="DVV441" s="23"/>
      <c r="DVW441" s="23"/>
      <c r="DVX441" s="23"/>
      <c r="DVY441" s="23"/>
      <c r="DVZ441" s="23"/>
      <c r="DWA441" s="23"/>
      <c r="DWB441" s="23"/>
      <c r="DWC441" s="23"/>
      <c r="DWD441" s="23"/>
      <c r="DWE441" s="23"/>
      <c r="DWF441" s="23"/>
      <c r="DWG441" s="23"/>
      <c r="DWH441" s="23"/>
      <c r="DWI441" s="23"/>
      <c r="DWJ441" s="23"/>
      <c r="DWK441" s="23"/>
      <c r="DWL441" s="23"/>
      <c r="DWM441" s="23"/>
      <c r="DWN441" s="23"/>
      <c r="DWO441" s="23"/>
      <c r="DWP441" s="23"/>
      <c r="DWQ441" s="23"/>
      <c r="DWR441" s="23"/>
      <c r="DWS441" s="23"/>
      <c r="DWT441" s="23"/>
      <c r="DWU441" s="23"/>
      <c r="DWV441" s="23"/>
      <c r="DWW441" s="23"/>
      <c r="DWX441" s="23"/>
      <c r="DWY441" s="23"/>
      <c r="DWZ441" s="23"/>
      <c r="DXA441" s="23"/>
      <c r="DXB441" s="23"/>
      <c r="DXC441" s="23"/>
      <c r="DXD441" s="23"/>
      <c r="DXE441" s="23"/>
      <c r="DXF441" s="23"/>
      <c r="DXG441" s="23"/>
      <c r="DXH441" s="23"/>
      <c r="DXI441" s="23"/>
      <c r="DXJ441" s="23"/>
      <c r="DXK441" s="23"/>
      <c r="DXL441" s="23"/>
      <c r="DXM441" s="23"/>
      <c r="DXN441" s="23"/>
      <c r="DXO441" s="23"/>
      <c r="DXP441" s="23"/>
      <c r="DXQ441" s="23"/>
      <c r="DXR441" s="23"/>
      <c r="DXS441" s="23"/>
      <c r="DXT441" s="23"/>
      <c r="DXU441" s="23"/>
      <c r="DXV441" s="23"/>
      <c r="DXW441" s="23"/>
      <c r="DXX441" s="23"/>
      <c r="DXY441" s="23"/>
      <c r="DXZ441" s="23"/>
      <c r="DYA441" s="23"/>
      <c r="DYB441" s="23"/>
      <c r="DYC441" s="23"/>
      <c r="DYD441" s="23"/>
      <c r="DYE441" s="23"/>
      <c r="DYF441" s="23"/>
      <c r="DYG441" s="23"/>
      <c r="DYH441" s="23"/>
      <c r="DYI441" s="23"/>
      <c r="DYJ441" s="23"/>
      <c r="DYK441" s="23"/>
      <c r="DYL441" s="23"/>
      <c r="DYM441" s="23"/>
      <c r="DYN441" s="23"/>
      <c r="DYO441" s="23"/>
      <c r="DYP441" s="23"/>
      <c r="DYQ441" s="23"/>
      <c r="DYR441" s="23"/>
      <c r="DYS441" s="23"/>
      <c r="DYT441" s="23"/>
      <c r="DYU441" s="23"/>
      <c r="DYV441" s="23"/>
      <c r="DYW441" s="23"/>
      <c r="DYX441" s="23"/>
      <c r="DYY441" s="23"/>
      <c r="DYZ441" s="23"/>
      <c r="DZA441" s="23"/>
      <c r="DZB441" s="23"/>
      <c r="DZC441" s="23"/>
      <c r="DZD441" s="23"/>
      <c r="DZE441" s="23"/>
      <c r="DZF441" s="23"/>
      <c r="DZG441" s="23"/>
      <c r="DZH441" s="23"/>
      <c r="DZI441" s="23"/>
      <c r="DZJ441" s="23"/>
      <c r="DZK441" s="23"/>
      <c r="DZL441" s="23"/>
      <c r="DZM441" s="23"/>
      <c r="DZN441" s="23"/>
      <c r="DZO441" s="23"/>
      <c r="DZP441" s="23"/>
      <c r="DZQ441" s="23"/>
      <c r="DZR441" s="23"/>
      <c r="DZS441" s="23"/>
      <c r="DZT441" s="23"/>
      <c r="DZU441" s="23"/>
      <c r="DZV441" s="23"/>
      <c r="DZW441" s="23"/>
      <c r="DZX441" s="23"/>
      <c r="DZY441" s="23"/>
      <c r="DZZ441" s="23"/>
      <c r="EAA441" s="23"/>
      <c r="EAB441" s="23"/>
      <c r="EAC441" s="23"/>
      <c r="EAD441" s="23"/>
      <c r="EAE441" s="23"/>
      <c r="EAF441" s="23"/>
      <c r="EAG441" s="23"/>
      <c r="EAH441" s="23"/>
      <c r="EAI441" s="23"/>
      <c r="EAJ441" s="23"/>
      <c r="EAK441" s="23"/>
      <c r="EAL441" s="23"/>
      <c r="EAM441" s="23"/>
      <c r="EAN441" s="23"/>
      <c r="EAO441" s="23"/>
      <c r="EAP441" s="23"/>
      <c r="EAQ441" s="23"/>
      <c r="EAR441" s="23"/>
      <c r="EAS441" s="23"/>
      <c r="EAT441" s="23"/>
      <c r="EAU441" s="23"/>
      <c r="EAV441" s="23"/>
      <c r="EAW441" s="23"/>
      <c r="EAX441" s="23"/>
      <c r="EAY441" s="23"/>
      <c r="EAZ441" s="23"/>
      <c r="EBA441" s="23"/>
      <c r="EBB441" s="23"/>
      <c r="EBC441" s="23"/>
      <c r="EBD441" s="23"/>
      <c r="EBE441" s="23"/>
      <c r="EBF441" s="23"/>
      <c r="EBG441" s="23"/>
      <c r="EBH441" s="23"/>
      <c r="EBI441" s="23"/>
      <c r="EBJ441" s="23"/>
      <c r="EBK441" s="23"/>
      <c r="EBL441" s="23"/>
      <c r="EBM441" s="23"/>
      <c r="EBN441" s="23"/>
      <c r="EBO441" s="23"/>
      <c r="EBP441" s="23"/>
      <c r="EBQ441" s="23"/>
      <c r="EBR441" s="23"/>
      <c r="EBS441" s="23"/>
      <c r="EBT441" s="23"/>
      <c r="EBU441" s="23"/>
      <c r="EBV441" s="23"/>
      <c r="EBW441" s="23"/>
      <c r="EBX441" s="23"/>
      <c r="EBY441" s="23"/>
      <c r="EBZ441" s="23"/>
      <c r="ECA441" s="23"/>
      <c r="ECB441" s="23"/>
      <c r="ECC441" s="23"/>
      <c r="ECD441" s="23"/>
      <c r="ECE441" s="23"/>
      <c r="ECF441" s="23"/>
      <c r="ECG441" s="23"/>
      <c r="ECH441" s="23"/>
      <c r="ECI441" s="23"/>
      <c r="ECJ441" s="23"/>
      <c r="ECK441" s="23"/>
      <c r="ECL441" s="23"/>
      <c r="ECM441" s="23"/>
      <c r="ECN441" s="23"/>
      <c r="ECO441" s="23"/>
      <c r="ECP441" s="23"/>
      <c r="ECQ441" s="23"/>
      <c r="ECR441" s="23"/>
      <c r="ECS441" s="23"/>
      <c r="ECT441" s="23"/>
      <c r="ECU441" s="23"/>
      <c r="ECV441" s="23"/>
      <c r="ECW441" s="23"/>
      <c r="ECX441" s="23"/>
      <c r="ECY441" s="23"/>
      <c r="ECZ441" s="23"/>
      <c r="EDA441" s="23"/>
      <c r="EDB441" s="23"/>
      <c r="EDC441" s="23"/>
      <c r="EDD441" s="23"/>
      <c r="EDE441" s="23"/>
      <c r="EDF441" s="23"/>
      <c r="EDG441" s="23"/>
      <c r="EDH441" s="23"/>
      <c r="EDI441" s="23"/>
      <c r="EDJ441" s="23"/>
      <c r="EDK441" s="23"/>
      <c r="EDL441" s="23"/>
      <c r="EDM441" s="23"/>
      <c r="EDN441" s="23"/>
      <c r="EDO441" s="23"/>
      <c r="EDP441" s="23"/>
      <c r="EDQ441" s="23"/>
      <c r="EDR441" s="23"/>
      <c r="EDS441" s="23"/>
      <c r="EDT441" s="23"/>
      <c r="EDU441" s="23"/>
      <c r="EDV441" s="23"/>
      <c r="EDW441" s="23"/>
      <c r="EDX441" s="23"/>
      <c r="EDY441" s="23"/>
      <c r="EDZ441" s="23"/>
      <c r="EEA441" s="23"/>
      <c r="EEB441" s="23"/>
      <c r="EEC441" s="23"/>
      <c r="EED441" s="23"/>
      <c r="EEE441" s="23"/>
      <c r="EEF441" s="23"/>
      <c r="EEG441" s="23"/>
      <c r="EEH441" s="23"/>
      <c r="EEI441" s="23"/>
      <c r="EEJ441" s="23"/>
      <c r="EEK441" s="23"/>
      <c r="EEL441" s="23"/>
      <c r="EEM441" s="23"/>
      <c r="EEN441" s="23"/>
      <c r="EEO441" s="23"/>
      <c r="EEP441" s="23"/>
      <c r="EEQ441" s="23"/>
      <c r="EER441" s="23"/>
      <c r="EES441" s="23"/>
      <c r="EET441" s="23"/>
      <c r="EEU441" s="23"/>
      <c r="EEV441" s="23"/>
      <c r="EEW441" s="23"/>
      <c r="EEX441" s="23"/>
      <c r="EEY441" s="23"/>
      <c r="EEZ441" s="23"/>
      <c r="EFA441" s="23"/>
      <c r="EFB441" s="23"/>
      <c r="EFC441" s="23"/>
      <c r="EFD441" s="23"/>
      <c r="EFE441" s="23"/>
      <c r="EFF441" s="23"/>
      <c r="EFG441" s="23"/>
      <c r="EFH441" s="23"/>
      <c r="EFI441" s="23"/>
      <c r="EFJ441" s="23"/>
      <c r="EFK441" s="23"/>
      <c r="EFL441" s="23"/>
      <c r="EFM441" s="23"/>
      <c r="EFN441" s="23"/>
      <c r="EFO441" s="23"/>
      <c r="EFP441" s="23"/>
      <c r="EFQ441" s="23"/>
      <c r="EFR441" s="23"/>
      <c r="EFS441" s="23"/>
      <c r="EFT441" s="23"/>
      <c r="EFU441" s="23"/>
      <c r="EFV441" s="23"/>
      <c r="EFW441" s="23"/>
      <c r="EFX441" s="23"/>
      <c r="EFY441" s="23"/>
      <c r="EFZ441" s="23"/>
      <c r="EGA441" s="23"/>
      <c r="EGB441" s="23"/>
      <c r="EGC441" s="23"/>
      <c r="EGD441" s="23"/>
      <c r="EGE441" s="23"/>
      <c r="EGF441" s="23"/>
      <c r="EGG441" s="23"/>
      <c r="EGH441" s="23"/>
      <c r="EGI441" s="23"/>
      <c r="EGJ441" s="23"/>
      <c r="EGK441" s="23"/>
      <c r="EGL441" s="23"/>
      <c r="EGM441" s="23"/>
      <c r="EGN441" s="23"/>
      <c r="EGO441" s="23"/>
      <c r="EGP441" s="23"/>
      <c r="EGQ441" s="23"/>
      <c r="EGR441" s="23"/>
      <c r="EGS441" s="23"/>
      <c r="EGT441" s="23"/>
      <c r="EGU441" s="23"/>
      <c r="EGV441" s="23"/>
      <c r="EGW441" s="23"/>
      <c r="EGX441" s="23"/>
      <c r="EGY441" s="23"/>
      <c r="EGZ441" s="23"/>
      <c r="EHA441" s="23"/>
      <c r="EHB441" s="23"/>
      <c r="EHC441" s="23"/>
      <c r="EHD441" s="23"/>
      <c r="EHE441" s="23"/>
      <c r="EHF441" s="23"/>
      <c r="EHG441" s="23"/>
      <c r="EHH441" s="23"/>
      <c r="EHI441" s="23"/>
      <c r="EHJ441" s="23"/>
      <c r="EHK441" s="23"/>
      <c r="EHL441" s="23"/>
      <c r="EHM441" s="23"/>
      <c r="EHN441" s="23"/>
      <c r="EHO441" s="23"/>
      <c r="EHP441" s="23"/>
      <c r="EHQ441" s="23"/>
      <c r="EHR441" s="23"/>
      <c r="EHS441" s="23"/>
      <c r="EHT441" s="23"/>
      <c r="EHU441" s="23"/>
      <c r="EHV441" s="23"/>
      <c r="EHW441" s="23"/>
      <c r="EHX441" s="23"/>
      <c r="EHY441" s="23"/>
      <c r="EHZ441" s="23"/>
      <c r="EIA441" s="23"/>
      <c r="EIB441" s="23"/>
      <c r="EIC441" s="23"/>
      <c r="EID441" s="23"/>
      <c r="EIE441" s="23"/>
      <c r="EIF441" s="23"/>
      <c r="EIG441" s="23"/>
      <c r="EIH441" s="23"/>
      <c r="EII441" s="23"/>
      <c r="EIJ441" s="23"/>
      <c r="EIK441" s="23"/>
      <c r="EIL441" s="23"/>
      <c r="EIM441" s="23"/>
      <c r="EIN441" s="23"/>
      <c r="EIO441" s="23"/>
      <c r="EIP441" s="23"/>
      <c r="EIQ441" s="23"/>
      <c r="EIR441" s="23"/>
      <c r="EIS441" s="23"/>
      <c r="EIT441" s="23"/>
      <c r="EIU441" s="23"/>
      <c r="EIV441" s="23"/>
      <c r="EIW441" s="23"/>
      <c r="EIX441" s="23"/>
      <c r="EIY441" s="23"/>
      <c r="EIZ441" s="23"/>
      <c r="EJA441" s="23"/>
      <c r="EJB441" s="23"/>
      <c r="EJC441" s="23"/>
      <c r="EJD441" s="23"/>
      <c r="EJE441" s="23"/>
      <c r="EJF441" s="23"/>
      <c r="EJG441" s="23"/>
      <c r="EJH441" s="23"/>
      <c r="EJI441" s="23"/>
      <c r="EJJ441" s="23"/>
      <c r="EJK441" s="23"/>
      <c r="EJL441" s="23"/>
      <c r="EJM441" s="23"/>
      <c r="EJN441" s="23"/>
      <c r="EJO441" s="23"/>
      <c r="EJP441" s="23"/>
      <c r="EJQ441" s="23"/>
      <c r="EJR441" s="23"/>
      <c r="EJS441" s="23"/>
      <c r="EJT441" s="23"/>
      <c r="EJU441" s="23"/>
      <c r="EJV441" s="23"/>
      <c r="EJW441" s="23"/>
      <c r="EJX441" s="23"/>
      <c r="EJY441" s="23"/>
      <c r="EJZ441" s="23"/>
      <c r="EKA441" s="23"/>
      <c r="EKB441" s="23"/>
      <c r="EKC441" s="23"/>
      <c r="EKD441" s="23"/>
      <c r="EKE441" s="23"/>
      <c r="EKF441" s="23"/>
      <c r="EKG441" s="23"/>
      <c r="EKH441" s="23"/>
      <c r="EKI441" s="23"/>
      <c r="EKJ441" s="23"/>
      <c r="EKK441" s="23"/>
      <c r="EKL441" s="23"/>
      <c r="EKM441" s="23"/>
      <c r="EKN441" s="23"/>
      <c r="EKO441" s="23"/>
      <c r="EKP441" s="23"/>
      <c r="EKQ441" s="23"/>
      <c r="EKR441" s="23"/>
      <c r="EKS441" s="23"/>
      <c r="EKT441" s="23"/>
      <c r="EKU441" s="23"/>
      <c r="EKV441" s="23"/>
      <c r="EKW441" s="23"/>
      <c r="EKX441" s="23"/>
      <c r="EKY441" s="23"/>
      <c r="EKZ441" s="23"/>
      <c r="ELA441" s="23"/>
      <c r="ELB441" s="23"/>
      <c r="ELC441" s="23"/>
      <c r="ELD441" s="23"/>
      <c r="ELE441" s="23"/>
      <c r="ELF441" s="23"/>
      <c r="ELG441" s="23"/>
      <c r="ELH441" s="23"/>
      <c r="ELI441" s="23"/>
      <c r="ELJ441" s="23"/>
      <c r="ELK441" s="23"/>
      <c r="ELL441" s="23"/>
      <c r="ELM441" s="23"/>
      <c r="ELN441" s="23"/>
      <c r="ELO441" s="23"/>
      <c r="ELP441" s="23"/>
      <c r="ELQ441" s="23"/>
      <c r="ELR441" s="23"/>
      <c r="ELS441" s="23"/>
      <c r="ELT441" s="23"/>
      <c r="ELU441" s="23"/>
      <c r="ELV441" s="23"/>
      <c r="ELW441" s="23"/>
      <c r="ELX441" s="23"/>
      <c r="ELY441" s="23"/>
      <c r="ELZ441" s="23"/>
      <c r="EMA441" s="23"/>
      <c r="EMB441" s="23"/>
      <c r="EMC441" s="23"/>
      <c r="EMD441" s="23"/>
      <c r="EME441" s="23"/>
      <c r="EMF441" s="23"/>
      <c r="EMG441" s="23"/>
      <c r="EMH441" s="23"/>
      <c r="EMI441" s="23"/>
      <c r="EMJ441" s="23"/>
      <c r="EMK441" s="23"/>
      <c r="EML441" s="23"/>
      <c r="EMM441" s="23"/>
      <c r="EMN441" s="23"/>
      <c r="EMO441" s="23"/>
      <c r="EMP441" s="23"/>
      <c r="EMQ441" s="23"/>
      <c r="EMR441" s="23"/>
      <c r="EMS441" s="23"/>
      <c r="EMT441" s="23"/>
      <c r="EMU441" s="23"/>
      <c r="EMV441" s="23"/>
      <c r="EMW441" s="23"/>
      <c r="EMX441" s="23"/>
      <c r="EMY441" s="23"/>
      <c r="EMZ441" s="23"/>
      <c r="ENA441" s="23"/>
      <c r="ENB441" s="23"/>
      <c r="ENC441" s="23"/>
      <c r="END441" s="23"/>
      <c r="ENE441" s="23"/>
      <c r="ENF441" s="23"/>
      <c r="ENG441" s="23"/>
      <c r="ENH441" s="23"/>
      <c r="ENI441" s="23"/>
      <c r="ENJ441" s="23"/>
      <c r="ENK441" s="23"/>
      <c r="ENL441" s="23"/>
      <c r="ENM441" s="23"/>
      <c r="ENN441" s="23"/>
      <c r="ENO441" s="23"/>
      <c r="ENP441" s="23"/>
      <c r="ENQ441" s="23"/>
      <c r="ENR441" s="23"/>
      <c r="ENS441" s="23"/>
      <c r="ENT441" s="23"/>
      <c r="ENU441" s="23"/>
      <c r="ENV441" s="23"/>
      <c r="ENW441" s="23"/>
      <c r="ENX441" s="23"/>
      <c r="ENY441" s="23"/>
      <c r="ENZ441" s="23"/>
      <c r="EOA441" s="23"/>
      <c r="EOB441" s="23"/>
      <c r="EOC441" s="23"/>
      <c r="EOD441" s="23"/>
      <c r="EOE441" s="23"/>
      <c r="EOF441" s="23"/>
      <c r="EOG441" s="23"/>
      <c r="EOH441" s="23"/>
      <c r="EOI441" s="23"/>
      <c r="EOJ441" s="23"/>
      <c r="EOK441" s="23"/>
      <c r="EOL441" s="23"/>
      <c r="EOM441" s="23"/>
      <c r="EON441" s="23"/>
      <c r="EOO441" s="23"/>
      <c r="EOP441" s="23"/>
      <c r="EOQ441" s="23"/>
      <c r="EOR441" s="23"/>
      <c r="EOS441" s="23"/>
      <c r="EOT441" s="23"/>
      <c r="EOU441" s="23"/>
      <c r="EOV441" s="23"/>
      <c r="EOW441" s="23"/>
      <c r="EOX441" s="23"/>
      <c r="EOY441" s="23"/>
      <c r="EOZ441" s="23"/>
      <c r="EPA441" s="23"/>
      <c r="EPB441" s="23"/>
      <c r="EPC441" s="23"/>
      <c r="EPD441" s="23"/>
      <c r="EPE441" s="23"/>
      <c r="EPF441" s="23"/>
      <c r="EPG441" s="23"/>
      <c r="EPH441" s="23"/>
      <c r="EPI441" s="23"/>
      <c r="EPJ441" s="23"/>
      <c r="EPK441" s="23"/>
      <c r="EPL441" s="23"/>
      <c r="EPM441" s="23"/>
      <c r="EPN441" s="23"/>
      <c r="EPO441" s="23"/>
      <c r="EPP441" s="23"/>
      <c r="EPQ441" s="23"/>
      <c r="EPR441" s="23"/>
      <c r="EPS441" s="23"/>
      <c r="EPT441" s="23"/>
      <c r="EPU441" s="23"/>
      <c r="EPV441" s="23"/>
      <c r="EPW441" s="23"/>
      <c r="EPX441" s="23"/>
      <c r="EPY441" s="23"/>
      <c r="EPZ441" s="23"/>
      <c r="EQA441" s="23"/>
      <c r="EQB441" s="23"/>
      <c r="EQC441" s="23"/>
      <c r="EQD441" s="23"/>
      <c r="EQE441" s="23"/>
      <c r="EQF441" s="23"/>
      <c r="EQG441" s="23"/>
      <c r="EQH441" s="23"/>
      <c r="EQI441" s="23"/>
      <c r="EQJ441" s="23"/>
      <c r="EQK441" s="23"/>
      <c r="EQL441" s="23"/>
      <c r="EQM441" s="23"/>
      <c r="EQN441" s="23"/>
      <c r="EQO441" s="23"/>
      <c r="EQP441" s="23"/>
      <c r="EQQ441" s="23"/>
      <c r="EQR441" s="23"/>
      <c r="EQS441" s="23"/>
      <c r="EQT441" s="23"/>
      <c r="EQU441" s="23"/>
      <c r="EQV441" s="23"/>
      <c r="EQW441" s="23"/>
      <c r="EQX441" s="23"/>
      <c r="EQY441" s="23"/>
      <c r="EQZ441" s="23"/>
      <c r="ERA441" s="23"/>
      <c r="ERB441" s="23"/>
      <c r="ERC441" s="23"/>
      <c r="ERD441" s="23"/>
      <c r="ERE441" s="23"/>
      <c r="ERF441" s="23"/>
      <c r="ERG441" s="23"/>
      <c r="ERH441" s="23"/>
      <c r="ERI441" s="23"/>
      <c r="ERJ441" s="23"/>
      <c r="ERK441" s="23"/>
      <c r="ERL441" s="23"/>
      <c r="ERM441" s="23"/>
      <c r="ERN441" s="23"/>
      <c r="ERO441" s="23"/>
      <c r="ERP441" s="23"/>
      <c r="ERQ441" s="23"/>
      <c r="ERR441" s="23"/>
      <c r="ERS441" s="23"/>
      <c r="ERT441" s="23"/>
      <c r="ERU441" s="23"/>
      <c r="ERV441" s="23"/>
      <c r="ERW441" s="23"/>
      <c r="ERX441" s="23"/>
      <c r="ERY441" s="23"/>
      <c r="ERZ441" s="23"/>
      <c r="ESA441" s="23"/>
      <c r="ESB441" s="23"/>
      <c r="ESC441" s="23"/>
      <c r="ESD441" s="23"/>
      <c r="ESE441" s="23"/>
      <c r="ESF441" s="23"/>
      <c r="ESG441" s="23"/>
      <c r="ESH441" s="23"/>
      <c r="ESI441" s="23"/>
      <c r="ESJ441" s="23"/>
      <c r="ESK441" s="23"/>
      <c r="ESL441" s="23"/>
      <c r="ESM441" s="23"/>
      <c r="ESN441" s="23"/>
      <c r="ESO441" s="23"/>
      <c r="ESP441" s="23"/>
      <c r="ESQ441" s="23"/>
      <c r="ESR441" s="23"/>
      <c r="ESS441" s="23"/>
      <c r="EST441" s="23"/>
      <c r="ESU441" s="23"/>
      <c r="ESV441" s="23"/>
      <c r="ESW441" s="23"/>
      <c r="ESX441" s="23"/>
      <c r="ESY441" s="23"/>
      <c r="ESZ441" s="23"/>
      <c r="ETA441" s="23"/>
      <c r="ETB441" s="23"/>
      <c r="ETC441" s="23"/>
      <c r="ETD441" s="23"/>
      <c r="ETE441" s="23"/>
      <c r="ETF441" s="23"/>
      <c r="ETG441" s="23"/>
      <c r="ETH441" s="23"/>
      <c r="ETI441" s="23"/>
      <c r="ETJ441" s="23"/>
      <c r="ETK441" s="23"/>
      <c r="ETL441" s="23"/>
      <c r="ETM441" s="23"/>
      <c r="ETN441" s="23"/>
      <c r="ETO441" s="23"/>
      <c r="ETP441" s="23"/>
      <c r="ETQ441" s="23"/>
      <c r="ETR441" s="23"/>
      <c r="ETS441" s="23"/>
      <c r="ETT441" s="23"/>
      <c r="ETU441" s="23"/>
      <c r="ETV441" s="23"/>
      <c r="ETW441" s="23"/>
      <c r="ETX441" s="23"/>
      <c r="ETY441" s="23"/>
      <c r="ETZ441" s="23"/>
      <c r="EUA441" s="23"/>
      <c r="EUB441" s="23"/>
      <c r="EUC441" s="23"/>
      <c r="EUD441" s="23"/>
      <c r="EUE441" s="23"/>
      <c r="EUF441" s="23"/>
      <c r="EUG441" s="23"/>
      <c r="EUH441" s="23"/>
      <c r="EUI441" s="23"/>
      <c r="EUJ441" s="23"/>
      <c r="EUK441" s="23"/>
      <c r="EUL441" s="23"/>
      <c r="EUM441" s="23"/>
      <c r="EUN441" s="23"/>
      <c r="EUO441" s="23"/>
      <c r="EUP441" s="23"/>
      <c r="EUQ441" s="23"/>
      <c r="EUR441" s="23"/>
      <c r="EUS441" s="23"/>
      <c r="EUT441" s="23"/>
      <c r="EUU441" s="23"/>
      <c r="EUV441" s="23"/>
      <c r="EUW441" s="23"/>
      <c r="EUX441" s="23"/>
      <c r="EUY441" s="23"/>
      <c r="EUZ441" s="23"/>
      <c r="EVA441" s="23"/>
      <c r="EVB441" s="23"/>
      <c r="EVC441" s="23"/>
      <c r="EVD441" s="23"/>
      <c r="EVE441" s="23"/>
      <c r="EVF441" s="23"/>
      <c r="EVG441" s="23"/>
      <c r="EVH441" s="23"/>
      <c r="EVI441" s="23"/>
      <c r="EVJ441" s="23"/>
      <c r="EVK441" s="23"/>
      <c r="EVL441" s="23"/>
      <c r="EVM441" s="23"/>
      <c r="EVN441" s="23"/>
      <c r="EVO441" s="23"/>
      <c r="EVP441" s="23"/>
      <c r="EVQ441" s="23"/>
      <c r="EVR441" s="23"/>
      <c r="EVS441" s="23"/>
      <c r="EVT441" s="23"/>
      <c r="EVU441" s="23"/>
      <c r="EVV441" s="23"/>
      <c r="EVW441" s="23"/>
      <c r="EVX441" s="23"/>
      <c r="EVY441" s="23"/>
      <c r="EVZ441" s="23"/>
      <c r="EWA441" s="23"/>
      <c r="EWB441" s="23"/>
      <c r="EWC441" s="23"/>
      <c r="EWD441" s="23"/>
      <c r="EWE441" s="23"/>
      <c r="EWF441" s="23"/>
      <c r="EWG441" s="23"/>
      <c r="EWH441" s="23"/>
      <c r="EWI441" s="23"/>
      <c r="EWJ441" s="23"/>
      <c r="EWK441" s="23"/>
      <c r="EWL441" s="23"/>
      <c r="EWM441" s="23"/>
      <c r="EWN441" s="23"/>
      <c r="EWO441" s="23"/>
      <c r="EWP441" s="23"/>
      <c r="EWQ441" s="23"/>
      <c r="EWR441" s="23"/>
      <c r="EWS441" s="23"/>
      <c r="EWT441" s="23"/>
      <c r="EWU441" s="23"/>
      <c r="EWV441" s="23"/>
      <c r="EWW441" s="23"/>
      <c r="EWX441" s="23"/>
      <c r="EWY441" s="23"/>
      <c r="EWZ441" s="23"/>
      <c r="EXA441" s="23"/>
      <c r="EXB441" s="23"/>
      <c r="EXC441" s="23"/>
      <c r="EXD441" s="23"/>
      <c r="EXE441" s="23"/>
      <c r="EXF441" s="23"/>
      <c r="EXG441" s="23"/>
      <c r="EXH441" s="23"/>
      <c r="EXI441" s="23"/>
      <c r="EXJ441" s="23"/>
      <c r="EXK441" s="23"/>
      <c r="EXL441" s="23"/>
      <c r="EXM441" s="23"/>
      <c r="EXN441" s="23"/>
      <c r="EXO441" s="23"/>
      <c r="EXP441" s="23"/>
      <c r="EXQ441" s="23"/>
      <c r="EXR441" s="23"/>
      <c r="EXS441" s="23"/>
      <c r="EXT441" s="23"/>
      <c r="EXU441" s="23"/>
      <c r="EXV441" s="23"/>
      <c r="EXW441" s="23"/>
      <c r="EXX441" s="23"/>
      <c r="EXY441" s="23"/>
      <c r="EXZ441" s="23"/>
      <c r="EYA441" s="23"/>
      <c r="EYB441" s="23"/>
      <c r="EYC441" s="23"/>
      <c r="EYD441" s="23"/>
      <c r="EYE441" s="23"/>
      <c r="EYF441" s="23"/>
      <c r="EYG441" s="23"/>
      <c r="EYH441" s="23"/>
      <c r="EYI441" s="23"/>
      <c r="EYJ441" s="23"/>
      <c r="EYK441" s="23"/>
      <c r="EYL441" s="23"/>
      <c r="EYM441" s="23"/>
      <c r="EYN441" s="23"/>
      <c r="EYO441" s="23"/>
      <c r="EYP441" s="23"/>
      <c r="EYQ441" s="23"/>
      <c r="EYR441" s="23"/>
      <c r="EYS441" s="23"/>
      <c r="EYT441" s="23"/>
      <c r="EYU441" s="23"/>
      <c r="EYV441" s="23"/>
      <c r="EYW441" s="23"/>
      <c r="EYX441" s="23"/>
      <c r="EYY441" s="23"/>
      <c r="EYZ441" s="23"/>
      <c r="EZA441" s="23"/>
      <c r="EZB441" s="23"/>
      <c r="EZC441" s="23"/>
      <c r="EZD441" s="23"/>
      <c r="EZE441" s="23"/>
      <c r="EZF441" s="23"/>
      <c r="EZG441" s="23"/>
      <c r="EZH441" s="23"/>
      <c r="EZI441" s="23"/>
      <c r="EZJ441" s="23"/>
      <c r="EZK441" s="23"/>
      <c r="EZL441" s="23"/>
      <c r="EZM441" s="23"/>
      <c r="EZN441" s="23"/>
      <c r="EZO441" s="23"/>
      <c r="EZP441" s="23"/>
      <c r="EZQ441" s="23"/>
      <c r="EZR441" s="23"/>
      <c r="EZS441" s="23"/>
      <c r="EZT441" s="23"/>
      <c r="EZU441" s="23"/>
      <c r="EZV441" s="23"/>
      <c r="EZW441" s="23"/>
      <c r="EZX441" s="23"/>
      <c r="EZY441" s="23"/>
      <c r="EZZ441" s="23"/>
      <c r="FAA441" s="23"/>
      <c r="FAB441" s="23"/>
      <c r="FAC441" s="23"/>
      <c r="FAD441" s="23"/>
      <c r="FAE441" s="23"/>
      <c r="FAF441" s="23"/>
      <c r="FAG441" s="23"/>
      <c r="FAH441" s="23"/>
      <c r="FAI441" s="23"/>
      <c r="FAJ441" s="23"/>
      <c r="FAK441" s="23"/>
      <c r="FAL441" s="23"/>
      <c r="FAM441" s="23"/>
      <c r="FAN441" s="23"/>
      <c r="FAO441" s="23"/>
      <c r="FAP441" s="23"/>
      <c r="FAQ441" s="23"/>
      <c r="FAR441" s="23"/>
      <c r="FAS441" s="23"/>
      <c r="FAT441" s="23"/>
      <c r="FAU441" s="23"/>
      <c r="FAV441" s="23"/>
      <c r="FAW441" s="23"/>
      <c r="FAX441" s="23"/>
      <c r="FAY441" s="23"/>
      <c r="FAZ441" s="23"/>
      <c r="FBA441" s="23"/>
      <c r="FBB441" s="23"/>
      <c r="FBC441" s="23"/>
      <c r="FBD441" s="23"/>
      <c r="FBE441" s="23"/>
      <c r="FBF441" s="23"/>
      <c r="FBG441" s="23"/>
      <c r="FBH441" s="23"/>
      <c r="FBI441" s="23"/>
      <c r="FBJ441" s="23"/>
      <c r="FBK441" s="23"/>
      <c r="FBL441" s="23"/>
      <c r="FBM441" s="23"/>
      <c r="FBN441" s="23"/>
      <c r="FBO441" s="23"/>
      <c r="FBP441" s="23"/>
      <c r="FBQ441" s="23"/>
      <c r="FBR441" s="23"/>
      <c r="FBS441" s="23"/>
      <c r="FBT441" s="23"/>
      <c r="FBU441" s="23"/>
      <c r="FBV441" s="23"/>
      <c r="FBW441" s="23"/>
      <c r="FBX441" s="23"/>
      <c r="FBY441" s="23"/>
      <c r="FBZ441" s="23"/>
      <c r="FCA441" s="23"/>
      <c r="FCB441" s="23"/>
      <c r="FCC441" s="23"/>
      <c r="FCD441" s="23"/>
      <c r="FCE441" s="23"/>
      <c r="FCF441" s="23"/>
      <c r="FCG441" s="23"/>
      <c r="FCH441" s="23"/>
      <c r="FCI441" s="23"/>
      <c r="FCJ441" s="23"/>
      <c r="FCK441" s="23"/>
      <c r="FCL441" s="23"/>
      <c r="FCM441" s="23"/>
      <c r="FCN441" s="23"/>
      <c r="FCO441" s="23"/>
      <c r="FCP441" s="23"/>
      <c r="FCQ441" s="23"/>
      <c r="FCR441" s="23"/>
      <c r="FCS441" s="23"/>
      <c r="FCT441" s="23"/>
      <c r="FCU441" s="23"/>
      <c r="FCV441" s="23"/>
      <c r="FCW441" s="23"/>
      <c r="FCX441" s="23"/>
      <c r="FCY441" s="23"/>
      <c r="FCZ441" s="23"/>
      <c r="FDA441" s="23"/>
      <c r="FDB441" s="23"/>
      <c r="FDC441" s="23"/>
      <c r="FDD441" s="23"/>
      <c r="FDE441" s="23"/>
      <c r="FDF441" s="23"/>
      <c r="FDG441" s="23"/>
      <c r="FDH441" s="23"/>
      <c r="FDI441" s="23"/>
      <c r="FDJ441" s="23"/>
      <c r="FDK441" s="23"/>
      <c r="FDL441" s="23"/>
      <c r="FDM441" s="23"/>
      <c r="FDN441" s="23"/>
      <c r="FDO441" s="23"/>
      <c r="FDP441" s="23"/>
      <c r="FDQ441" s="23"/>
      <c r="FDR441" s="23"/>
      <c r="FDS441" s="23"/>
      <c r="FDT441" s="23"/>
      <c r="FDU441" s="23"/>
      <c r="FDV441" s="23"/>
      <c r="FDW441" s="23"/>
      <c r="FDX441" s="23"/>
      <c r="FDY441" s="23"/>
      <c r="FDZ441" s="23"/>
      <c r="FEA441" s="23"/>
      <c r="FEB441" s="23"/>
      <c r="FEC441" s="23"/>
      <c r="FED441" s="23"/>
      <c r="FEE441" s="23"/>
      <c r="FEF441" s="23"/>
      <c r="FEG441" s="23"/>
      <c r="FEH441" s="23"/>
      <c r="FEI441" s="23"/>
      <c r="FEJ441" s="23"/>
      <c r="FEK441" s="23"/>
      <c r="FEL441" s="23"/>
      <c r="FEM441" s="23"/>
      <c r="FEN441" s="23"/>
      <c r="FEO441" s="23"/>
      <c r="FEP441" s="23"/>
      <c r="FEQ441" s="23"/>
      <c r="FER441" s="23"/>
      <c r="FES441" s="23"/>
      <c r="FET441" s="23"/>
      <c r="FEU441" s="23"/>
      <c r="FEV441" s="23"/>
      <c r="FEW441" s="23"/>
      <c r="FEX441" s="23"/>
      <c r="FEY441" s="23"/>
      <c r="FEZ441" s="23"/>
      <c r="FFA441" s="23"/>
      <c r="FFB441" s="23"/>
      <c r="FFC441" s="23"/>
      <c r="FFD441" s="23"/>
      <c r="FFE441" s="23"/>
      <c r="FFF441" s="23"/>
      <c r="FFG441" s="23"/>
      <c r="FFH441" s="23"/>
      <c r="FFI441" s="23"/>
      <c r="FFJ441" s="23"/>
      <c r="FFK441" s="23"/>
      <c r="FFL441" s="23"/>
      <c r="FFM441" s="23"/>
      <c r="FFN441" s="23"/>
      <c r="FFO441" s="23"/>
      <c r="FFP441" s="23"/>
      <c r="FFQ441" s="23"/>
      <c r="FFR441" s="23"/>
      <c r="FFS441" s="23"/>
      <c r="FFT441" s="23"/>
      <c r="FFU441" s="23"/>
      <c r="FFV441" s="23"/>
      <c r="FFW441" s="23"/>
      <c r="FFX441" s="23"/>
      <c r="FFY441" s="23"/>
      <c r="FFZ441" s="23"/>
      <c r="FGA441" s="23"/>
      <c r="FGB441" s="23"/>
      <c r="FGC441" s="23"/>
      <c r="FGD441" s="23"/>
      <c r="FGE441" s="23"/>
      <c r="FGF441" s="23"/>
      <c r="FGG441" s="23"/>
      <c r="FGH441" s="23"/>
      <c r="FGI441" s="23"/>
      <c r="FGJ441" s="23"/>
      <c r="FGK441" s="23"/>
      <c r="FGL441" s="23"/>
      <c r="FGM441" s="23"/>
      <c r="FGN441" s="23"/>
      <c r="FGO441" s="23"/>
      <c r="FGP441" s="23"/>
      <c r="FGQ441" s="23"/>
      <c r="FGR441" s="23"/>
      <c r="FGS441" s="23"/>
      <c r="FGT441" s="23"/>
      <c r="FGU441" s="23"/>
      <c r="FGV441" s="23"/>
      <c r="FGW441" s="23"/>
      <c r="FGX441" s="23"/>
      <c r="FGY441" s="23"/>
      <c r="FGZ441" s="23"/>
      <c r="FHA441" s="23"/>
      <c r="FHB441" s="23"/>
      <c r="FHC441" s="23"/>
      <c r="FHD441" s="23"/>
      <c r="FHE441" s="23"/>
      <c r="FHF441" s="23"/>
      <c r="FHG441" s="23"/>
      <c r="FHH441" s="23"/>
      <c r="FHI441" s="23"/>
      <c r="FHJ441" s="23"/>
      <c r="FHK441" s="23"/>
      <c r="FHL441" s="23"/>
      <c r="FHM441" s="23"/>
      <c r="FHN441" s="23"/>
      <c r="FHO441" s="23"/>
      <c r="FHP441" s="23"/>
      <c r="FHQ441" s="23"/>
      <c r="FHR441" s="23"/>
      <c r="FHS441" s="23"/>
      <c r="FHT441" s="23"/>
      <c r="FHU441" s="23"/>
      <c r="FHV441" s="23"/>
      <c r="FHW441" s="23"/>
      <c r="FHX441" s="23"/>
      <c r="FHY441" s="23"/>
      <c r="FHZ441" s="23"/>
      <c r="FIA441" s="23"/>
      <c r="FIB441" s="23"/>
      <c r="FIC441" s="23"/>
      <c r="FID441" s="23"/>
      <c r="FIE441" s="23"/>
      <c r="FIF441" s="23"/>
      <c r="FIG441" s="23"/>
      <c r="FIH441" s="23"/>
      <c r="FII441" s="23"/>
      <c r="FIJ441" s="23"/>
      <c r="FIK441" s="23"/>
      <c r="FIL441" s="23"/>
      <c r="FIM441" s="23"/>
      <c r="FIN441" s="23"/>
      <c r="FIO441" s="23"/>
      <c r="FIP441" s="23"/>
      <c r="FIQ441" s="23"/>
      <c r="FIR441" s="23"/>
      <c r="FIS441" s="23"/>
      <c r="FIT441" s="23"/>
      <c r="FIU441" s="23"/>
      <c r="FIV441" s="23"/>
      <c r="FIW441" s="23"/>
      <c r="FIX441" s="23"/>
      <c r="FIY441" s="23"/>
      <c r="FIZ441" s="23"/>
      <c r="FJA441" s="23"/>
      <c r="FJB441" s="23"/>
      <c r="FJC441" s="23"/>
      <c r="FJD441" s="23"/>
      <c r="FJE441" s="23"/>
      <c r="FJF441" s="23"/>
      <c r="FJG441" s="23"/>
      <c r="FJH441" s="23"/>
      <c r="FJI441" s="23"/>
      <c r="FJJ441" s="23"/>
      <c r="FJK441" s="23"/>
      <c r="FJL441" s="23"/>
      <c r="FJM441" s="23"/>
      <c r="FJN441" s="23"/>
      <c r="FJO441" s="23"/>
      <c r="FJP441" s="23"/>
      <c r="FJQ441" s="23"/>
      <c r="FJR441" s="23"/>
      <c r="FJS441" s="23"/>
      <c r="FJT441" s="23"/>
      <c r="FJU441" s="23"/>
      <c r="FJV441" s="23"/>
      <c r="FJW441" s="23"/>
      <c r="FJX441" s="23"/>
      <c r="FJY441" s="23"/>
      <c r="FJZ441" s="23"/>
      <c r="FKA441" s="23"/>
      <c r="FKB441" s="23"/>
      <c r="FKC441" s="23"/>
      <c r="FKD441" s="23"/>
      <c r="FKE441" s="23"/>
      <c r="FKF441" s="23"/>
      <c r="FKG441" s="23"/>
      <c r="FKH441" s="23"/>
      <c r="FKI441" s="23"/>
      <c r="FKJ441" s="23"/>
      <c r="FKK441" s="23"/>
      <c r="FKL441" s="23"/>
      <c r="FKM441" s="23"/>
      <c r="FKN441" s="23"/>
      <c r="FKO441" s="23"/>
      <c r="FKP441" s="23"/>
      <c r="FKQ441" s="23"/>
      <c r="FKR441" s="23"/>
      <c r="FKS441" s="23"/>
      <c r="FKT441" s="23"/>
      <c r="FKU441" s="23"/>
      <c r="FKV441" s="23"/>
      <c r="FKW441" s="23"/>
      <c r="FKX441" s="23"/>
      <c r="FKY441" s="23"/>
      <c r="FKZ441" s="23"/>
      <c r="FLA441" s="23"/>
      <c r="FLB441" s="23"/>
      <c r="FLC441" s="23"/>
      <c r="FLD441" s="23"/>
      <c r="FLE441" s="23"/>
      <c r="FLF441" s="23"/>
      <c r="FLG441" s="23"/>
      <c r="FLH441" s="23"/>
      <c r="FLI441" s="23"/>
      <c r="FLJ441" s="23"/>
      <c r="FLK441" s="23"/>
      <c r="FLL441" s="23"/>
      <c r="FLM441" s="23"/>
      <c r="FLN441" s="23"/>
      <c r="FLO441" s="23"/>
      <c r="FLP441" s="23"/>
      <c r="FLQ441" s="23"/>
      <c r="FLR441" s="23"/>
      <c r="FLS441" s="23"/>
      <c r="FLT441" s="23"/>
      <c r="FLU441" s="23"/>
      <c r="FLV441" s="23"/>
      <c r="FLW441" s="23"/>
      <c r="FLX441" s="23"/>
      <c r="FLY441" s="23"/>
      <c r="FLZ441" s="23"/>
      <c r="FMA441" s="23"/>
      <c r="FMB441" s="23"/>
      <c r="FMC441" s="23"/>
      <c r="FMD441" s="23"/>
      <c r="FME441" s="23"/>
      <c r="FMF441" s="23"/>
      <c r="FMG441" s="23"/>
      <c r="FMH441" s="23"/>
      <c r="FMI441" s="23"/>
      <c r="FMJ441" s="23"/>
      <c r="FMK441" s="23"/>
      <c r="FML441" s="23"/>
      <c r="FMM441" s="23"/>
      <c r="FMN441" s="23"/>
      <c r="FMO441" s="23"/>
      <c r="FMP441" s="23"/>
      <c r="FMQ441" s="23"/>
      <c r="FMR441" s="23"/>
      <c r="FMS441" s="23"/>
      <c r="FMT441" s="23"/>
      <c r="FMU441" s="23"/>
      <c r="FMV441" s="23"/>
      <c r="FMW441" s="23"/>
      <c r="FMX441" s="23"/>
      <c r="FMY441" s="23"/>
      <c r="FMZ441" s="23"/>
      <c r="FNA441" s="23"/>
      <c r="FNB441" s="23"/>
      <c r="FNC441" s="23"/>
      <c r="FND441" s="23"/>
      <c r="FNE441" s="23"/>
      <c r="FNF441" s="23"/>
      <c r="FNG441" s="23"/>
      <c r="FNH441" s="23"/>
      <c r="FNI441" s="23"/>
      <c r="FNJ441" s="23"/>
      <c r="FNK441" s="23"/>
      <c r="FNL441" s="23"/>
      <c r="FNM441" s="23"/>
      <c r="FNN441" s="23"/>
      <c r="FNO441" s="23"/>
      <c r="FNP441" s="23"/>
      <c r="FNQ441" s="23"/>
      <c r="FNR441" s="23"/>
      <c r="FNS441" s="23"/>
      <c r="FNT441" s="23"/>
      <c r="FNU441" s="23"/>
      <c r="FNV441" s="23"/>
      <c r="FNW441" s="23"/>
      <c r="FNX441" s="23"/>
      <c r="FNY441" s="23"/>
      <c r="FNZ441" s="23"/>
      <c r="FOA441" s="23"/>
      <c r="FOB441" s="23"/>
      <c r="FOC441" s="23"/>
      <c r="FOD441" s="23"/>
      <c r="FOE441" s="23"/>
      <c r="FOF441" s="23"/>
      <c r="FOG441" s="23"/>
      <c r="FOH441" s="23"/>
      <c r="FOI441" s="23"/>
      <c r="FOJ441" s="23"/>
      <c r="FOK441" s="23"/>
      <c r="FOL441" s="23"/>
      <c r="FOM441" s="23"/>
      <c r="FON441" s="23"/>
      <c r="FOO441" s="23"/>
      <c r="FOP441" s="23"/>
      <c r="FOQ441" s="23"/>
      <c r="FOR441" s="23"/>
      <c r="FOS441" s="23"/>
      <c r="FOT441" s="23"/>
      <c r="FOU441" s="23"/>
      <c r="FOV441" s="23"/>
      <c r="FOW441" s="23"/>
      <c r="FOX441" s="23"/>
      <c r="FOY441" s="23"/>
      <c r="FOZ441" s="23"/>
      <c r="FPA441" s="23"/>
      <c r="FPB441" s="23"/>
      <c r="FPC441" s="23"/>
      <c r="FPD441" s="23"/>
      <c r="FPE441" s="23"/>
      <c r="FPF441" s="23"/>
      <c r="FPG441" s="23"/>
      <c r="FPH441" s="23"/>
      <c r="FPI441" s="23"/>
      <c r="FPJ441" s="23"/>
      <c r="FPK441" s="23"/>
      <c r="FPL441" s="23"/>
      <c r="FPM441" s="23"/>
      <c r="FPN441" s="23"/>
      <c r="FPO441" s="23"/>
      <c r="FPP441" s="23"/>
      <c r="FPQ441" s="23"/>
      <c r="FPR441" s="23"/>
      <c r="FPS441" s="23"/>
      <c r="FPT441" s="23"/>
      <c r="FPU441" s="23"/>
      <c r="FPV441" s="23"/>
      <c r="FPW441" s="23"/>
      <c r="FPX441" s="23"/>
      <c r="FPY441" s="23"/>
      <c r="FPZ441" s="23"/>
      <c r="FQA441" s="23"/>
      <c r="FQB441" s="23"/>
      <c r="FQC441" s="23"/>
      <c r="FQD441" s="23"/>
      <c r="FQE441" s="23"/>
      <c r="FQF441" s="23"/>
      <c r="FQG441" s="23"/>
      <c r="FQH441" s="23"/>
      <c r="FQI441" s="23"/>
      <c r="FQJ441" s="23"/>
      <c r="FQK441" s="23"/>
      <c r="FQL441" s="23"/>
      <c r="FQM441" s="23"/>
      <c r="FQN441" s="23"/>
      <c r="FQO441" s="23"/>
      <c r="FQP441" s="23"/>
      <c r="FQQ441" s="23"/>
      <c r="FQR441" s="23"/>
      <c r="FQS441" s="23"/>
      <c r="FQT441" s="23"/>
      <c r="FQU441" s="23"/>
      <c r="FQV441" s="23"/>
      <c r="FQW441" s="23"/>
      <c r="FQX441" s="23"/>
      <c r="FQY441" s="23"/>
      <c r="FQZ441" s="23"/>
      <c r="FRA441" s="23"/>
      <c r="FRB441" s="23"/>
      <c r="FRC441" s="23"/>
      <c r="FRD441" s="23"/>
      <c r="FRE441" s="23"/>
      <c r="FRF441" s="23"/>
      <c r="FRG441" s="23"/>
      <c r="FRH441" s="23"/>
      <c r="FRI441" s="23"/>
      <c r="FRJ441" s="23"/>
      <c r="FRK441" s="23"/>
      <c r="FRL441" s="23"/>
      <c r="FRM441" s="23"/>
      <c r="FRN441" s="23"/>
      <c r="FRO441" s="23"/>
      <c r="FRP441" s="23"/>
      <c r="FRQ441" s="23"/>
      <c r="FRR441" s="23"/>
      <c r="FRS441" s="23"/>
      <c r="FRT441" s="23"/>
      <c r="FRU441" s="23"/>
      <c r="FRV441" s="23"/>
      <c r="FRW441" s="23"/>
      <c r="FRX441" s="23"/>
      <c r="FRY441" s="23"/>
      <c r="FRZ441" s="23"/>
      <c r="FSA441" s="23"/>
      <c r="FSB441" s="23"/>
      <c r="FSC441" s="23"/>
      <c r="FSD441" s="23"/>
      <c r="FSE441" s="23"/>
      <c r="FSF441" s="23"/>
      <c r="FSG441" s="23"/>
      <c r="FSH441" s="23"/>
      <c r="FSI441" s="23"/>
      <c r="FSJ441" s="23"/>
      <c r="FSK441" s="23"/>
      <c r="FSL441" s="23"/>
      <c r="FSM441" s="23"/>
      <c r="FSN441" s="23"/>
      <c r="FSO441" s="23"/>
      <c r="FSP441" s="23"/>
      <c r="FSQ441" s="23"/>
      <c r="FSR441" s="23"/>
      <c r="FSS441" s="23"/>
      <c r="FST441" s="23"/>
      <c r="FSU441" s="23"/>
      <c r="FSV441" s="23"/>
      <c r="FSW441" s="23"/>
      <c r="FSX441" s="23"/>
      <c r="FSY441" s="23"/>
      <c r="FSZ441" s="23"/>
      <c r="FTA441" s="23"/>
      <c r="FTB441" s="23"/>
      <c r="FTC441" s="23"/>
      <c r="FTD441" s="23"/>
      <c r="FTE441" s="23"/>
      <c r="FTF441" s="23"/>
      <c r="FTG441" s="23"/>
      <c r="FTH441" s="23"/>
      <c r="FTI441" s="23"/>
      <c r="FTJ441" s="23"/>
      <c r="FTK441" s="23"/>
      <c r="FTL441" s="23"/>
      <c r="FTM441" s="23"/>
      <c r="FTN441" s="23"/>
      <c r="FTO441" s="23"/>
      <c r="FTP441" s="23"/>
      <c r="FTQ441" s="23"/>
      <c r="FTR441" s="23"/>
      <c r="FTS441" s="23"/>
      <c r="FTT441" s="23"/>
      <c r="FTU441" s="23"/>
      <c r="FTV441" s="23"/>
      <c r="FTW441" s="23"/>
      <c r="FTX441" s="23"/>
      <c r="FTY441" s="23"/>
      <c r="FTZ441" s="23"/>
      <c r="FUA441" s="23"/>
      <c r="FUB441" s="23"/>
      <c r="FUC441" s="23"/>
      <c r="FUD441" s="23"/>
      <c r="FUE441" s="23"/>
      <c r="FUF441" s="23"/>
      <c r="FUG441" s="23"/>
      <c r="FUH441" s="23"/>
      <c r="FUI441" s="23"/>
      <c r="FUJ441" s="23"/>
      <c r="FUK441" s="23"/>
      <c r="FUL441" s="23"/>
      <c r="FUM441" s="23"/>
      <c r="FUN441" s="23"/>
      <c r="FUO441" s="23"/>
      <c r="FUP441" s="23"/>
      <c r="FUQ441" s="23"/>
      <c r="FUR441" s="23"/>
      <c r="FUS441" s="23"/>
      <c r="FUT441" s="23"/>
      <c r="FUU441" s="23"/>
      <c r="FUV441" s="23"/>
      <c r="FUW441" s="23"/>
      <c r="FUX441" s="23"/>
      <c r="FUY441" s="23"/>
      <c r="FUZ441" s="23"/>
      <c r="FVA441" s="23"/>
      <c r="FVB441" s="23"/>
      <c r="FVC441" s="23"/>
      <c r="FVD441" s="23"/>
      <c r="FVE441" s="23"/>
      <c r="FVF441" s="23"/>
      <c r="FVG441" s="23"/>
      <c r="FVH441" s="23"/>
      <c r="FVI441" s="23"/>
      <c r="FVJ441" s="23"/>
      <c r="FVK441" s="23"/>
      <c r="FVL441" s="23"/>
      <c r="FVM441" s="23"/>
      <c r="FVN441" s="23"/>
      <c r="FVO441" s="23"/>
      <c r="FVP441" s="23"/>
      <c r="FVQ441" s="23"/>
      <c r="FVR441" s="23"/>
      <c r="FVS441" s="23"/>
      <c r="FVT441" s="23"/>
      <c r="FVU441" s="23"/>
      <c r="FVV441" s="23"/>
      <c r="FVW441" s="23"/>
      <c r="FVX441" s="23"/>
      <c r="FVY441" s="23"/>
      <c r="FVZ441" s="23"/>
      <c r="FWA441" s="23"/>
      <c r="FWB441" s="23"/>
      <c r="FWC441" s="23"/>
      <c r="FWD441" s="23"/>
      <c r="FWE441" s="23"/>
      <c r="FWF441" s="23"/>
      <c r="FWG441" s="23"/>
      <c r="FWH441" s="23"/>
      <c r="FWI441" s="23"/>
      <c r="FWJ441" s="23"/>
      <c r="FWK441" s="23"/>
      <c r="FWL441" s="23"/>
      <c r="FWM441" s="23"/>
      <c r="FWN441" s="23"/>
      <c r="FWO441" s="23"/>
      <c r="FWP441" s="23"/>
      <c r="FWQ441" s="23"/>
      <c r="FWR441" s="23"/>
      <c r="FWS441" s="23"/>
      <c r="FWT441" s="23"/>
      <c r="FWU441" s="23"/>
      <c r="FWV441" s="23"/>
      <c r="FWW441" s="23"/>
      <c r="FWX441" s="23"/>
      <c r="FWY441" s="23"/>
      <c r="FWZ441" s="23"/>
      <c r="FXA441" s="23"/>
      <c r="FXB441" s="23"/>
      <c r="FXC441" s="23"/>
      <c r="FXD441" s="23"/>
      <c r="FXE441" s="23"/>
      <c r="FXF441" s="23"/>
      <c r="FXG441" s="23"/>
      <c r="FXH441" s="23"/>
      <c r="FXI441" s="23"/>
      <c r="FXJ441" s="23"/>
      <c r="FXK441" s="23"/>
      <c r="FXL441" s="23"/>
      <c r="FXM441" s="23"/>
      <c r="FXN441" s="23"/>
      <c r="FXO441" s="23"/>
      <c r="FXP441" s="23"/>
      <c r="FXQ441" s="23"/>
      <c r="FXR441" s="23"/>
      <c r="FXS441" s="23"/>
      <c r="FXT441" s="23"/>
      <c r="FXU441" s="23"/>
      <c r="FXV441" s="23"/>
      <c r="FXW441" s="23"/>
      <c r="FXX441" s="23"/>
      <c r="FXY441" s="23"/>
      <c r="FXZ441" s="23"/>
      <c r="FYA441" s="23"/>
      <c r="FYB441" s="23"/>
      <c r="FYC441" s="23"/>
      <c r="FYD441" s="23"/>
      <c r="FYE441" s="23"/>
      <c r="FYF441" s="23"/>
      <c r="FYG441" s="23"/>
      <c r="FYH441" s="23"/>
      <c r="FYI441" s="23"/>
      <c r="FYJ441" s="23"/>
      <c r="FYK441" s="23"/>
      <c r="FYL441" s="23"/>
      <c r="FYM441" s="23"/>
      <c r="FYN441" s="23"/>
      <c r="FYO441" s="23"/>
      <c r="FYP441" s="23"/>
      <c r="FYQ441" s="23"/>
      <c r="FYR441" s="23"/>
      <c r="FYS441" s="23"/>
      <c r="FYT441" s="23"/>
      <c r="FYU441" s="23"/>
      <c r="FYV441" s="23"/>
      <c r="FYW441" s="23"/>
      <c r="FYX441" s="23"/>
      <c r="FYY441" s="23"/>
      <c r="FYZ441" s="23"/>
      <c r="FZA441" s="23"/>
      <c r="FZB441" s="23"/>
      <c r="FZC441" s="23"/>
      <c r="FZD441" s="23"/>
      <c r="FZE441" s="23"/>
      <c r="FZF441" s="23"/>
      <c r="FZG441" s="23"/>
      <c r="FZH441" s="23"/>
      <c r="FZI441" s="23"/>
      <c r="FZJ441" s="23"/>
      <c r="FZK441" s="23"/>
      <c r="FZL441" s="23"/>
      <c r="FZM441" s="23"/>
      <c r="FZN441" s="23"/>
      <c r="FZO441" s="23"/>
      <c r="FZP441" s="23"/>
      <c r="FZQ441" s="23"/>
      <c r="FZR441" s="23"/>
      <c r="FZS441" s="23"/>
      <c r="FZT441" s="23"/>
      <c r="FZU441" s="23"/>
      <c r="FZV441" s="23"/>
      <c r="FZW441" s="23"/>
      <c r="FZX441" s="23"/>
      <c r="FZY441" s="23"/>
      <c r="FZZ441" s="23"/>
      <c r="GAA441" s="23"/>
      <c r="GAB441" s="23"/>
      <c r="GAC441" s="23"/>
      <c r="GAD441" s="23"/>
      <c r="GAE441" s="23"/>
      <c r="GAF441" s="23"/>
      <c r="GAG441" s="23"/>
      <c r="GAH441" s="23"/>
      <c r="GAI441" s="23"/>
      <c r="GAJ441" s="23"/>
      <c r="GAK441" s="23"/>
      <c r="GAL441" s="23"/>
      <c r="GAM441" s="23"/>
      <c r="GAN441" s="23"/>
      <c r="GAO441" s="23"/>
      <c r="GAP441" s="23"/>
      <c r="GAQ441" s="23"/>
      <c r="GAR441" s="23"/>
      <c r="GAS441" s="23"/>
      <c r="GAT441" s="23"/>
      <c r="GAU441" s="23"/>
      <c r="GAV441" s="23"/>
      <c r="GAW441" s="23"/>
      <c r="GAX441" s="23"/>
      <c r="GAY441" s="23"/>
      <c r="GAZ441" s="23"/>
      <c r="GBA441" s="23"/>
      <c r="GBB441" s="23"/>
      <c r="GBC441" s="23"/>
      <c r="GBD441" s="23"/>
      <c r="GBE441" s="23"/>
      <c r="GBF441" s="23"/>
      <c r="GBG441" s="23"/>
      <c r="GBH441" s="23"/>
      <c r="GBI441" s="23"/>
      <c r="GBJ441" s="23"/>
      <c r="GBK441" s="23"/>
      <c r="GBL441" s="23"/>
      <c r="GBM441" s="23"/>
      <c r="GBN441" s="23"/>
      <c r="GBO441" s="23"/>
      <c r="GBP441" s="23"/>
      <c r="GBQ441" s="23"/>
      <c r="GBR441" s="23"/>
      <c r="GBS441" s="23"/>
      <c r="GBT441" s="23"/>
      <c r="GBU441" s="23"/>
      <c r="GBV441" s="23"/>
      <c r="GBW441" s="23"/>
      <c r="GBX441" s="23"/>
      <c r="GBY441" s="23"/>
      <c r="GBZ441" s="23"/>
      <c r="GCA441" s="23"/>
      <c r="GCB441" s="23"/>
      <c r="GCC441" s="23"/>
      <c r="GCD441" s="23"/>
      <c r="GCE441" s="23"/>
      <c r="GCF441" s="23"/>
      <c r="GCG441" s="23"/>
      <c r="GCH441" s="23"/>
      <c r="GCI441" s="23"/>
      <c r="GCJ441" s="23"/>
      <c r="GCK441" s="23"/>
      <c r="GCL441" s="23"/>
      <c r="GCM441" s="23"/>
      <c r="GCN441" s="23"/>
      <c r="GCO441" s="23"/>
      <c r="GCP441" s="23"/>
      <c r="GCQ441" s="23"/>
      <c r="GCR441" s="23"/>
      <c r="GCS441" s="23"/>
      <c r="GCT441" s="23"/>
      <c r="GCU441" s="23"/>
      <c r="GCV441" s="23"/>
      <c r="GCW441" s="23"/>
      <c r="GCX441" s="23"/>
      <c r="GCY441" s="23"/>
      <c r="GCZ441" s="23"/>
      <c r="GDA441" s="23"/>
      <c r="GDB441" s="23"/>
      <c r="GDC441" s="23"/>
      <c r="GDD441" s="23"/>
      <c r="GDE441" s="23"/>
      <c r="GDF441" s="23"/>
      <c r="GDG441" s="23"/>
      <c r="GDH441" s="23"/>
      <c r="GDI441" s="23"/>
      <c r="GDJ441" s="23"/>
      <c r="GDK441" s="23"/>
      <c r="GDL441" s="23"/>
      <c r="GDM441" s="23"/>
      <c r="GDN441" s="23"/>
      <c r="GDO441" s="23"/>
      <c r="GDP441" s="23"/>
      <c r="GDQ441" s="23"/>
      <c r="GDR441" s="23"/>
      <c r="GDS441" s="23"/>
      <c r="GDT441" s="23"/>
      <c r="GDU441" s="23"/>
      <c r="GDV441" s="23"/>
      <c r="GDW441" s="23"/>
      <c r="GDX441" s="23"/>
      <c r="GDY441" s="23"/>
      <c r="GDZ441" s="23"/>
      <c r="GEA441" s="23"/>
      <c r="GEB441" s="23"/>
      <c r="GEC441" s="23"/>
      <c r="GED441" s="23"/>
      <c r="GEE441" s="23"/>
      <c r="GEF441" s="23"/>
      <c r="GEG441" s="23"/>
      <c r="GEH441" s="23"/>
      <c r="GEI441" s="23"/>
      <c r="GEJ441" s="23"/>
      <c r="GEK441" s="23"/>
      <c r="GEL441" s="23"/>
      <c r="GEM441" s="23"/>
      <c r="GEN441" s="23"/>
      <c r="GEO441" s="23"/>
      <c r="GEP441" s="23"/>
      <c r="GEQ441" s="23"/>
      <c r="GER441" s="23"/>
      <c r="GES441" s="23"/>
      <c r="GET441" s="23"/>
      <c r="GEU441" s="23"/>
      <c r="GEV441" s="23"/>
      <c r="GEW441" s="23"/>
      <c r="GEX441" s="23"/>
      <c r="GEY441" s="23"/>
      <c r="GEZ441" s="23"/>
      <c r="GFA441" s="23"/>
      <c r="GFB441" s="23"/>
      <c r="GFC441" s="23"/>
      <c r="GFD441" s="23"/>
      <c r="GFE441" s="23"/>
      <c r="GFF441" s="23"/>
      <c r="GFG441" s="23"/>
      <c r="GFH441" s="23"/>
      <c r="GFI441" s="23"/>
      <c r="GFJ441" s="23"/>
      <c r="GFK441" s="23"/>
      <c r="GFL441" s="23"/>
      <c r="GFM441" s="23"/>
      <c r="GFN441" s="23"/>
      <c r="GFO441" s="23"/>
      <c r="GFP441" s="23"/>
      <c r="GFQ441" s="23"/>
      <c r="GFR441" s="23"/>
      <c r="GFS441" s="23"/>
      <c r="GFT441" s="23"/>
      <c r="GFU441" s="23"/>
      <c r="GFV441" s="23"/>
      <c r="GFW441" s="23"/>
      <c r="GFX441" s="23"/>
      <c r="GFY441" s="23"/>
      <c r="GFZ441" s="23"/>
      <c r="GGA441" s="23"/>
      <c r="GGB441" s="23"/>
      <c r="GGC441" s="23"/>
      <c r="GGD441" s="23"/>
      <c r="GGE441" s="23"/>
      <c r="GGF441" s="23"/>
      <c r="GGG441" s="23"/>
      <c r="GGH441" s="23"/>
      <c r="GGI441" s="23"/>
      <c r="GGJ441" s="23"/>
      <c r="GGK441" s="23"/>
      <c r="GGL441" s="23"/>
      <c r="GGM441" s="23"/>
      <c r="GGN441" s="23"/>
      <c r="GGO441" s="23"/>
      <c r="GGP441" s="23"/>
      <c r="GGQ441" s="23"/>
      <c r="GGR441" s="23"/>
      <c r="GGS441" s="23"/>
      <c r="GGT441" s="23"/>
      <c r="GGU441" s="23"/>
      <c r="GGV441" s="23"/>
      <c r="GGW441" s="23"/>
      <c r="GGX441" s="23"/>
      <c r="GGY441" s="23"/>
      <c r="GGZ441" s="23"/>
      <c r="GHA441" s="23"/>
      <c r="GHB441" s="23"/>
      <c r="GHC441" s="23"/>
      <c r="GHD441" s="23"/>
      <c r="GHE441" s="23"/>
      <c r="GHF441" s="23"/>
      <c r="GHG441" s="23"/>
      <c r="GHH441" s="23"/>
      <c r="GHI441" s="23"/>
      <c r="GHJ441" s="23"/>
      <c r="GHK441" s="23"/>
      <c r="GHL441" s="23"/>
      <c r="GHM441" s="23"/>
      <c r="GHN441" s="23"/>
      <c r="GHO441" s="23"/>
      <c r="GHP441" s="23"/>
      <c r="GHQ441" s="23"/>
      <c r="GHR441" s="23"/>
      <c r="GHS441" s="23"/>
      <c r="GHT441" s="23"/>
      <c r="GHU441" s="23"/>
      <c r="GHV441" s="23"/>
      <c r="GHW441" s="23"/>
      <c r="GHX441" s="23"/>
      <c r="GHY441" s="23"/>
      <c r="GHZ441" s="23"/>
      <c r="GIA441" s="23"/>
      <c r="GIB441" s="23"/>
      <c r="GIC441" s="23"/>
      <c r="GID441" s="23"/>
      <c r="GIE441" s="23"/>
      <c r="GIF441" s="23"/>
      <c r="GIG441" s="23"/>
      <c r="GIH441" s="23"/>
      <c r="GII441" s="23"/>
      <c r="GIJ441" s="23"/>
      <c r="GIK441" s="23"/>
      <c r="GIL441" s="23"/>
      <c r="GIM441" s="23"/>
      <c r="GIN441" s="23"/>
      <c r="GIO441" s="23"/>
      <c r="GIP441" s="23"/>
      <c r="GIQ441" s="23"/>
      <c r="GIR441" s="23"/>
      <c r="GIS441" s="23"/>
      <c r="GIT441" s="23"/>
      <c r="GIU441" s="23"/>
      <c r="GIV441" s="23"/>
      <c r="GIW441" s="23"/>
      <c r="GIX441" s="23"/>
      <c r="GIY441" s="23"/>
      <c r="GIZ441" s="23"/>
      <c r="GJA441" s="23"/>
      <c r="GJB441" s="23"/>
      <c r="GJC441" s="23"/>
      <c r="GJD441" s="23"/>
      <c r="GJE441" s="23"/>
      <c r="GJF441" s="23"/>
      <c r="GJG441" s="23"/>
      <c r="GJH441" s="23"/>
      <c r="GJI441" s="23"/>
      <c r="GJJ441" s="23"/>
      <c r="GJK441" s="23"/>
      <c r="GJL441" s="23"/>
      <c r="GJM441" s="23"/>
      <c r="GJN441" s="23"/>
      <c r="GJO441" s="23"/>
      <c r="GJP441" s="23"/>
      <c r="GJQ441" s="23"/>
      <c r="GJR441" s="23"/>
      <c r="GJS441" s="23"/>
      <c r="GJT441" s="23"/>
      <c r="GJU441" s="23"/>
      <c r="GJV441" s="23"/>
      <c r="GJW441" s="23"/>
      <c r="GJX441" s="23"/>
      <c r="GJY441" s="23"/>
      <c r="GJZ441" s="23"/>
      <c r="GKA441" s="23"/>
      <c r="GKB441" s="23"/>
      <c r="GKC441" s="23"/>
      <c r="GKD441" s="23"/>
      <c r="GKE441" s="23"/>
      <c r="GKF441" s="23"/>
      <c r="GKG441" s="23"/>
      <c r="GKH441" s="23"/>
      <c r="GKI441" s="23"/>
      <c r="GKJ441" s="23"/>
      <c r="GKK441" s="23"/>
      <c r="GKL441" s="23"/>
      <c r="GKM441" s="23"/>
      <c r="GKN441" s="23"/>
      <c r="GKO441" s="23"/>
      <c r="GKP441" s="23"/>
      <c r="GKQ441" s="23"/>
      <c r="GKR441" s="23"/>
      <c r="GKS441" s="23"/>
      <c r="GKT441" s="23"/>
      <c r="GKU441" s="23"/>
      <c r="GKV441" s="23"/>
      <c r="GKW441" s="23"/>
      <c r="GKX441" s="23"/>
      <c r="GKY441" s="23"/>
      <c r="GKZ441" s="23"/>
      <c r="GLA441" s="23"/>
      <c r="GLB441" s="23"/>
      <c r="GLC441" s="23"/>
      <c r="GLD441" s="23"/>
      <c r="GLE441" s="23"/>
      <c r="GLF441" s="23"/>
      <c r="GLG441" s="23"/>
      <c r="GLH441" s="23"/>
      <c r="GLI441" s="23"/>
      <c r="GLJ441" s="23"/>
      <c r="GLK441" s="23"/>
      <c r="GLL441" s="23"/>
      <c r="GLM441" s="23"/>
      <c r="GLN441" s="23"/>
      <c r="GLO441" s="23"/>
      <c r="GLP441" s="23"/>
      <c r="GLQ441" s="23"/>
      <c r="GLR441" s="23"/>
      <c r="GLS441" s="23"/>
      <c r="GLT441" s="23"/>
      <c r="GLU441" s="23"/>
      <c r="GLV441" s="23"/>
      <c r="GLW441" s="23"/>
      <c r="GLX441" s="23"/>
      <c r="GLY441" s="23"/>
      <c r="GLZ441" s="23"/>
      <c r="GMA441" s="23"/>
      <c r="GMB441" s="23"/>
      <c r="GMC441" s="23"/>
      <c r="GMD441" s="23"/>
      <c r="GME441" s="23"/>
      <c r="GMF441" s="23"/>
      <c r="GMG441" s="23"/>
      <c r="GMH441" s="23"/>
      <c r="GMI441" s="23"/>
      <c r="GMJ441" s="23"/>
      <c r="GMK441" s="23"/>
      <c r="GML441" s="23"/>
      <c r="GMM441" s="23"/>
      <c r="GMN441" s="23"/>
      <c r="GMO441" s="23"/>
      <c r="GMP441" s="23"/>
      <c r="GMQ441" s="23"/>
      <c r="GMR441" s="23"/>
      <c r="GMS441" s="23"/>
      <c r="GMT441" s="23"/>
      <c r="GMU441" s="23"/>
      <c r="GMV441" s="23"/>
      <c r="GMW441" s="23"/>
      <c r="GMX441" s="23"/>
      <c r="GMY441" s="23"/>
      <c r="GMZ441" s="23"/>
      <c r="GNA441" s="23"/>
      <c r="GNB441" s="23"/>
      <c r="GNC441" s="23"/>
      <c r="GND441" s="23"/>
      <c r="GNE441" s="23"/>
      <c r="GNF441" s="23"/>
      <c r="GNG441" s="23"/>
      <c r="GNH441" s="23"/>
      <c r="GNI441" s="23"/>
      <c r="GNJ441" s="23"/>
      <c r="GNK441" s="23"/>
      <c r="GNL441" s="23"/>
      <c r="GNM441" s="23"/>
      <c r="GNN441" s="23"/>
      <c r="GNO441" s="23"/>
      <c r="GNP441" s="23"/>
      <c r="GNQ441" s="23"/>
      <c r="GNR441" s="23"/>
      <c r="GNS441" s="23"/>
      <c r="GNT441" s="23"/>
      <c r="GNU441" s="23"/>
      <c r="GNV441" s="23"/>
      <c r="GNW441" s="23"/>
      <c r="GNX441" s="23"/>
      <c r="GNY441" s="23"/>
      <c r="GNZ441" s="23"/>
      <c r="GOA441" s="23"/>
      <c r="GOB441" s="23"/>
      <c r="GOC441" s="23"/>
      <c r="GOD441" s="23"/>
      <c r="GOE441" s="23"/>
      <c r="GOF441" s="23"/>
      <c r="GOG441" s="23"/>
      <c r="GOH441" s="23"/>
      <c r="GOI441" s="23"/>
      <c r="GOJ441" s="23"/>
      <c r="GOK441" s="23"/>
      <c r="GOL441" s="23"/>
      <c r="GOM441" s="23"/>
      <c r="GON441" s="23"/>
      <c r="GOO441" s="23"/>
      <c r="GOP441" s="23"/>
      <c r="GOQ441" s="23"/>
      <c r="GOR441" s="23"/>
      <c r="GOS441" s="23"/>
      <c r="GOT441" s="23"/>
      <c r="GOU441" s="23"/>
      <c r="GOV441" s="23"/>
      <c r="GOW441" s="23"/>
      <c r="GOX441" s="23"/>
      <c r="GOY441" s="23"/>
      <c r="GOZ441" s="23"/>
      <c r="GPA441" s="23"/>
      <c r="GPB441" s="23"/>
      <c r="GPC441" s="23"/>
      <c r="GPD441" s="23"/>
      <c r="GPE441" s="23"/>
      <c r="GPF441" s="23"/>
      <c r="GPG441" s="23"/>
      <c r="GPH441" s="23"/>
      <c r="GPI441" s="23"/>
      <c r="GPJ441" s="23"/>
      <c r="GPK441" s="23"/>
      <c r="GPL441" s="23"/>
      <c r="GPM441" s="23"/>
      <c r="GPN441" s="23"/>
      <c r="GPO441" s="23"/>
      <c r="GPP441" s="23"/>
      <c r="GPQ441" s="23"/>
      <c r="GPR441" s="23"/>
      <c r="GPS441" s="23"/>
      <c r="GPT441" s="23"/>
      <c r="GPU441" s="23"/>
      <c r="GPV441" s="23"/>
      <c r="GPW441" s="23"/>
      <c r="GPX441" s="23"/>
      <c r="GPY441" s="23"/>
      <c r="GPZ441" s="23"/>
      <c r="GQA441" s="23"/>
      <c r="GQB441" s="23"/>
      <c r="GQC441" s="23"/>
      <c r="GQD441" s="23"/>
      <c r="GQE441" s="23"/>
      <c r="GQF441" s="23"/>
      <c r="GQG441" s="23"/>
      <c r="GQH441" s="23"/>
      <c r="GQI441" s="23"/>
      <c r="GQJ441" s="23"/>
      <c r="GQK441" s="23"/>
      <c r="GQL441" s="23"/>
      <c r="GQM441" s="23"/>
      <c r="GQN441" s="23"/>
      <c r="GQO441" s="23"/>
      <c r="GQP441" s="23"/>
      <c r="GQQ441" s="23"/>
      <c r="GQR441" s="23"/>
      <c r="GQS441" s="23"/>
      <c r="GQT441" s="23"/>
      <c r="GQU441" s="23"/>
      <c r="GQV441" s="23"/>
      <c r="GQW441" s="23"/>
      <c r="GQX441" s="23"/>
      <c r="GQY441" s="23"/>
      <c r="GQZ441" s="23"/>
      <c r="GRA441" s="23"/>
      <c r="GRB441" s="23"/>
      <c r="GRC441" s="23"/>
      <c r="GRD441" s="23"/>
      <c r="GRE441" s="23"/>
      <c r="GRF441" s="23"/>
      <c r="GRG441" s="23"/>
      <c r="GRH441" s="23"/>
      <c r="GRI441" s="23"/>
      <c r="GRJ441" s="23"/>
      <c r="GRK441" s="23"/>
      <c r="GRL441" s="23"/>
      <c r="GRM441" s="23"/>
      <c r="GRN441" s="23"/>
      <c r="GRO441" s="23"/>
      <c r="GRP441" s="23"/>
      <c r="GRQ441" s="23"/>
      <c r="GRR441" s="23"/>
      <c r="GRS441" s="23"/>
      <c r="GRT441" s="23"/>
      <c r="GRU441" s="23"/>
      <c r="GRV441" s="23"/>
      <c r="GRW441" s="23"/>
      <c r="GRX441" s="23"/>
      <c r="GRY441" s="23"/>
      <c r="GRZ441" s="23"/>
      <c r="GSA441" s="23"/>
      <c r="GSB441" s="23"/>
      <c r="GSC441" s="23"/>
      <c r="GSD441" s="23"/>
      <c r="GSE441" s="23"/>
      <c r="GSF441" s="23"/>
      <c r="GSG441" s="23"/>
      <c r="GSH441" s="23"/>
      <c r="GSI441" s="23"/>
      <c r="GSJ441" s="23"/>
      <c r="GSK441" s="23"/>
      <c r="GSL441" s="23"/>
      <c r="GSM441" s="23"/>
      <c r="GSN441" s="23"/>
      <c r="GSO441" s="23"/>
      <c r="GSP441" s="23"/>
      <c r="GSQ441" s="23"/>
      <c r="GSR441" s="23"/>
      <c r="GSS441" s="23"/>
      <c r="GST441" s="23"/>
      <c r="GSU441" s="23"/>
      <c r="GSV441" s="23"/>
      <c r="GSW441" s="23"/>
      <c r="GSX441" s="23"/>
      <c r="GSY441" s="23"/>
      <c r="GSZ441" s="23"/>
      <c r="GTA441" s="23"/>
      <c r="GTB441" s="23"/>
      <c r="GTC441" s="23"/>
      <c r="GTD441" s="23"/>
      <c r="GTE441" s="23"/>
      <c r="GTF441" s="23"/>
      <c r="GTG441" s="23"/>
      <c r="GTH441" s="23"/>
      <c r="GTI441" s="23"/>
      <c r="GTJ441" s="23"/>
      <c r="GTK441" s="23"/>
      <c r="GTL441" s="23"/>
      <c r="GTM441" s="23"/>
      <c r="GTN441" s="23"/>
      <c r="GTO441" s="23"/>
      <c r="GTP441" s="23"/>
      <c r="GTQ441" s="23"/>
      <c r="GTR441" s="23"/>
      <c r="GTS441" s="23"/>
      <c r="GTT441" s="23"/>
      <c r="GTU441" s="23"/>
      <c r="GTV441" s="23"/>
      <c r="GTW441" s="23"/>
      <c r="GTX441" s="23"/>
      <c r="GTY441" s="23"/>
      <c r="GTZ441" s="23"/>
      <c r="GUA441" s="23"/>
      <c r="GUB441" s="23"/>
      <c r="GUC441" s="23"/>
      <c r="GUD441" s="23"/>
      <c r="GUE441" s="23"/>
      <c r="GUF441" s="23"/>
      <c r="GUG441" s="23"/>
      <c r="GUH441" s="23"/>
      <c r="GUI441" s="23"/>
      <c r="GUJ441" s="23"/>
      <c r="GUK441" s="23"/>
      <c r="GUL441" s="23"/>
      <c r="GUM441" s="23"/>
      <c r="GUN441" s="23"/>
      <c r="GUO441" s="23"/>
      <c r="GUP441" s="23"/>
      <c r="GUQ441" s="23"/>
      <c r="GUR441" s="23"/>
      <c r="GUS441" s="23"/>
      <c r="GUT441" s="23"/>
      <c r="GUU441" s="23"/>
      <c r="GUV441" s="23"/>
      <c r="GUW441" s="23"/>
      <c r="GUX441" s="23"/>
      <c r="GUY441" s="23"/>
      <c r="GUZ441" s="23"/>
      <c r="GVA441" s="23"/>
      <c r="GVB441" s="23"/>
      <c r="GVC441" s="23"/>
      <c r="GVD441" s="23"/>
      <c r="GVE441" s="23"/>
      <c r="GVF441" s="23"/>
      <c r="GVG441" s="23"/>
      <c r="GVH441" s="23"/>
      <c r="GVI441" s="23"/>
      <c r="GVJ441" s="23"/>
      <c r="GVK441" s="23"/>
      <c r="GVL441" s="23"/>
      <c r="GVM441" s="23"/>
      <c r="GVN441" s="23"/>
      <c r="GVO441" s="23"/>
      <c r="GVP441" s="23"/>
      <c r="GVQ441" s="23"/>
      <c r="GVR441" s="23"/>
      <c r="GVS441" s="23"/>
      <c r="GVT441" s="23"/>
      <c r="GVU441" s="23"/>
      <c r="GVV441" s="23"/>
      <c r="GVW441" s="23"/>
      <c r="GVX441" s="23"/>
      <c r="GVY441" s="23"/>
      <c r="GVZ441" s="23"/>
      <c r="GWA441" s="23"/>
      <c r="GWB441" s="23"/>
      <c r="GWC441" s="23"/>
      <c r="GWD441" s="23"/>
      <c r="GWE441" s="23"/>
      <c r="GWF441" s="23"/>
      <c r="GWG441" s="23"/>
      <c r="GWH441" s="23"/>
      <c r="GWI441" s="23"/>
      <c r="GWJ441" s="23"/>
      <c r="GWK441" s="23"/>
      <c r="GWL441" s="23"/>
      <c r="GWM441" s="23"/>
      <c r="GWN441" s="23"/>
      <c r="GWO441" s="23"/>
      <c r="GWP441" s="23"/>
      <c r="GWQ441" s="23"/>
      <c r="GWR441" s="23"/>
      <c r="GWS441" s="23"/>
      <c r="GWT441" s="23"/>
      <c r="GWU441" s="23"/>
      <c r="GWV441" s="23"/>
      <c r="GWW441" s="23"/>
      <c r="GWX441" s="23"/>
      <c r="GWY441" s="23"/>
      <c r="GWZ441" s="23"/>
      <c r="GXA441" s="23"/>
      <c r="GXB441" s="23"/>
      <c r="GXC441" s="23"/>
      <c r="GXD441" s="23"/>
      <c r="GXE441" s="23"/>
      <c r="GXF441" s="23"/>
      <c r="GXG441" s="23"/>
      <c r="GXH441" s="23"/>
      <c r="GXI441" s="23"/>
      <c r="GXJ441" s="23"/>
      <c r="GXK441" s="23"/>
      <c r="GXL441" s="23"/>
      <c r="GXM441" s="23"/>
      <c r="GXN441" s="23"/>
      <c r="GXO441" s="23"/>
      <c r="GXP441" s="23"/>
      <c r="GXQ441" s="23"/>
      <c r="GXR441" s="23"/>
      <c r="GXS441" s="23"/>
      <c r="GXT441" s="23"/>
      <c r="GXU441" s="23"/>
      <c r="GXV441" s="23"/>
      <c r="GXW441" s="23"/>
      <c r="GXX441" s="23"/>
      <c r="GXY441" s="23"/>
      <c r="GXZ441" s="23"/>
      <c r="GYA441" s="23"/>
      <c r="GYB441" s="23"/>
      <c r="GYC441" s="23"/>
      <c r="GYD441" s="23"/>
      <c r="GYE441" s="23"/>
      <c r="GYF441" s="23"/>
      <c r="GYG441" s="23"/>
      <c r="GYH441" s="23"/>
      <c r="GYI441" s="23"/>
      <c r="GYJ441" s="23"/>
      <c r="GYK441" s="23"/>
      <c r="GYL441" s="23"/>
      <c r="GYM441" s="23"/>
      <c r="GYN441" s="23"/>
      <c r="GYO441" s="23"/>
      <c r="GYP441" s="23"/>
      <c r="GYQ441" s="23"/>
      <c r="GYR441" s="23"/>
      <c r="GYS441" s="23"/>
      <c r="GYT441" s="23"/>
      <c r="GYU441" s="23"/>
      <c r="GYV441" s="23"/>
      <c r="GYW441" s="23"/>
      <c r="GYX441" s="23"/>
      <c r="GYY441" s="23"/>
      <c r="GYZ441" s="23"/>
      <c r="GZA441" s="23"/>
      <c r="GZB441" s="23"/>
      <c r="GZC441" s="23"/>
      <c r="GZD441" s="23"/>
      <c r="GZE441" s="23"/>
      <c r="GZF441" s="23"/>
      <c r="GZG441" s="23"/>
      <c r="GZH441" s="23"/>
      <c r="GZI441" s="23"/>
      <c r="GZJ441" s="23"/>
      <c r="GZK441" s="23"/>
      <c r="GZL441" s="23"/>
      <c r="GZM441" s="23"/>
      <c r="GZN441" s="23"/>
      <c r="GZO441" s="23"/>
      <c r="GZP441" s="23"/>
      <c r="GZQ441" s="23"/>
      <c r="GZR441" s="23"/>
      <c r="GZS441" s="23"/>
      <c r="GZT441" s="23"/>
      <c r="GZU441" s="23"/>
      <c r="GZV441" s="23"/>
      <c r="GZW441" s="23"/>
      <c r="GZX441" s="23"/>
      <c r="GZY441" s="23"/>
      <c r="GZZ441" s="23"/>
      <c r="HAA441" s="23"/>
      <c r="HAB441" s="23"/>
      <c r="HAC441" s="23"/>
      <c r="HAD441" s="23"/>
      <c r="HAE441" s="23"/>
      <c r="HAF441" s="23"/>
      <c r="HAG441" s="23"/>
      <c r="HAH441" s="23"/>
      <c r="HAI441" s="23"/>
      <c r="HAJ441" s="23"/>
      <c r="HAK441" s="23"/>
      <c r="HAL441" s="23"/>
      <c r="HAM441" s="23"/>
      <c r="HAN441" s="23"/>
      <c r="HAO441" s="23"/>
      <c r="HAP441" s="23"/>
      <c r="HAQ441" s="23"/>
      <c r="HAR441" s="23"/>
      <c r="HAS441" s="23"/>
      <c r="HAT441" s="23"/>
      <c r="HAU441" s="23"/>
      <c r="HAV441" s="23"/>
      <c r="HAW441" s="23"/>
      <c r="HAX441" s="23"/>
      <c r="HAY441" s="23"/>
      <c r="HAZ441" s="23"/>
      <c r="HBA441" s="23"/>
      <c r="HBB441" s="23"/>
      <c r="HBC441" s="23"/>
      <c r="HBD441" s="23"/>
      <c r="HBE441" s="23"/>
      <c r="HBF441" s="23"/>
      <c r="HBG441" s="23"/>
      <c r="HBH441" s="23"/>
      <c r="HBI441" s="23"/>
      <c r="HBJ441" s="23"/>
      <c r="HBK441" s="23"/>
      <c r="HBL441" s="23"/>
      <c r="HBM441" s="23"/>
      <c r="HBN441" s="23"/>
      <c r="HBO441" s="23"/>
      <c r="HBP441" s="23"/>
      <c r="HBQ441" s="23"/>
      <c r="HBR441" s="23"/>
      <c r="HBS441" s="23"/>
      <c r="HBT441" s="23"/>
      <c r="HBU441" s="23"/>
      <c r="HBV441" s="23"/>
      <c r="HBW441" s="23"/>
      <c r="HBX441" s="23"/>
      <c r="HBY441" s="23"/>
      <c r="HBZ441" s="23"/>
      <c r="HCA441" s="23"/>
      <c r="HCB441" s="23"/>
      <c r="HCC441" s="23"/>
      <c r="HCD441" s="23"/>
      <c r="HCE441" s="23"/>
      <c r="HCF441" s="23"/>
      <c r="HCG441" s="23"/>
      <c r="HCH441" s="23"/>
      <c r="HCI441" s="23"/>
      <c r="HCJ441" s="23"/>
      <c r="HCK441" s="23"/>
      <c r="HCL441" s="23"/>
      <c r="HCM441" s="23"/>
      <c r="HCN441" s="23"/>
      <c r="HCO441" s="23"/>
      <c r="HCP441" s="23"/>
      <c r="HCQ441" s="23"/>
      <c r="HCR441" s="23"/>
      <c r="HCS441" s="23"/>
      <c r="HCT441" s="23"/>
      <c r="HCU441" s="23"/>
      <c r="HCV441" s="23"/>
      <c r="HCW441" s="23"/>
      <c r="HCX441" s="23"/>
      <c r="HCY441" s="23"/>
      <c r="HCZ441" s="23"/>
      <c r="HDA441" s="23"/>
      <c r="HDB441" s="23"/>
      <c r="HDC441" s="23"/>
      <c r="HDD441" s="23"/>
      <c r="HDE441" s="23"/>
      <c r="HDF441" s="23"/>
      <c r="HDG441" s="23"/>
      <c r="HDH441" s="23"/>
      <c r="HDI441" s="23"/>
      <c r="HDJ441" s="23"/>
      <c r="HDK441" s="23"/>
      <c r="HDL441" s="23"/>
      <c r="HDM441" s="23"/>
      <c r="HDN441" s="23"/>
      <c r="HDO441" s="23"/>
      <c r="HDP441" s="23"/>
      <c r="HDQ441" s="23"/>
      <c r="HDR441" s="23"/>
      <c r="HDS441" s="23"/>
      <c r="HDT441" s="23"/>
      <c r="HDU441" s="23"/>
      <c r="HDV441" s="23"/>
      <c r="HDW441" s="23"/>
      <c r="HDX441" s="23"/>
      <c r="HDY441" s="23"/>
      <c r="HDZ441" s="23"/>
      <c r="HEA441" s="23"/>
      <c r="HEB441" s="23"/>
      <c r="HEC441" s="23"/>
      <c r="HED441" s="23"/>
      <c r="HEE441" s="23"/>
      <c r="HEF441" s="23"/>
      <c r="HEG441" s="23"/>
      <c r="HEH441" s="23"/>
      <c r="HEI441" s="23"/>
      <c r="HEJ441" s="23"/>
      <c r="HEK441" s="23"/>
      <c r="HEL441" s="23"/>
      <c r="HEM441" s="23"/>
      <c r="HEN441" s="23"/>
      <c r="HEO441" s="23"/>
      <c r="HEP441" s="23"/>
      <c r="HEQ441" s="23"/>
      <c r="HER441" s="23"/>
      <c r="HES441" s="23"/>
      <c r="HET441" s="23"/>
      <c r="HEU441" s="23"/>
      <c r="HEV441" s="23"/>
      <c r="HEW441" s="23"/>
      <c r="HEX441" s="23"/>
      <c r="HEY441" s="23"/>
      <c r="HEZ441" s="23"/>
      <c r="HFA441" s="23"/>
      <c r="HFB441" s="23"/>
      <c r="HFC441" s="23"/>
      <c r="HFD441" s="23"/>
      <c r="HFE441" s="23"/>
      <c r="HFF441" s="23"/>
      <c r="HFG441" s="23"/>
      <c r="HFH441" s="23"/>
      <c r="HFI441" s="23"/>
      <c r="HFJ441" s="23"/>
      <c r="HFK441" s="23"/>
      <c r="HFL441" s="23"/>
      <c r="HFM441" s="23"/>
      <c r="HFN441" s="23"/>
      <c r="HFO441" s="23"/>
      <c r="HFP441" s="23"/>
      <c r="HFQ441" s="23"/>
      <c r="HFR441" s="23"/>
      <c r="HFS441" s="23"/>
      <c r="HFT441" s="23"/>
      <c r="HFU441" s="23"/>
      <c r="HFV441" s="23"/>
      <c r="HFW441" s="23"/>
      <c r="HFX441" s="23"/>
      <c r="HFY441" s="23"/>
      <c r="HFZ441" s="23"/>
      <c r="HGA441" s="23"/>
      <c r="HGB441" s="23"/>
      <c r="HGC441" s="23"/>
      <c r="HGD441" s="23"/>
      <c r="HGE441" s="23"/>
      <c r="HGF441" s="23"/>
      <c r="HGG441" s="23"/>
      <c r="HGH441" s="23"/>
      <c r="HGI441" s="23"/>
      <c r="HGJ441" s="23"/>
      <c r="HGK441" s="23"/>
      <c r="HGL441" s="23"/>
      <c r="HGM441" s="23"/>
      <c r="HGN441" s="23"/>
      <c r="HGO441" s="23"/>
      <c r="HGP441" s="23"/>
      <c r="HGQ441" s="23"/>
      <c r="HGR441" s="23"/>
      <c r="HGS441" s="23"/>
      <c r="HGT441" s="23"/>
      <c r="HGU441" s="23"/>
      <c r="HGV441" s="23"/>
      <c r="HGW441" s="23"/>
      <c r="HGX441" s="23"/>
      <c r="HGY441" s="23"/>
      <c r="HGZ441" s="23"/>
      <c r="HHA441" s="23"/>
      <c r="HHB441" s="23"/>
      <c r="HHC441" s="23"/>
      <c r="HHD441" s="23"/>
      <c r="HHE441" s="23"/>
      <c r="HHF441" s="23"/>
      <c r="HHG441" s="23"/>
      <c r="HHH441" s="23"/>
      <c r="HHI441" s="23"/>
      <c r="HHJ441" s="23"/>
      <c r="HHK441" s="23"/>
      <c r="HHL441" s="23"/>
      <c r="HHM441" s="23"/>
      <c r="HHN441" s="23"/>
      <c r="HHO441" s="23"/>
      <c r="HHP441" s="23"/>
      <c r="HHQ441" s="23"/>
      <c r="HHR441" s="23"/>
      <c r="HHS441" s="23"/>
      <c r="HHT441" s="23"/>
      <c r="HHU441" s="23"/>
      <c r="HHV441" s="23"/>
      <c r="HHW441" s="23"/>
      <c r="HHX441" s="23"/>
      <c r="HHY441" s="23"/>
      <c r="HHZ441" s="23"/>
      <c r="HIA441" s="23"/>
      <c r="HIB441" s="23"/>
      <c r="HIC441" s="23"/>
      <c r="HID441" s="23"/>
      <c r="HIE441" s="23"/>
      <c r="HIF441" s="23"/>
      <c r="HIG441" s="23"/>
      <c r="HIH441" s="23"/>
      <c r="HII441" s="23"/>
      <c r="HIJ441" s="23"/>
      <c r="HIK441" s="23"/>
      <c r="HIL441" s="23"/>
      <c r="HIM441" s="23"/>
      <c r="HIN441" s="23"/>
      <c r="HIO441" s="23"/>
      <c r="HIP441" s="23"/>
      <c r="HIQ441" s="23"/>
      <c r="HIR441" s="23"/>
      <c r="HIS441" s="23"/>
      <c r="HIT441" s="23"/>
      <c r="HIU441" s="23"/>
      <c r="HIV441" s="23"/>
      <c r="HIW441" s="23"/>
      <c r="HIX441" s="23"/>
      <c r="HIY441" s="23"/>
      <c r="HIZ441" s="23"/>
      <c r="HJA441" s="23"/>
      <c r="HJB441" s="23"/>
      <c r="HJC441" s="23"/>
      <c r="HJD441" s="23"/>
      <c r="HJE441" s="23"/>
      <c r="HJF441" s="23"/>
      <c r="HJG441" s="23"/>
      <c r="HJH441" s="23"/>
      <c r="HJI441" s="23"/>
      <c r="HJJ441" s="23"/>
      <c r="HJK441" s="23"/>
      <c r="HJL441" s="23"/>
      <c r="HJM441" s="23"/>
      <c r="HJN441" s="23"/>
      <c r="HJO441" s="23"/>
      <c r="HJP441" s="23"/>
      <c r="HJQ441" s="23"/>
      <c r="HJR441" s="23"/>
      <c r="HJS441" s="23"/>
      <c r="HJT441" s="23"/>
      <c r="HJU441" s="23"/>
      <c r="HJV441" s="23"/>
      <c r="HJW441" s="23"/>
      <c r="HJX441" s="23"/>
      <c r="HJY441" s="23"/>
      <c r="HJZ441" s="23"/>
      <c r="HKA441" s="23"/>
      <c r="HKB441" s="23"/>
      <c r="HKC441" s="23"/>
      <c r="HKD441" s="23"/>
      <c r="HKE441" s="23"/>
      <c r="HKF441" s="23"/>
      <c r="HKG441" s="23"/>
      <c r="HKH441" s="23"/>
      <c r="HKI441" s="23"/>
      <c r="HKJ441" s="23"/>
      <c r="HKK441" s="23"/>
      <c r="HKL441" s="23"/>
      <c r="HKM441" s="23"/>
      <c r="HKN441" s="23"/>
      <c r="HKO441" s="23"/>
      <c r="HKP441" s="23"/>
      <c r="HKQ441" s="23"/>
      <c r="HKR441" s="23"/>
      <c r="HKS441" s="23"/>
      <c r="HKT441" s="23"/>
      <c r="HKU441" s="23"/>
      <c r="HKV441" s="23"/>
      <c r="HKW441" s="23"/>
      <c r="HKX441" s="23"/>
      <c r="HKY441" s="23"/>
      <c r="HKZ441" s="23"/>
      <c r="HLA441" s="23"/>
      <c r="HLB441" s="23"/>
      <c r="HLC441" s="23"/>
      <c r="HLD441" s="23"/>
      <c r="HLE441" s="23"/>
      <c r="HLF441" s="23"/>
      <c r="HLG441" s="23"/>
      <c r="HLH441" s="23"/>
      <c r="HLI441" s="23"/>
      <c r="HLJ441" s="23"/>
      <c r="HLK441" s="23"/>
      <c r="HLL441" s="23"/>
      <c r="HLM441" s="23"/>
      <c r="HLN441" s="23"/>
      <c r="HLO441" s="23"/>
      <c r="HLP441" s="23"/>
      <c r="HLQ441" s="23"/>
      <c r="HLR441" s="23"/>
      <c r="HLS441" s="23"/>
      <c r="HLT441" s="23"/>
      <c r="HLU441" s="23"/>
      <c r="HLV441" s="23"/>
      <c r="HLW441" s="23"/>
      <c r="HLX441" s="23"/>
      <c r="HLY441" s="23"/>
      <c r="HLZ441" s="23"/>
      <c r="HMA441" s="23"/>
      <c r="HMB441" s="23"/>
      <c r="HMC441" s="23"/>
      <c r="HMD441" s="23"/>
      <c r="HME441" s="23"/>
      <c r="HMF441" s="23"/>
      <c r="HMG441" s="23"/>
      <c r="HMH441" s="23"/>
      <c r="HMI441" s="23"/>
      <c r="HMJ441" s="23"/>
      <c r="HMK441" s="23"/>
      <c r="HML441" s="23"/>
      <c r="HMM441" s="23"/>
      <c r="HMN441" s="23"/>
      <c r="HMO441" s="23"/>
      <c r="HMP441" s="23"/>
      <c r="HMQ441" s="23"/>
      <c r="HMR441" s="23"/>
      <c r="HMS441" s="23"/>
      <c r="HMT441" s="23"/>
      <c r="HMU441" s="23"/>
      <c r="HMV441" s="23"/>
      <c r="HMW441" s="23"/>
      <c r="HMX441" s="23"/>
      <c r="HMY441" s="23"/>
      <c r="HMZ441" s="23"/>
      <c r="HNA441" s="23"/>
      <c r="HNB441" s="23"/>
      <c r="HNC441" s="23"/>
      <c r="HND441" s="23"/>
      <c r="HNE441" s="23"/>
      <c r="HNF441" s="23"/>
      <c r="HNG441" s="23"/>
      <c r="HNH441" s="23"/>
      <c r="HNI441" s="23"/>
      <c r="HNJ441" s="23"/>
      <c r="HNK441" s="23"/>
      <c r="HNL441" s="23"/>
      <c r="HNM441" s="23"/>
      <c r="HNN441" s="23"/>
      <c r="HNO441" s="23"/>
      <c r="HNP441" s="23"/>
      <c r="HNQ441" s="23"/>
      <c r="HNR441" s="23"/>
      <c r="HNS441" s="23"/>
      <c r="HNT441" s="23"/>
      <c r="HNU441" s="23"/>
      <c r="HNV441" s="23"/>
      <c r="HNW441" s="23"/>
      <c r="HNX441" s="23"/>
      <c r="HNY441" s="23"/>
      <c r="HNZ441" s="23"/>
      <c r="HOA441" s="23"/>
      <c r="HOB441" s="23"/>
      <c r="HOC441" s="23"/>
      <c r="HOD441" s="23"/>
      <c r="HOE441" s="23"/>
      <c r="HOF441" s="23"/>
      <c r="HOG441" s="23"/>
      <c r="HOH441" s="23"/>
      <c r="HOI441" s="23"/>
      <c r="HOJ441" s="23"/>
      <c r="HOK441" s="23"/>
      <c r="HOL441" s="23"/>
      <c r="HOM441" s="23"/>
      <c r="HON441" s="23"/>
      <c r="HOO441" s="23"/>
      <c r="HOP441" s="23"/>
      <c r="HOQ441" s="23"/>
      <c r="HOR441" s="23"/>
      <c r="HOS441" s="23"/>
      <c r="HOT441" s="23"/>
      <c r="HOU441" s="23"/>
      <c r="HOV441" s="23"/>
      <c r="HOW441" s="23"/>
      <c r="HOX441" s="23"/>
      <c r="HOY441" s="23"/>
      <c r="HOZ441" s="23"/>
      <c r="HPA441" s="23"/>
      <c r="HPB441" s="23"/>
      <c r="HPC441" s="23"/>
      <c r="HPD441" s="23"/>
      <c r="HPE441" s="23"/>
      <c r="HPF441" s="23"/>
      <c r="HPG441" s="23"/>
      <c r="HPH441" s="23"/>
      <c r="HPI441" s="23"/>
      <c r="HPJ441" s="23"/>
      <c r="HPK441" s="23"/>
      <c r="HPL441" s="23"/>
      <c r="HPM441" s="23"/>
      <c r="HPN441" s="23"/>
      <c r="HPO441" s="23"/>
      <c r="HPP441" s="23"/>
      <c r="HPQ441" s="23"/>
      <c r="HPR441" s="23"/>
      <c r="HPS441" s="23"/>
      <c r="HPT441" s="23"/>
      <c r="HPU441" s="23"/>
      <c r="HPV441" s="23"/>
      <c r="HPW441" s="23"/>
      <c r="HPX441" s="23"/>
      <c r="HPY441" s="23"/>
      <c r="HPZ441" s="23"/>
      <c r="HQA441" s="23"/>
      <c r="HQB441" s="23"/>
      <c r="HQC441" s="23"/>
      <c r="HQD441" s="23"/>
      <c r="HQE441" s="23"/>
      <c r="HQF441" s="23"/>
      <c r="HQG441" s="23"/>
      <c r="HQH441" s="23"/>
      <c r="HQI441" s="23"/>
      <c r="HQJ441" s="23"/>
      <c r="HQK441" s="23"/>
      <c r="HQL441" s="23"/>
      <c r="HQM441" s="23"/>
      <c r="HQN441" s="23"/>
      <c r="HQO441" s="23"/>
      <c r="HQP441" s="23"/>
      <c r="HQQ441" s="23"/>
      <c r="HQR441" s="23"/>
      <c r="HQS441" s="23"/>
      <c r="HQT441" s="23"/>
      <c r="HQU441" s="23"/>
      <c r="HQV441" s="23"/>
      <c r="HQW441" s="23"/>
      <c r="HQX441" s="23"/>
      <c r="HQY441" s="23"/>
      <c r="HQZ441" s="23"/>
      <c r="HRA441" s="23"/>
      <c r="HRB441" s="23"/>
      <c r="HRC441" s="23"/>
      <c r="HRD441" s="23"/>
      <c r="HRE441" s="23"/>
      <c r="HRF441" s="23"/>
      <c r="HRG441" s="23"/>
      <c r="HRH441" s="23"/>
      <c r="HRI441" s="23"/>
      <c r="HRJ441" s="23"/>
      <c r="HRK441" s="23"/>
      <c r="HRL441" s="23"/>
      <c r="HRM441" s="23"/>
      <c r="HRN441" s="23"/>
      <c r="HRO441" s="23"/>
      <c r="HRP441" s="23"/>
      <c r="HRQ441" s="23"/>
      <c r="HRR441" s="23"/>
      <c r="HRS441" s="23"/>
      <c r="HRT441" s="23"/>
      <c r="HRU441" s="23"/>
      <c r="HRV441" s="23"/>
      <c r="HRW441" s="23"/>
      <c r="HRX441" s="23"/>
      <c r="HRY441" s="23"/>
      <c r="HRZ441" s="23"/>
      <c r="HSA441" s="23"/>
      <c r="HSB441" s="23"/>
      <c r="HSC441" s="23"/>
      <c r="HSD441" s="23"/>
      <c r="HSE441" s="23"/>
      <c r="HSF441" s="23"/>
      <c r="HSG441" s="23"/>
      <c r="HSH441" s="23"/>
      <c r="HSI441" s="23"/>
      <c r="HSJ441" s="23"/>
      <c r="HSK441" s="23"/>
      <c r="HSL441" s="23"/>
      <c r="HSM441" s="23"/>
      <c r="HSN441" s="23"/>
      <c r="HSO441" s="23"/>
      <c r="HSP441" s="23"/>
      <c r="HSQ441" s="23"/>
      <c r="HSR441" s="23"/>
      <c r="HSS441" s="23"/>
      <c r="HST441" s="23"/>
      <c r="HSU441" s="23"/>
      <c r="HSV441" s="23"/>
      <c r="HSW441" s="23"/>
      <c r="HSX441" s="23"/>
      <c r="HSY441" s="23"/>
      <c r="HSZ441" s="23"/>
      <c r="HTA441" s="23"/>
      <c r="HTB441" s="23"/>
      <c r="HTC441" s="23"/>
      <c r="HTD441" s="23"/>
      <c r="HTE441" s="23"/>
      <c r="HTF441" s="23"/>
      <c r="HTG441" s="23"/>
      <c r="HTH441" s="23"/>
      <c r="HTI441" s="23"/>
      <c r="HTJ441" s="23"/>
      <c r="HTK441" s="23"/>
      <c r="HTL441" s="23"/>
      <c r="HTM441" s="23"/>
      <c r="HTN441" s="23"/>
      <c r="HTO441" s="23"/>
      <c r="HTP441" s="23"/>
      <c r="HTQ441" s="23"/>
      <c r="HTR441" s="23"/>
      <c r="HTS441" s="23"/>
      <c r="HTT441" s="23"/>
      <c r="HTU441" s="23"/>
      <c r="HTV441" s="23"/>
      <c r="HTW441" s="23"/>
      <c r="HTX441" s="23"/>
      <c r="HTY441" s="23"/>
      <c r="HTZ441" s="23"/>
      <c r="HUA441" s="23"/>
      <c r="HUB441" s="23"/>
      <c r="HUC441" s="23"/>
      <c r="HUD441" s="23"/>
      <c r="HUE441" s="23"/>
      <c r="HUF441" s="23"/>
      <c r="HUG441" s="23"/>
      <c r="HUH441" s="23"/>
      <c r="HUI441" s="23"/>
      <c r="HUJ441" s="23"/>
      <c r="HUK441" s="23"/>
      <c r="HUL441" s="23"/>
      <c r="HUM441" s="23"/>
      <c r="HUN441" s="23"/>
      <c r="HUO441" s="23"/>
      <c r="HUP441" s="23"/>
      <c r="HUQ441" s="23"/>
      <c r="HUR441" s="23"/>
      <c r="HUS441" s="23"/>
      <c r="HUT441" s="23"/>
      <c r="HUU441" s="23"/>
      <c r="HUV441" s="23"/>
      <c r="HUW441" s="23"/>
      <c r="HUX441" s="23"/>
      <c r="HUY441" s="23"/>
      <c r="HUZ441" s="23"/>
      <c r="HVA441" s="23"/>
      <c r="HVB441" s="23"/>
      <c r="HVC441" s="23"/>
      <c r="HVD441" s="23"/>
      <c r="HVE441" s="23"/>
      <c r="HVF441" s="23"/>
      <c r="HVG441" s="23"/>
      <c r="HVH441" s="23"/>
      <c r="HVI441" s="23"/>
      <c r="HVJ441" s="23"/>
      <c r="HVK441" s="23"/>
      <c r="HVL441" s="23"/>
      <c r="HVM441" s="23"/>
      <c r="HVN441" s="23"/>
      <c r="HVO441" s="23"/>
      <c r="HVP441" s="23"/>
      <c r="HVQ441" s="23"/>
      <c r="HVR441" s="23"/>
      <c r="HVS441" s="23"/>
      <c r="HVT441" s="23"/>
      <c r="HVU441" s="23"/>
      <c r="HVV441" s="23"/>
      <c r="HVW441" s="23"/>
      <c r="HVX441" s="23"/>
      <c r="HVY441" s="23"/>
      <c r="HVZ441" s="23"/>
      <c r="HWA441" s="23"/>
      <c r="HWB441" s="23"/>
      <c r="HWC441" s="23"/>
      <c r="HWD441" s="23"/>
      <c r="HWE441" s="23"/>
      <c r="HWF441" s="23"/>
      <c r="HWG441" s="23"/>
      <c r="HWH441" s="23"/>
      <c r="HWI441" s="23"/>
      <c r="HWJ441" s="23"/>
      <c r="HWK441" s="23"/>
      <c r="HWL441" s="23"/>
      <c r="HWM441" s="23"/>
      <c r="HWN441" s="23"/>
      <c r="HWO441" s="23"/>
      <c r="HWP441" s="23"/>
      <c r="HWQ441" s="23"/>
      <c r="HWR441" s="23"/>
      <c r="HWS441" s="23"/>
      <c r="HWT441" s="23"/>
      <c r="HWU441" s="23"/>
      <c r="HWV441" s="23"/>
      <c r="HWW441" s="23"/>
      <c r="HWX441" s="23"/>
      <c r="HWY441" s="23"/>
      <c r="HWZ441" s="23"/>
      <c r="HXA441" s="23"/>
      <c r="HXB441" s="23"/>
      <c r="HXC441" s="23"/>
      <c r="HXD441" s="23"/>
      <c r="HXE441" s="23"/>
      <c r="HXF441" s="23"/>
      <c r="HXG441" s="23"/>
      <c r="HXH441" s="23"/>
      <c r="HXI441" s="23"/>
      <c r="HXJ441" s="23"/>
      <c r="HXK441" s="23"/>
      <c r="HXL441" s="23"/>
      <c r="HXM441" s="23"/>
      <c r="HXN441" s="23"/>
      <c r="HXO441" s="23"/>
      <c r="HXP441" s="23"/>
      <c r="HXQ441" s="23"/>
      <c r="HXR441" s="23"/>
      <c r="HXS441" s="23"/>
      <c r="HXT441" s="23"/>
      <c r="HXU441" s="23"/>
      <c r="HXV441" s="23"/>
      <c r="HXW441" s="23"/>
      <c r="HXX441" s="23"/>
      <c r="HXY441" s="23"/>
      <c r="HXZ441" s="23"/>
      <c r="HYA441" s="23"/>
      <c r="HYB441" s="23"/>
      <c r="HYC441" s="23"/>
      <c r="HYD441" s="23"/>
      <c r="HYE441" s="23"/>
      <c r="HYF441" s="23"/>
      <c r="HYG441" s="23"/>
      <c r="HYH441" s="23"/>
      <c r="HYI441" s="23"/>
      <c r="HYJ441" s="23"/>
      <c r="HYK441" s="23"/>
      <c r="HYL441" s="23"/>
      <c r="HYM441" s="23"/>
      <c r="HYN441" s="23"/>
      <c r="HYO441" s="23"/>
      <c r="HYP441" s="23"/>
      <c r="HYQ441" s="23"/>
      <c r="HYR441" s="23"/>
      <c r="HYS441" s="23"/>
      <c r="HYT441" s="23"/>
      <c r="HYU441" s="23"/>
      <c r="HYV441" s="23"/>
      <c r="HYW441" s="23"/>
      <c r="HYX441" s="23"/>
      <c r="HYY441" s="23"/>
      <c r="HYZ441" s="23"/>
      <c r="HZA441" s="23"/>
      <c r="HZB441" s="23"/>
      <c r="HZC441" s="23"/>
      <c r="HZD441" s="23"/>
      <c r="HZE441" s="23"/>
      <c r="HZF441" s="23"/>
      <c r="HZG441" s="23"/>
      <c r="HZH441" s="23"/>
      <c r="HZI441" s="23"/>
      <c r="HZJ441" s="23"/>
      <c r="HZK441" s="23"/>
      <c r="HZL441" s="23"/>
      <c r="HZM441" s="23"/>
      <c r="HZN441" s="23"/>
      <c r="HZO441" s="23"/>
      <c r="HZP441" s="23"/>
      <c r="HZQ441" s="23"/>
      <c r="HZR441" s="23"/>
      <c r="HZS441" s="23"/>
      <c r="HZT441" s="23"/>
      <c r="HZU441" s="23"/>
      <c r="HZV441" s="23"/>
      <c r="HZW441" s="23"/>
      <c r="HZX441" s="23"/>
      <c r="HZY441" s="23"/>
      <c r="HZZ441" s="23"/>
      <c r="IAA441" s="23"/>
      <c r="IAB441" s="23"/>
      <c r="IAC441" s="23"/>
      <c r="IAD441" s="23"/>
      <c r="IAE441" s="23"/>
      <c r="IAF441" s="23"/>
      <c r="IAG441" s="23"/>
      <c r="IAH441" s="23"/>
      <c r="IAI441" s="23"/>
      <c r="IAJ441" s="23"/>
      <c r="IAK441" s="23"/>
      <c r="IAL441" s="23"/>
      <c r="IAM441" s="23"/>
      <c r="IAN441" s="23"/>
      <c r="IAO441" s="23"/>
      <c r="IAP441" s="23"/>
      <c r="IAQ441" s="23"/>
      <c r="IAR441" s="23"/>
      <c r="IAS441" s="23"/>
      <c r="IAT441" s="23"/>
      <c r="IAU441" s="23"/>
      <c r="IAV441" s="23"/>
      <c r="IAW441" s="23"/>
      <c r="IAX441" s="23"/>
      <c r="IAY441" s="23"/>
      <c r="IAZ441" s="23"/>
      <c r="IBA441" s="23"/>
      <c r="IBB441" s="23"/>
      <c r="IBC441" s="23"/>
      <c r="IBD441" s="23"/>
      <c r="IBE441" s="23"/>
      <c r="IBF441" s="23"/>
      <c r="IBG441" s="23"/>
      <c r="IBH441" s="23"/>
      <c r="IBI441" s="23"/>
      <c r="IBJ441" s="23"/>
      <c r="IBK441" s="23"/>
      <c r="IBL441" s="23"/>
      <c r="IBM441" s="23"/>
      <c r="IBN441" s="23"/>
      <c r="IBO441" s="23"/>
      <c r="IBP441" s="23"/>
      <c r="IBQ441" s="23"/>
      <c r="IBR441" s="23"/>
      <c r="IBS441" s="23"/>
      <c r="IBT441" s="23"/>
      <c r="IBU441" s="23"/>
      <c r="IBV441" s="23"/>
      <c r="IBW441" s="23"/>
      <c r="IBX441" s="23"/>
      <c r="IBY441" s="23"/>
      <c r="IBZ441" s="23"/>
      <c r="ICA441" s="23"/>
      <c r="ICB441" s="23"/>
      <c r="ICC441" s="23"/>
      <c r="ICD441" s="23"/>
      <c r="ICE441" s="23"/>
      <c r="ICF441" s="23"/>
      <c r="ICG441" s="23"/>
      <c r="ICH441" s="23"/>
      <c r="ICI441" s="23"/>
      <c r="ICJ441" s="23"/>
      <c r="ICK441" s="23"/>
      <c r="ICL441" s="23"/>
      <c r="ICM441" s="23"/>
      <c r="ICN441" s="23"/>
      <c r="ICO441" s="23"/>
      <c r="ICP441" s="23"/>
      <c r="ICQ441" s="23"/>
      <c r="ICR441" s="23"/>
      <c r="ICS441" s="23"/>
      <c r="ICT441" s="23"/>
      <c r="ICU441" s="23"/>
      <c r="ICV441" s="23"/>
      <c r="ICW441" s="23"/>
      <c r="ICX441" s="23"/>
      <c r="ICY441" s="23"/>
      <c r="ICZ441" s="23"/>
      <c r="IDA441" s="23"/>
      <c r="IDB441" s="23"/>
      <c r="IDC441" s="23"/>
      <c r="IDD441" s="23"/>
      <c r="IDE441" s="23"/>
      <c r="IDF441" s="23"/>
      <c r="IDG441" s="23"/>
      <c r="IDH441" s="23"/>
      <c r="IDI441" s="23"/>
      <c r="IDJ441" s="23"/>
      <c r="IDK441" s="23"/>
      <c r="IDL441" s="23"/>
      <c r="IDM441" s="23"/>
      <c r="IDN441" s="23"/>
      <c r="IDO441" s="23"/>
      <c r="IDP441" s="23"/>
      <c r="IDQ441" s="23"/>
      <c r="IDR441" s="23"/>
      <c r="IDS441" s="23"/>
      <c r="IDT441" s="23"/>
      <c r="IDU441" s="23"/>
      <c r="IDV441" s="23"/>
      <c r="IDW441" s="23"/>
      <c r="IDX441" s="23"/>
      <c r="IDY441" s="23"/>
      <c r="IDZ441" s="23"/>
      <c r="IEA441" s="23"/>
      <c r="IEB441" s="23"/>
      <c r="IEC441" s="23"/>
      <c r="IED441" s="23"/>
      <c r="IEE441" s="23"/>
      <c r="IEF441" s="23"/>
      <c r="IEG441" s="23"/>
      <c r="IEH441" s="23"/>
      <c r="IEI441" s="23"/>
      <c r="IEJ441" s="23"/>
      <c r="IEK441" s="23"/>
      <c r="IEL441" s="23"/>
      <c r="IEM441" s="23"/>
      <c r="IEN441" s="23"/>
      <c r="IEO441" s="23"/>
      <c r="IEP441" s="23"/>
      <c r="IEQ441" s="23"/>
      <c r="IER441" s="23"/>
      <c r="IES441" s="23"/>
      <c r="IET441" s="23"/>
      <c r="IEU441" s="23"/>
      <c r="IEV441" s="23"/>
      <c r="IEW441" s="23"/>
      <c r="IEX441" s="23"/>
      <c r="IEY441" s="23"/>
      <c r="IEZ441" s="23"/>
      <c r="IFA441" s="23"/>
      <c r="IFB441" s="23"/>
      <c r="IFC441" s="23"/>
      <c r="IFD441" s="23"/>
      <c r="IFE441" s="23"/>
      <c r="IFF441" s="23"/>
      <c r="IFG441" s="23"/>
      <c r="IFH441" s="23"/>
      <c r="IFI441" s="23"/>
      <c r="IFJ441" s="23"/>
      <c r="IFK441" s="23"/>
      <c r="IFL441" s="23"/>
      <c r="IFM441" s="23"/>
      <c r="IFN441" s="23"/>
      <c r="IFO441" s="23"/>
      <c r="IFP441" s="23"/>
      <c r="IFQ441" s="23"/>
      <c r="IFR441" s="23"/>
      <c r="IFS441" s="23"/>
      <c r="IFT441" s="23"/>
      <c r="IFU441" s="23"/>
      <c r="IFV441" s="23"/>
      <c r="IFW441" s="23"/>
      <c r="IFX441" s="23"/>
      <c r="IFY441" s="23"/>
      <c r="IFZ441" s="23"/>
      <c r="IGA441" s="23"/>
      <c r="IGB441" s="23"/>
      <c r="IGC441" s="23"/>
      <c r="IGD441" s="23"/>
      <c r="IGE441" s="23"/>
      <c r="IGF441" s="23"/>
      <c r="IGG441" s="23"/>
      <c r="IGH441" s="23"/>
      <c r="IGI441" s="23"/>
      <c r="IGJ441" s="23"/>
      <c r="IGK441" s="23"/>
      <c r="IGL441" s="23"/>
      <c r="IGM441" s="23"/>
      <c r="IGN441" s="23"/>
      <c r="IGO441" s="23"/>
      <c r="IGP441" s="23"/>
      <c r="IGQ441" s="23"/>
      <c r="IGR441" s="23"/>
      <c r="IGS441" s="23"/>
      <c r="IGT441" s="23"/>
      <c r="IGU441" s="23"/>
      <c r="IGV441" s="23"/>
      <c r="IGW441" s="23"/>
      <c r="IGX441" s="23"/>
      <c r="IGY441" s="23"/>
      <c r="IGZ441" s="23"/>
      <c r="IHA441" s="23"/>
      <c r="IHB441" s="23"/>
      <c r="IHC441" s="23"/>
      <c r="IHD441" s="23"/>
      <c r="IHE441" s="23"/>
      <c r="IHF441" s="23"/>
      <c r="IHG441" s="23"/>
      <c r="IHH441" s="23"/>
      <c r="IHI441" s="23"/>
      <c r="IHJ441" s="23"/>
      <c r="IHK441" s="23"/>
      <c r="IHL441" s="23"/>
      <c r="IHM441" s="23"/>
      <c r="IHN441" s="23"/>
      <c r="IHO441" s="23"/>
      <c r="IHP441" s="23"/>
      <c r="IHQ441" s="23"/>
      <c r="IHR441" s="23"/>
      <c r="IHS441" s="23"/>
      <c r="IHT441" s="23"/>
      <c r="IHU441" s="23"/>
      <c r="IHV441" s="23"/>
      <c r="IHW441" s="23"/>
      <c r="IHX441" s="23"/>
      <c r="IHY441" s="23"/>
      <c r="IHZ441" s="23"/>
      <c r="IIA441" s="23"/>
      <c r="IIB441" s="23"/>
      <c r="IIC441" s="23"/>
      <c r="IID441" s="23"/>
      <c r="IIE441" s="23"/>
      <c r="IIF441" s="23"/>
      <c r="IIG441" s="23"/>
      <c r="IIH441" s="23"/>
      <c r="III441" s="23"/>
      <c r="IIJ441" s="23"/>
      <c r="IIK441" s="23"/>
      <c r="IIL441" s="23"/>
      <c r="IIM441" s="23"/>
      <c r="IIN441" s="23"/>
      <c r="IIO441" s="23"/>
      <c r="IIP441" s="23"/>
      <c r="IIQ441" s="23"/>
      <c r="IIR441" s="23"/>
      <c r="IIS441" s="23"/>
      <c r="IIT441" s="23"/>
      <c r="IIU441" s="23"/>
      <c r="IIV441" s="23"/>
      <c r="IIW441" s="23"/>
      <c r="IIX441" s="23"/>
      <c r="IIY441" s="23"/>
      <c r="IIZ441" s="23"/>
      <c r="IJA441" s="23"/>
      <c r="IJB441" s="23"/>
      <c r="IJC441" s="23"/>
      <c r="IJD441" s="23"/>
      <c r="IJE441" s="23"/>
      <c r="IJF441" s="23"/>
      <c r="IJG441" s="23"/>
      <c r="IJH441" s="23"/>
      <c r="IJI441" s="23"/>
      <c r="IJJ441" s="23"/>
      <c r="IJK441" s="23"/>
      <c r="IJL441" s="23"/>
      <c r="IJM441" s="23"/>
      <c r="IJN441" s="23"/>
      <c r="IJO441" s="23"/>
      <c r="IJP441" s="23"/>
      <c r="IJQ441" s="23"/>
      <c r="IJR441" s="23"/>
      <c r="IJS441" s="23"/>
      <c r="IJT441" s="23"/>
      <c r="IJU441" s="23"/>
      <c r="IJV441" s="23"/>
      <c r="IJW441" s="23"/>
      <c r="IJX441" s="23"/>
      <c r="IJY441" s="23"/>
      <c r="IJZ441" s="23"/>
      <c r="IKA441" s="23"/>
      <c r="IKB441" s="23"/>
      <c r="IKC441" s="23"/>
      <c r="IKD441" s="23"/>
      <c r="IKE441" s="23"/>
      <c r="IKF441" s="23"/>
      <c r="IKG441" s="23"/>
      <c r="IKH441" s="23"/>
      <c r="IKI441" s="23"/>
      <c r="IKJ441" s="23"/>
      <c r="IKK441" s="23"/>
      <c r="IKL441" s="23"/>
      <c r="IKM441" s="23"/>
      <c r="IKN441" s="23"/>
      <c r="IKO441" s="23"/>
      <c r="IKP441" s="23"/>
      <c r="IKQ441" s="23"/>
      <c r="IKR441" s="23"/>
      <c r="IKS441" s="23"/>
      <c r="IKT441" s="23"/>
      <c r="IKU441" s="23"/>
      <c r="IKV441" s="23"/>
      <c r="IKW441" s="23"/>
      <c r="IKX441" s="23"/>
      <c r="IKY441" s="23"/>
      <c r="IKZ441" s="23"/>
      <c r="ILA441" s="23"/>
      <c r="ILB441" s="23"/>
      <c r="ILC441" s="23"/>
      <c r="ILD441" s="23"/>
      <c r="ILE441" s="23"/>
      <c r="ILF441" s="23"/>
      <c r="ILG441" s="23"/>
      <c r="ILH441" s="23"/>
      <c r="ILI441" s="23"/>
      <c r="ILJ441" s="23"/>
      <c r="ILK441" s="23"/>
      <c r="ILL441" s="23"/>
      <c r="ILM441" s="23"/>
      <c r="ILN441" s="23"/>
      <c r="ILO441" s="23"/>
      <c r="ILP441" s="23"/>
      <c r="ILQ441" s="23"/>
      <c r="ILR441" s="23"/>
      <c r="ILS441" s="23"/>
      <c r="ILT441" s="23"/>
      <c r="ILU441" s="23"/>
      <c r="ILV441" s="23"/>
      <c r="ILW441" s="23"/>
      <c r="ILX441" s="23"/>
      <c r="ILY441" s="23"/>
      <c r="ILZ441" s="23"/>
      <c r="IMA441" s="23"/>
      <c r="IMB441" s="23"/>
      <c r="IMC441" s="23"/>
      <c r="IMD441" s="23"/>
      <c r="IME441" s="23"/>
      <c r="IMF441" s="23"/>
      <c r="IMG441" s="23"/>
      <c r="IMH441" s="23"/>
      <c r="IMI441" s="23"/>
      <c r="IMJ441" s="23"/>
      <c r="IMK441" s="23"/>
      <c r="IML441" s="23"/>
      <c r="IMM441" s="23"/>
      <c r="IMN441" s="23"/>
      <c r="IMO441" s="23"/>
      <c r="IMP441" s="23"/>
      <c r="IMQ441" s="23"/>
      <c r="IMR441" s="23"/>
      <c r="IMS441" s="23"/>
      <c r="IMT441" s="23"/>
      <c r="IMU441" s="23"/>
      <c r="IMV441" s="23"/>
      <c r="IMW441" s="23"/>
      <c r="IMX441" s="23"/>
      <c r="IMY441" s="23"/>
      <c r="IMZ441" s="23"/>
      <c r="INA441" s="23"/>
      <c r="INB441" s="23"/>
      <c r="INC441" s="23"/>
      <c r="IND441" s="23"/>
      <c r="INE441" s="23"/>
      <c r="INF441" s="23"/>
      <c r="ING441" s="23"/>
      <c r="INH441" s="23"/>
      <c r="INI441" s="23"/>
      <c r="INJ441" s="23"/>
      <c r="INK441" s="23"/>
      <c r="INL441" s="23"/>
      <c r="INM441" s="23"/>
      <c r="INN441" s="23"/>
      <c r="INO441" s="23"/>
      <c r="INP441" s="23"/>
      <c r="INQ441" s="23"/>
      <c r="INR441" s="23"/>
      <c r="INS441" s="23"/>
      <c r="INT441" s="23"/>
      <c r="INU441" s="23"/>
      <c r="INV441" s="23"/>
      <c r="INW441" s="23"/>
      <c r="INX441" s="23"/>
      <c r="INY441" s="23"/>
      <c r="INZ441" s="23"/>
      <c r="IOA441" s="23"/>
      <c r="IOB441" s="23"/>
      <c r="IOC441" s="23"/>
      <c r="IOD441" s="23"/>
      <c r="IOE441" s="23"/>
      <c r="IOF441" s="23"/>
      <c r="IOG441" s="23"/>
      <c r="IOH441" s="23"/>
      <c r="IOI441" s="23"/>
      <c r="IOJ441" s="23"/>
      <c r="IOK441" s="23"/>
      <c r="IOL441" s="23"/>
      <c r="IOM441" s="23"/>
      <c r="ION441" s="23"/>
      <c r="IOO441" s="23"/>
      <c r="IOP441" s="23"/>
      <c r="IOQ441" s="23"/>
      <c r="IOR441" s="23"/>
      <c r="IOS441" s="23"/>
      <c r="IOT441" s="23"/>
      <c r="IOU441" s="23"/>
      <c r="IOV441" s="23"/>
      <c r="IOW441" s="23"/>
      <c r="IOX441" s="23"/>
      <c r="IOY441" s="23"/>
      <c r="IOZ441" s="23"/>
      <c r="IPA441" s="23"/>
      <c r="IPB441" s="23"/>
      <c r="IPC441" s="23"/>
      <c r="IPD441" s="23"/>
      <c r="IPE441" s="23"/>
      <c r="IPF441" s="23"/>
      <c r="IPG441" s="23"/>
      <c r="IPH441" s="23"/>
      <c r="IPI441" s="23"/>
      <c r="IPJ441" s="23"/>
      <c r="IPK441" s="23"/>
      <c r="IPL441" s="23"/>
      <c r="IPM441" s="23"/>
      <c r="IPN441" s="23"/>
      <c r="IPO441" s="23"/>
      <c r="IPP441" s="23"/>
      <c r="IPQ441" s="23"/>
      <c r="IPR441" s="23"/>
      <c r="IPS441" s="23"/>
      <c r="IPT441" s="23"/>
      <c r="IPU441" s="23"/>
      <c r="IPV441" s="23"/>
      <c r="IPW441" s="23"/>
      <c r="IPX441" s="23"/>
      <c r="IPY441" s="23"/>
      <c r="IPZ441" s="23"/>
      <c r="IQA441" s="23"/>
      <c r="IQB441" s="23"/>
      <c r="IQC441" s="23"/>
      <c r="IQD441" s="23"/>
      <c r="IQE441" s="23"/>
      <c r="IQF441" s="23"/>
      <c r="IQG441" s="23"/>
      <c r="IQH441" s="23"/>
      <c r="IQI441" s="23"/>
      <c r="IQJ441" s="23"/>
      <c r="IQK441" s="23"/>
      <c r="IQL441" s="23"/>
      <c r="IQM441" s="23"/>
      <c r="IQN441" s="23"/>
      <c r="IQO441" s="23"/>
      <c r="IQP441" s="23"/>
      <c r="IQQ441" s="23"/>
      <c r="IQR441" s="23"/>
      <c r="IQS441" s="23"/>
      <c r="IQT441" s="23"/>
      <c r="IQU441" s="23"/>
      <c r="IQV441" s="23"/>
      <c r="IQW441" s="23"/>
      <c r="IQX441" s="23"/>
      <c r="IQY441" s="23"/>
      <c r="IQZ441" s="23"/>
      <c r="IRA441" s="23"/>
      <c r="IRB441" s="23"/>
      <c r="IRC441" s="23"/>
      <c r="IRD441" s="23"/>
      <c r="IRE441" s="23"/>
      <c r="IRF441" s="23"/>
      <c r="IRG441" s="23"/>
      <c r="IRH441" s="23"/>
      <c r="IRI441" s="23"/>
      <c r="IRJ441" s="23"/>
      <c r="IRK441" s="23"/>
      <c r="IRL441" s="23"/>
      <c r="IRM441" s="23"/>
      <c r="IRN441" s="23"/>
      <c r="IRO441" s="23"/>
      <c r="IRP441" s="23"/>
      <c r="IRQ441" s="23"/>
      <c r="IRR441" s="23"/>
      <c r="IRS441" s="23"/>
      <c r="IRT441" s="23"/>
      <c r="IRU441" s="23"/>
      <c r="IRV441" s="23"/>
      <c r="IRW441" s="23"/>
      <c r="IRX441" s="23"/>
      <c r="IRY441" s="23"/>
      <c r="IRZ441" s="23"/>
      <c r="ISA441" s="23"/>
      <c r="ISB441" s="23"/>
      <c r="ISC441" s="23"/>
      <c r="ISD441" s="23"/>
      <c r="ISE441" s="23"/>
      <c r="ISF441" s="23"/>
      <c r="ISG441" s="23"/>
      <c r="ISH441" s="23"/>
      <c r="ISI441" s="23"/>
      <c r="ISJ441" s="23"/>
      <c r="ISK441" s="23"/>
      <c r="ISL441" s="23"/>
      <c r="ISM441" s="23"/>
      <c r="ISN441" s="23"/>
      <c r="ISO441" s="23"/>
      <c r="ISP441" s="23"/>
      <c r="ISQ441" s="23"/>
      <c r="ISR441" s="23"/>
      <c r="ISS441" s="23"/>
      <c r="IST441" s="23"/>
      <c r="ISU441" s="23"/>
      <c r="ISV441" s="23"/>
      <c r="ISW441" s="23"/>
      <c r="ISX441" s="23"/>
      <c r="ISY441" s="23"/>
      <c r="ISZ441" s="23"/>
      <c r="ITA441" s="23"/>
      <c r="ITB441" s="23"/>
      <c r="ITC441" s="23"/>
      <c r="ITD441" s="23"/>
      <c r="ITE441" s="23"/>
      <c r="ITF441" s="23"/>
      <c r="ITG441" s="23"/>
      <c r="ITH441" s="23"/>
      <c r="ITI441" s="23"/>
      <c r="ITJ441" s="23"/>
      <c r="ITK441" s="23"/>
      <c r="ITL441" s="23"/>
      <c r="ITM441" s="23"/>
      <c r="ITN441" s="23"/>
      <c r="ITO441" s="23"/>
      <c r="ITP441" s="23"/>
      <c r="ITQ441" s="23"/>
      <c r="ITR441" s="23"/>
      <c r="ITS441" s="23"/>
      <c r="ITT441" s="23"/>
      <c r="ITU441" s="23"/>
      <c r="ITV441" s="23"/>
      <c r="ITW441" s="23"/>
      <c r="ITX441" s="23"/>
      <c r="ITY441" s="23"/>
      <c r="ITZ441" s="23"/>
      <c r="IUA441" s="23"/>
      <c r="IUB441" s="23"/>
      <c r="IUC441" s="23"/>
      <c r="IUD441" s="23"/>
      <c r="IUE441" s="23"/>
      <c r="IUF441" s="23"/>
      <c r="IUG441" s="23"/>
      <c r="IUH441" s="23"/>
      <c r="IUI441" s="23"/>
      <c r="IUJ441" s="23"/>
      <c r="IUK441" s="23"/>
      <c r="IUL441" s="23"/>
      <c r="IUM441" s="23"/>
      <c r="IUN441" s="23"/>
      <c r="IUO441" s="23"/>
      <c r="IUP441" s="23"/>
      <c r="IUQ441" s="23"/>
      <c r="IUR441" s="23"/>
      <c r="IUS441" s="23"/>
      <c r="IUT441" s="23"/>
      <c r="IUU441" s="23"/>
      <c r="IUV441" s="23"/>
      <c r="IUW441" s="23"/>
      <c r="IUX441" s="23"/>
      <c r="IUY441" s="23"/>
      <c r="IUZ441" s="23"/>
      <c r="IVA441" s="23"/>
      <c r="IVB441" s="23"/>
      <c r="IVC441" s="23"/>
      <c r="IVD441" s="23"/>
      <c r="IVE441" s="23"/>
      <c r="IVF441" s="23"/>
      <c r="IVG441" s="23"/>
      <c r="IVH441" s="23"/>
      <c r="IVI441" s="23"/>
      <c r="IVJ441" s="23"/>
      <c r="IVK441" s="23"/>
      <c r="IVL441" s="23"/>
      <c r="IVM441" s="23"/>
      <c r="IVN441" s="23"/>
      <c r="IVO441" s="23"/>
      <c r="IVP441" s="23"/>
      <c r="IVQ441" s="23"/>
      <c r="IVR441" s="23"/>
      <c r="IVS441" s="23"/>
      <c r="IVT441" s="23"/>
      <c r="IVU441" s="23"/>
      <c r="IVV441" s="23"/>
      <c r="IVW441" s="23"/>
      <c r="IVX441" s="23"/>
      <c r="IVY441" s="23"/>
      <c r="IVZ441" s="23"/>
      <c r="IWA441" s="23"/>
      <c r="IWB441" s="23"/>
      <c r="IWC441" s="23"/>
      <c r="IWD441" s="23"/>
      <c r="IWE441" s="23"/>
      <c r="IWF441" s="23"/>
      <c r="IWG441" s="23"/>
      <c r="IWH441" s="23"/>
      <c r="IWI441" s="23"/>
      <c r="IWJ441" s="23"/>
      <c r="IWK441" s="23"/>
      <c r="IWL441" s="23"/>
      <c r="IWM441" s="23"/>
      <c r="IWN441" s="23"/>
      <c r="IWO441" s="23"/>
      <c r="IWP441" s="23"/>
      <c r="IWQ441" s="23"/>
      <c r="IWR441" s="23"/>
      <c r="IWS441" s="23"/>
      <c r="IWT441" s="23"/>
      <c r="IWU441" s="23"/>
      <c r="IWV441" s="23"/>
      <c r="IWW441" s="23"/>
      <c r="IWX441" s="23"/>
      <c r="IWY441" s="23"/>
      <c r="IWZ441" s="23"/>
      <c r="IXA441" s="23"/>
      <c r="IXB441" s="23"/>
      <c r="IXC441" s="23"/>
      <c r="IXD441" s="23"/>
      <c r="IXE441" s="23"/>
      <c r="IXF441" s="23"/>
      <c r="IXG441" s="23"/>
      <c r="IXH441" s="23"/>
      <c r="IXI441" s="23"/>
      <c r="IXJ441" s="23"/>
      <c r="IXK441" s="23"/>
      <c r="IXL441" s="23"/>
      <c r="IXM441" s="23"/>
      <c r="IXN441" s="23"/>
      <c r="IXO441" s="23"/>
      <c r="IXP441" s="23"/>
      <c r="IXQ441" s="23"/>
      <c r="IXR441" s="23"/>
      <c r="IXS441" s="23"/>
      <c r="IXT441" s="23"/>
      <c r="IXU441" s="23"/>
      <c r="IXV441" s="23"/>
      <c r="IXW441" s="23"/>
      <c r="IXX441" s="23"/>
      <c r="IXY441" s="23"/>
      <c r="IXZ441" s="23"/>
      <c r="IYA441" s="23"/>
      <c r="IYB441" s="23"/>
      <c r="IYC441" s="23"/>
      <c r="IYD441" s="23"/>
      <c r="IYE441" s="23"/>
      <c r="IYF441" s="23"/>
      <c r="IYG441" s="23"/>
      <c r="IYH441" s="23"/>
      <c r="IYI441" s="23"/>
      <c r="IYJ441" s="23"/>
      <c r="IYK441" s="23"/>
      <c r="IYL441" s="23"/>
      <c r="IYM441" s="23"/>
      <c r="IYN441" s="23"/>
      <c r="IYO441" s="23"/>
      <c r="IYP441" s="23"/>
      <c r="IYQ441" s="23"/>
      <c r="IYR441" s="23"/>
      <c r="IYS441" s="23"/>
      <c r="IYT441" s="23"/>
      <c r="IYU441" s="23"/>
      <c r="IYV441" s="23"/>
      <c r="IYW441" s="23"/>
      <c r="IYX441" s="23"/>
      <c r="IYY441" s="23"/>
      <c r="IYZ441" s="23"/>
      <c r="IZA441" s="23"/>
      <c r="IZB441" s="23"/>
      <c r="IZC441" s="23"/>
      <c r="IZD441" s="23"/>
      <c r="IZE441" s="23"/>
      <c r="IZF441" s="23"/>
      <c r="IZG441" s="23"/>
      <c r="IZH441" s="23"/>
      <c r="IZI441" s="23"/>
      <c r="IZJ441" s="23"/>
      <c r="IZK441" s="23"/>
      <c r="IZL441" s="23"/>
      <c r="IZM441" s="23"/>
      <c r="IZN441" s="23"/>
      <c r="IZO441" s="23"/>
      <c r="IZP441" s="23"/>
      <c r="IZQ441" s="23"/>
      <c r="IZR441" s="23"/>
      <c r="IZS441" s="23"/>
      <c r="IZT441" s="23"/>
      <c r="IZU441" s="23"/>
      <c r="IZV441" s="23"/>
      <c r="IZW441" s="23"/>
      <c r="IZX441" s="23"/>
      <c r="IZY441" s="23"/>
      <c r="IZZ441" s="23"/>
      <c r="JAA441" s="23"/>
      <c r="JAB441" s="23"/>
      <c r="JAC441" s="23"/>
      <c r="JAD441" s="23"/>
      <c r="JAE441" s="23"/>
      <c r="JAF441" s="23"/>
      <c r="JAG441" s="23"/>
      <c r="JAH441" s="23"/>
      <c r="JAI441" s="23"/>
      <c r="JAJ441" s="23"/>
      <c r="JAK441" s="23"/>
      <c r="JAL441" s="23"/>
      <c r="JAM441" s="23"/>
      <c r="JAN441" s="23"/>
      <c r="JAO441" s="23"/>
      <c r="JAP441" s="23"/>
      <c r="JAQ441" s="23"/>
      <c r="JAR441" s="23"/>
      <c r="JAS441" s="23"/>
      <c r="JAT441" s="23"/>
      <c r="JAU441" s="23"/>
      <c r="JAV441" s="23"/>
      <c r="JAW441" s="23"/>
      <c r="JAX441" s="23"/>
      <c r="JAY441" s="23"/>
      <c r="JAZ441" s="23"/>
      <c r="JBA441" s="23"/>
      <c r="JBB441" s="23"/>
      <c r="JBC441" s="23"/>
      <c r="JBD441" s="23"/>
      <c r="JBE441" s="23"/>
      <c r="JBF441" s="23"/>
      <c r="JBG441" s="23"/>
      <c r="JBH441" s="23"/>
      <c r="JBI441" s="23"/>
      <c r="JBJ441" s="23"/>
      <c r="JBK441" s="23"/>
      <c r="JBL441" s="23"/>
      <c r="JBM441" s="23"/>
      <c r="JBN441" s="23"/>
      <c r="JBO441" s="23"/>
      <c r="JBP441" s="23"/>
      <c r="JBQ441" s="23"/>
      <c r="JBR441" s="23"/>
      <c r="JBS441" s="23"/>
      <c r="JBT441" s="23"/>
      <c r="JBU441" s="23"/>
      <c r="JBV441" s="23"/>
      <c r="JBW441" s="23"/>
      <c r="JBX441" s="23"/>
      <c r="JBY441" s="23"/>
      <c r="JBZ441" s="23"/>
      <c r="JCA441" s="23"/>
      <c r="JCB441" s="23"/>
      <c r="JCC441" s="23"/>
      <c r="JCD441" s="23"/>
      <c r="JCE441" s="23"/>
      <c r="JCF441" s="23"/>
      <c r="JCG441" s="23"/>
      <c r="JCH441" s="23"/>
      <c r="JCI441" s="23"/>
      <c r="JCJ441" s="23"/>
      <c r="JCK441" s="23"/>
      <c r="JCL441" s="23"/>
      <c r="JCM441" s="23"/>
      <c r="JCN441" s="23"/>
      <c r="JCO441" s="23"/>
      <c r="JCP441" s="23"/>
      <c r="JCQ441" s="23"/>
      <c r="JCR441" s="23"/>
      <c r="JCS441" s="23"/>
      <c r="JCT441" s="23"/>
      <c r="JCU441" s="23"/>
      <c r="JCV441" s="23"/>
      <c r="JCW441" s="23"/>
      <c r="JCX441" s="23"/>
      <c r="JCY441" s="23"/>
      <c r="JCZ441" s="23"/>
      <c r="JDA441" s="23"/>
      <c r="JDB441" s="23"/>
      <c r="JDC441" s="23"/>
      <c r="JDD441" s="23"/>
      <c r="JDE441" s="23"/>
      <c r="JDF441" s="23"/>
      <c r="JDG441" s="23"/>
      <c r="JDH441" s="23"/>
      <c r="JDI441" s="23"/>
      <c r="JDJ441" s="23"/>
      <c r="JDK441" s="23"/>
      <c r="JDL441" s="23"/>
      <c r="JDM441" s="23"/>
      <c r="JDN441" s="23"/>
      <c r="JDO441" s="23"/>
      <c r="JDP441" s="23"/>
      <c r="JDQ441" s="23"/>
      <c r="JDR441" s="23"/>
      <c r="JDS441" s="23"/>
      <c r="JDT441" s="23"/>
      <c r="JDU441" s="23"/>
      <c r="JDV441" s="23"/>
      <c r="JDW441" s="23"/>
      <c r="JDX441" s="23"/>
      <c r="JDY441" s="23"/>
      <c r="JDZ441" s="23"/>
      <c r="JEA441" s="23"/>
      <c r="JEB441" s="23"/>
      <c r="JEC441" s="23"/>
      <c r="JED441" s="23"/>
      <c r="JEE441" s="23"/>
      <c r="JEF441" s="23"/>
      <c r="JEG441" s="23"/>
      <c r="JEH441" s="23"/>
      <c r="JEI441" s="23"/>
      <c r="JEJ441" s="23"/>
      <c r="JEK441" s="23"/>
      <c r="JEL441" s="23"/>
      <c r="JEM441" s="23"/>
      <c r="JEN441" s="23"/>
      <c r="JEO441" s="23"/>
      <c r="JEP441" s="23"/>
      <c r="JEQ441" s="23"/>
      <c r="JER441" s="23"/>
      <c r="JES441" s="23"/>
      <c r="JET441" s="23"/>
      <c r="JEU441" s="23"/>
      <c r="JEV441" s="23"/>
      <c r="JEW441" s="23"/>
      <c r="JEX441" s="23"/>
      <c r="JEY441" s="23"/>
      <c r="JEZ441" s="23"/>
      <c r="JFA441" s="23"/>
      <c r="JFB441" s="23"/>
      <c r="JFC441" s="23"/>
      <c r="JFD441" s="23"/>
      <c r="JFE441" s="23"/>
      <c r="JFF441" s="23"/>
      <c r="JFG441" s="23"/>
      <c r="JFH441" s="23"/>
      <c r="JFI441" s="23"/>
      <c r="JFJ441" s="23"/>
      <c r="JFK441" s="23"/>
      <c r="JFL441" s="23"/>
      <c r="JFM441" s="23"/>
      <c r="JFN441" s="23"/>
      <c r="JFO441" s="23"/>
      <c r="JFP441" s="23"/>
      <c r="JFQ441" s="23"/>
      <c r="JFR441" s="23"/>
      <c r="JFS441" s="23"/>
      <c r="JFT441" s="23"/>
      <c r="JFU441" s="23"/>
      <c r="JFV441" s="23"/>
      <c r="JFW441" s="23"/>
      <c r="JFX441" s="23"/>
      <c r="JFY441" s="23"/>
      <c r="JFZ441" s="23"/>
      <c r="JGA441" s="23"/>
      <c r="JGB441" s="23"/>
      <c r="JGC441" s="23"/>
      <c r="JGD441" s="23"/>
      <c r="JGE441" s="23"/>
      <c r="JGF441" s="23"/>
      <c r="JGG441" s="23"/>
      <c r="JGH441" s="23"/>
      <c r="JGI441" s="23"/>
      <c r="JGJ441" s="23"/>
      <c r="JGK441" s="23"/>
      <c r="JGL441" s="23"/>
      <c r="JGM441" s="23"/>
      <c r="JGN441" s="23"/>
      <c r="JGO441" s="23"/>
      <c r="JGP441" s="23"/>
      <c r="JGQ441" s="23"/>
      <c r="JGR441" s="23"/>
      <c r="JGS441" s="23"/>
      <c r="JGT441" s="23"/>
      <c r="JGU441" s="23"/>
      <c r="JGV441" s="23"/>
      <c r="JGW441" s="23"/>
      <c r="JGX441" s="23"/>
      <c r="JGY441" s="23"/>
      <c r="JGZ441" s="23"/>
      <c r="JHA441" s="23"/>
      <c r="JHB441" s="23"/>
      <c r="JHC441" s="23"/>
      <c r="JHD441" s="23"/>
      <c r="JHE441" s="23"/>
      <c r="JHF441" s="23"/>
      <c r="JHG441" s="23"/>
      <c r="JHH441" s="23"/>
      <c r="JHI441" s="23"/>
      <c r="JHJ441" s="23"/>
      <c r="JHK441" s="23"/>
      <c r="JHL441" s="23"/>
      <c r="JHM441" s="23"/>
      <c r="JHN441" s="23"/>
      <c r="JHO441" s="23"/>
      <c r="JHP441" s="23"/>
      <c r="JHQ441" s="23"/>
      <c r="JHR441" s="23"/>
      <c r="JHS441" s="23"/>
      <c r="JHT441" s="23"/>
      <c r="JHU441" s="23"/>
      <c r="JHV441" s="23"/>
      <c r="JHW441" s="23"/>
      <c r="JHX441" s="23"/>
      <c r="JHY441" s="23"/>
      <c r="JHZ441" s="23"/>
      <c r="JIA441" s="23"/>
      <c r="JIB441" s="23"/>
      <c r="JIC441" s="23"/>
      <c r="JID441" s="23"/>
      <c r="JIE441" s="23"/>
      <c r="JIF441" s="23"/>
      <c r="JIG441" s="23"/>
      <c r="JIH441" s="23"/>
      <c r="JII441" s="23"/>
      <c r="JIJ441" s="23"/>
      <c r="JIK441" s="23"/>
      <c r="JIL441" s="23"/>
      <c r="JIM441" s="23"/>
      <c r="JIN441" s="23"/>
      <c r="JIO441" s="23"/>
      <c r="JIP441" s="23"/>
      <c r="JIQ441" s="23"/>
      <c r="JIR441" s="23"/>
      <c r="JIS441" s="23"/>
      <c r="JIT441" s="23"/>
      <c r="JIU441" s="23"/>
      <c r="JIV441" s="23"/>
      <c r="JIW441" s="23"/>
      <c r="JIX441" s="23"/>
      <c r="JIY441" s="23"/>
      <c r="JIZ441" s="23"/>
      <c r="JJA441" s="23"/>
      <c r="JJB441" s="23"/>
      <c r="JJC441" s="23"/>
      <c r="JJD441" s="23"/>
      <c r="JJE441" s="23"/>
      <c r="JJF441" s="23"/>
      <c r="JJG441" s="23"/>
      <c r="JJH441" s="23"/>
      <c r="JJI441" s="23"/>
      <c r="JJJ441" s="23"/>
      <c r="JJK441" s="23"/>
      <c r="JJL441" s="23"/>
      <c r="JJM441" s="23"/>
      <c r="JJN441" s="23"/>
      <c r="JJO441" s="23"/>
      <c r="JJP441" s="23"/>
      <c r="JJQ441" s="23"/>
      <c r="JJR441" s="23"/>
      <c r="JJS441" s="23"/>
      <c r="JJT441" s="23"/>
      <c r="JJU441" s="23"/>
      <c r="JJV441" s="23"/>
      <c r="JJW441" s="23"/>
      <c r="JJX441" s="23"/>
      <c r="JJY441" s="23"/>
      <c r="JJZ441" s="23"/>
      <c r="JKA441" s="23"/>
      <c r="JKB441" s="23"/>
      <c r="JKC441" s="23"/>
      <c r="JKD441" s="23"/>
      <c r="JKE441" s="23"/>
      <c r="JKF441" s="23"/>
      <c r="JKG441" s="23"/>
      <c r="JKH441" s="23"/>
      <c r="JKI441" s="23"/>
      <c r="JKJ441" s="23"/>
      <c r="JKK441" s="23"/>
      <c r="JKL441" s="23"/>
      <c r="JKM441" s="23"/>
      <c r="JKN441" s="23"/>
      <c r="JKO441" s="23"/>
      <c r="JKP441" s="23"/>
      <c r="JKQ441" s="23"/>
      <c r="JKR441" s="23"/>
      <c r="JKS441" s="23"/>
      <c r="JKT441" s="23"/>
      <c r="JKU441" s="23"/>
      <c r="JKV441" s="23"/>
      <c r="JKW441" s="23"/>
      <c r="JKX441" s="23"/>
      <c r="JKY441" s="23"/>
      <c r="JKZ441" s="23"/>
      <c r="JLA441" s="23"/>
      <c r="JLB441" s="23"/>
      <c r="JLC441" s="23"/>
      <c r="JLD441" s="23"/>
      <c r="JLE441" s="23"/>
      <c r="JLF441" s="23"/>
      <c r="JLG441" s="23"/>
      <c r="JLH441" s="23"/>
      <c r="JLI441" s="23"/>
      <c r="JLJ441" s="23"/>
      <c r="JLK441" s="23"/>
      <c r="JLL441" s="23"/>
      <c r="JLM441" s="23"/>
      <c r="JLN441" s="23"/>
      <c r="JLO441" s="23"/>
      <c r="JLP441" s="23"/>
      <c r="JLQ441" s="23"/>
      <c r="JLR441" s="23"/>
      <c r="JLS441" s="23"/>
      <c r="JLT441" s="23"/>
      <c r="JLU441" s="23"/>
      <c r="JLV441" s="23"/>
      <c r="JLW441" s="23"/>
      <c r="JLX441" s="23"/>
      <c r="JLY441" s="23"/>
      <c r="JLZ441" s="23"/>
      <c r="JMA441" s="23"/>
      <c r="JMB441" s="23"/>
      <c r="JMC441" s="23"/>
      <c r="JMD441" s="23"/>
      <c r="JME441" s="23"/>
      <c r="JMF441" s="23"/>
      <c r="JMG441" s="23"/>
      <c r="JMH441" s="23"/>
      <c r="JMI441" s="23"/>
      <c r="JMJ441" s="23"/>
      <c r="JMK441" s="23"/>
      <c r="JML441" s="23"/>
      <c r="JMM441" s="23"/>
      <c r="JMN441" s="23"/>
      <c r="JMO441" s="23"/>
      <c r="JMP441" s="23"/>
      <c r="JMQ441" s="23"/>
      <c r="JMR441" s="23"/>
      <c r="JMS441" s="23"/>
      <c r="JMT441" s="23"/>
      <c r="JMU441" s="23"/>
      <c r="JMV441" s="23"/>
      <c r="JMW441" s="23"/>
      <c r="JMX441" s="23"/>
      <c r="JMY441" s="23"/>
      <c r="JMZ441" s="23"/>
      <c r="JNA441" s="23"/>
      <c r="JNB441" s="23"/>
      <c r="JNC441" s="23"/>
      <c r="JND441" s="23"/>
      <c r="JNE441" s="23"/>
      <c r="JNF441" s="23"/>
      <c r="JNG441" s="23"/>
      <c r="JNH441" s="23"/>
      <c r="JNI441" s="23"/>
      <c r="JNJ441" s="23"/>
      <c r="JNK441" s="23"/>
      <c r="JNL441" s="23"/>
      <c r="JNM441" s="23"/>
      <c r="JNN441" s="23"/>
      <c r="JNO441" s="23"/>
      <c r="JNP441" s="23"/>
      <c r="JNQ441" s="23"/>
      <c r="JNR441" s="23"/>
      <c r="JNS441" s="23"/>
      <c r="JNT441" s="23"/>
      <c r="JNU441" s="23"/>
      <c r="JNV441" s="23"/>
      <c r="JNW441" s="23"/>
      <c r="JNX441" s="23"/>
      <c r="JNY441" s="23"/>
      <c r="JNZ441" s="23"/>
      <c r="JOA441" s="23"/>
      <c r="JOB441" s="23"/>
      <c r="JOC441" s="23"/>
      <c r="JOD441" s="23"/>
      <c r="JOE441" s="23"/>
      <c r="JOF441" s="23"/>
      <c r="JOG441" s="23"/>
      <c r="JOH441" s="23"/>
      <c r="JOI441" s="23"/>
      <c r="JOJ441" s="23"/>
      <c r="JOK441" s="23"/>
      <c r="JOL441" s="23"/>
      <c r="JOM441" s="23"/>
      <c r="JON441" s="23"/>
      <c r="JOO441" s="23"/>
      <c r="JOP441" s="23"/>
      <c r="JOQ441" s="23"/>
      <c r="JOR441" s="23"/>
      <c r="JOS441" s="23"/>
      <c r="JOT441" s="23"/>
      <c r="JOU441" s="23"/>
      <c r="JOV441" s="23"/>
      <c r="JOW441" s="23"/>
      <c r="JOX441" s="23"/>
      <c r="JOY441" s="23"/>
      <c r="JOZ441" s="23"/>
      <c r="JPA441" s="23"/>
      <c r="JPB441" s="23"/>
      <c r="JPC441" s="23"/>
      <c r="JPD441" s="23"/>
      <c r="JPE441" s="23"/>
      <c r="JPF441" s="23"/>
      <c r="JPG441" s="23"/>
      <c r="JPH441" s="23"/>
      <c r="JPI441" s="23"/>
      <c r="JPJ441" s="23"/>
      <c r="JPK441" s="23"/>
      <c r="JPL441" s="23"/>
      <c r="JPM441" s="23"/>
      <c r="JPN441" s="23"/>
      <c r="JPO441" s="23"/>
      <c r="JPP441" s="23"/>
      <c r="JPQ441" s="23"/>
      <c r="JPR441" s="23"/>
      <c r="JPS441" s="23"/>
      <c r="JPT441" s="23"/>
      <c r="JPU441" s="23"/>
      <c r="JPV441" s="23"/>
      <c r="JPW441" s="23"/>
      <c r="JPX441" s="23"/>
      <c r="JPY441" s="23"/>
      <c r="JPZ441" s="23"/>
      <c r="JQA441" s="23"/>
      <c r="JQB441" s="23"/>
      <c r="JQC441" s="23"/>
      <c r="JQD441" s="23"/>
      <c r="JQE441" s="23"/>
      <c r="JQF441" s="23"/>
      <c r="JQG441" s="23"/>
      <c r="JQH441" s="23"/>
      <c r="JQI441" s="23"/>
      <c r="JQJ441" s="23"/>
      <c r="JQK441" s="23"/>
      <c r="JQL441" s="23"/>
      <c r="JQM441" s="23"/>
      <c r="JQN441" s="23"/>
      <c r="JQO441" s="23"/>
      <c r="JQP441" s="23"/>
      <c r="JQQ441" s="23"/>
      <c r="JQR441" s="23"/>
      <c r="JQS441" s="23"/>
      <c r="JQT441" s="23"/>
      <c r="JQU441" s="23"/>
      <c r="JQV441" s="23"/>
      <c r="JQW441" s="23"/>
      <c r="JQX441" s="23"/>
      <c r="JQY441" s="23"/>
      <c r="JQZ441" s="23"/>
      <c r="JRA441" s="23"/>
      <c r="JRB441" s="23"/>
      <c r="JRC441" s="23"/>
      <c r="JRD441" s="23"/>
      <c r="JRE441" s="23"/>
      <c r="JRF441" s="23"/>
      <c r="JRG441" s="23"/>
      <c r="JRH441" s="23"/>
      <c r="JRI441" s="23"/>
      <c r="JRJ441" s="23"/>
      <c r="JRK441" s="23"/>
      <c r="JRL441" s="23"/>
      <c r="JRM441" s="23"/>
      <c r="JRN441" s="23"/>
      <c r="JRO441" s="23"/>
      <c r="JRP441" s="23"/>
      <c r="JRQ441" s="23"/>
      <c r="JRR441" s="23"/>
      <c r="JRS441" s="23"/>
      <c r="JRT441" s="23"/>
      <c r="JRU441" s="23"/>
      <c r="JRV441" s="23"/>
      <c r="JRW441" s="23"/>
      <c r="JRX441" s="23"/>
      <c r="JRY441" s="23"/>
      <c r="JRZ441" s="23"/>
      <c r="JSA441" s="23"/>
      <c r="JSB441" s="23"/>
      <c r="JSC441" s="23"/>
      <c r="JSD441" s="23"/>
      <c r="JSE441" s="23"/>
      <c r="JSF441" s="23"/>
      <c r="JSG441" s="23"/>
      <c r="JSH441" s="23"/>
      <c r="JSI441" s="23"/>
      <c r="JSJ441" s="23"/>
      <c r="JSK441" s="23"/>
      <c r="JSL441" s="23"/>
      <c r="JSM441" s="23"/>
      <c r="JSN441" s="23"/>
      <c r="JSO441" s="23"/>
      <c r="JSP441" s="23"/>
      <c r="JSQ441" s="23"/>
      <c r="JSR441" s="23"/>
      <c r="JSS441" s="23"/>
      <c r="JST441" s="23"/>
      <c r="JSU441" s="23"/>
      <c r="JSV441" s="23"/>
      <c r="JSW441" s="23"/>
      <c r="JSX441" s="23"/>
      <c r="JSY441" s="23"/>
      <c r="JSZ441" s="23"/>
      <c r="JTA441" s="23"/>
      <c r="JTB441" s="23"/>
      <c r="JTC441" s="23"/>
      <c r="JTD441" s="23"/>
      <c r="JTE441" s="23"/>
      <c r="JTF441" s="23"/>
      <c r="JTG441" s="23"/>
      <c r="JTH441" s="23"/>
      <c r="JTI441" s="23"/>
      <c r="JTJ441" s="23"/>
      <c r="JTK441" s="23"/>
      <c r="JTL441" s="23"/>
      <c r="JTM441" s="23"/>
      <c r="JTN441" s="23"/>
      <c r="JTO441" s="23"/>
      <c r="JTP441" s="23"/>
      <c r="JTQ441" s="23"/>
      <c r="JTR441" s="23"/>
      <c r="JTS441" s="23"/>
      <c r="JTT441" s="23"/>
      <c r="JTU441" s="23"/>
      <c r="JTV441" s="23"/>
      <c r="JTW441" s="23"/>
      <c r="JTX441" s="23"/>
      <c r="JTY441" s="23"/>
      <c r="JTZ441" s="23"/>
      <c r="JUA441" s="23"/>
      <c r="JUB441" s="23"/>
      <c r="JUC441" s="23"/>
      <c r="JUD441" s="23"/>
      <c r="JUE441" s="23"/>
      <c r="JUF441" s="23"/>
      <c r="JUG441" s="23"/>
      <c r="JUH441" s="23"/>
      <c r="JUI441" s="23"/>
      <c r="JUJ441" s="23"/>
      <c r="JUK441" s="23"/>
      <c r="JUL441" s="23"/>
      <c r="JUM441" s="23"/>
      <c r="JUN441" s="23"/>
      <c r="JUO441" s="23"/>
      <c r="JUP441" s="23"/>
      <c r="JUQ441" s="23"/>
      <c r="JUR441" s="23"/>
      <c r="JUS441" s="23"/>
      <c r="JUT441" s="23"/>
      <c r="JUU441" s="23"/>
      <c r="JUV441" s="23"/>
      <c r="JUW441" s="23"/>
      <c r="JUX441" s="23"/>
      <c r="JUY441" s="23"/>
      <c r="JUZ441" s="23"/>
      <c r="JVA441" s="23"/>
      <c r="JVB441" s="23"/>
      <c r="JVC441" s="23"/>
      <c r="JVD441" s="23"/>
      <c r="JVE441" s="23"/>
      <c r="JVF441" s="23"/>
      <c r="JVG441" s="23"/>
      <c r="JVH441" s="23"/>
      <c r="JVI441" s="23"/>
      <c r="JVJ441" s="23"/>
      <c r="JVK441" s="23"/>
      <c r="JVL441" s="23"/>
      <c r="JVM441" s="23"/>
      <c r="JVN441" s="23"/>
      <c r="JVO441" s="23"/>
      <c r="JVP441" s="23"/>
      <c r="JVQ441" s="23"/>
      <c r="JVR441" s="23"/>
      <c r="JVS441" s="23"/>
      <c r="JVT441" s="23"/>
      <c r="JVU441" s="23"/>
      <c r="JVV441" s="23"/>
      <c r="JVW441" s="23"/>
      <c r="JVX441" s="23"/>
      <c r="JVY441" s="23"/>
      <c r="JVZ441" s="23"/>
      <c r="JWA441" s="23"/>
      <c r="JWB441" s="23"/>
      <c r="JWC441" s="23"/>
      <c r="JWD441" s="23"/>
      <c r="JWE441" s="23"/>
      <c r="JWF441" s="23"/>
      <c r="JWG441" s="23"/>
      <c r="JWH441" s="23"/>
      <c r="JWI441" s="23"/>
      <c r="JWJ441" s="23"/>
      <c r="JWK441" s="23"/>
      <c r="JWL441" s="23"/>
      <c r="JWM441" s="23"/>
      <c r="JWN441" s="23"/>
      <c r="JWO441" s="23"/>
      <c r="JWP441" s="23"/>
      <c r="JWQ441" s="23"/>
      <c r="JWR441" s="23"/>
      <c r="JWS441" s="23"/>
      <c r="JWT441" s="23"/>
      <c r="JWU441" s="23"/>
      <c r="JWV441" s="23"/>
      <c r="JWW441" s="23"/>
      <c r="JWX441" s="23"/>
      <c r="JWY441" s="23"/>
      <c r="JWZ441" s="23"/>
      <c r="JXA441" s="23"/>
      <c r="JXB441" s="23"/>
      <c r="JXC441" s="23"/>
      <c r="JXD441" s="23"/>
      <c r="JXE441" s="23"/>
      <c r="JXF441" s="23"/>
      <c r="JXG441" s="23"/>
      <c r="JXH441" s="23"/>
      <c r="JXI441" s="23"/>
      <c r="JXJ441" s="23"/>
      <c r="JXK441" s="23"/>
      <c r="JXL441" s="23"/>
      <c r="JXM441" s="23"/>
      <c r="JXN441" s="23"/>
      <c r="JXO441" s="23"/>
      <c r="JXP441" s="23"/>
      <c r="JXQ441" s="23"/>
      <c r="JXR441" s="23"/>
      <c r="JXS441" s="23"/>
      <c r="JXT441" s="23"/>
      <c r="JXU441" s="23"/>
      <c r="JXV441" s="23"/>
      <c r="JXW441" s="23"/>
      <c r="JXX441" s="23"/>
      <c r="JXY441" s="23"/>
      <c r="JXZ441" s="23"/>
      <c r="JYA441" s="23"/>
      <c r="JYB441" s="23"/>
      <c r="JYC441" s="23"/>
      <c r="JYD441" s="23"/>
      <c r="JYE441" s="23"/>
      <c r="JYF441" s="23"/>
      <c r="JYG441" s="23"/>
      <c r="JYH441" s="23"/>
      <c r="JYI441" s="23"/>
      <c r="JYJ441" s="23"/>
      <c r="JYK441" s="23"/>
      <c r="JYL441" s="23"/>
      <c r="JYM441" s="23"/>
      <c r="JYN441" s="23"/>
      <c r="JYO441" s="23"/>
      <c r="JYP441" s="23"/>
      <c r="JYQ441" s="23"/>
      <c r="JYR441" s="23"/>
      <c r="JYS441" s="23"/>
      <c r="JYT441" s="23"/>
      <c r="JYU441" s="23"/>
      <c r="JYV441" s="23"/>
      <c r="JYW441" s="23"/>
      <c r="JYX441" s="23"/>
      <c r="JYY441" s="23"/>
      <c r="JYZ441" s="23"/>
      <c r="JZA441" s="23"/>
      <c r="JZB441" s="23"/>
      <c r="JZC441" s="23"/>
      <c r="JZD441" s="23"/>
      <c r="JZE441" s="23"/>
      <c r="JZF441" s="23"/>
      <c r="JZG441" s="23"/>
      <c r="JZH441" s="23"/>
      <c r="JZI441" s="23"/>
      <c r="JZJ441" s="23"/>
      <c r="JZK441" s="23"/>
      <c r="JZL441" s="23"/>
      <c r="JZM441" s="23"/>
      <c r="JZN441" s="23"/>
      <c r="JZO441" s="23"/>
      <c r="JZP441" s="23"/>
      <c r="JZQ441" s="23"/>
      <c r="JZR441" s="23"/>
      <c r="JZS441" s="23"/>
      <c r="JZT441" s="23"/>
      <c r="JZU441" s="23"/>
      <c r="JZV441" s="23"/>
      <c r="JZW441" s="23"/>
      <c r="JZX441" s="23"/>
      <c r="JZY441" s="23"/>
      <c r="JZZ441" s="23"/>
      <c r="KAA441" s="23"/>
      <c r="KAB441" s="23"/>
      <c r="KAC441" s="23"/>
      <c r="KAD441" s="23"/>
      <c r="KAE441" s="23"/>
      <c r="KAF441" s="23"/>
      <c r="KAG441" s="23"/>
      <c r="KAH441" s="23"/>
      <c r="KAI441" s="23"/>
      <c r="KAJ441" s="23"/>
      <c r="KAK441" s="23"/>
      <c r="KAL441" s="23"/>
      <c r="KAM441" s="23"/>
      <c r="KAN441" s="23"/>
      <c r="KAO441" s="23"/>
      <c r="KAP441" s="23"/>
      <c r="KAQ441" s="23"/>
      <c r="KAR441" s="23"/>
      <c r="KAS441" s="23"/>
      <c r="KAT441" s="23"/>
      <c r="KAU441" s="23"/>
      <c r="KAV441" s="23"/>
      <c r="KAW441" s="23"/>
      <c r="KAX441" s="23"/>
      <c r="KAY441" s="23"/>
      <c r="KAZ441" s="23"/>
      <c r="KBA441" s="23"/>
      <c r="KBB441" s="23"/>
      <c r="KBC441" s="23"/>
      <c r="KBD441" s="23"/>
      <c r="KBE441" s="23"/>
      <c r="KBF441" s="23"/>
      <c r="KBG441" s="23"/>
      <c r="KBH441" s="23"/>
      <c r="KBI441" s="23"/>
      <c r="KBJ441" s="23"/>
      <c r="KBK441" s="23"/>
      <c r="KBL441" s="23"/>
      <c r="KBM441" s="23"/>
      <c r="KBN441" s="23"/>
      <c r="KBO441" s="23"/>
      <c r="KBP441" s="23"/>
      <c r="KBQ441" s="23"/>
      <c r="KBR441" s="23"/>
      <c r="KBS441" s="23"/>
      <c r="KBT441" s="23"/>
      <c r="KBU441" s="23"/>
      <c r="KBV441" s="23"/>
      <c r="KBW441" s="23"/>
      <c r="KBX441" s="23"/>
      <c r="KBY441" s="23"/>
      <c r="KBZ441" s="23"/>
      <c r="KCA441" s="23"/>
      <c r="KCB441" s="23"/>
      <c r="KCC441" s="23"/>
      <c r="KCD441" s="23"/>
      <c r="KCE441" s="23"/>
      <c r="KCF441" s="23"/>
      <c r="KCG441" s="23"/>
      <c r="KCH441" s="23"/>
      <c r="KCI441" s="23"/>
      <c r="KCJ441" s="23"/>
      <c r="KCK441" s="23"/>
      <c r="KCL441" s="23"/>
      <c r="KCM441" s="23"/>
      <c r="KCN441" s="23"/>
      <c r="KCO441" s="23"/>
      <c r="KCP441" s="23"/>
      <c r="KCQ441" s="23"/>
      <c r="KCR441" s="23"/>
      <c r="KCS441" s="23"/>
      <c r="KCT441" s="23"/>
      <c r="KCU441" s="23"/>
      <c r="KCV441" s="23"/>
      <c r="KCW441" s="23"/>
      <c r="KCX441" s="23"/>
      <c r="KCY441" s="23"/>
      <c r="KCZ441" s="23"/>
      <c r="KDA441" s="23"/>
      <c r="KDB441" s="23"/>
      <c r="KDC441" s="23"/>
      <c r="KDD441" s="23"/>
      <c r="KDE441" s="23"/>
      <c r="KDF441" s="23"/>
      <c r="KDG441" s="23"/>
      <c r="KDH441" s="23"/>
      <c r="KDI441" s="23"/>
      <c r="KDJ441" s="23"/>
      <c r="KDK441" s="23"/>
      <c r="KDL441" s="23"/>
      <c r="KDM441" s="23"/>
      <c r="KDN441" s="23"/>
      <c r="KDO441" s="23"/>
      <c r="KDP441" s="23"/>
      <c r="KDQ441" s="23"/>
      <c r="KDR441" s="23"/>
      <c r="KDS441" s="23"/>
      <c r="KDT441" s="23"/>
      <c r="KDU441" s="23"/>
      <c r="KDV441" s="23"/>
      <c r="KDW441" s="23"/>
      <c r="KDX441" s="23"/>
      <c r="KDY441" s="23"/>
      <c r="KDZ441" s="23"/>
      <c r="KEA441" s="23"/>
      <c r="KEB441" s="23"/>
      <c r="KEC441" s="23"/>
      <c r="KED441" s="23"/>
      <c r="KEE441" s="23"/>
      <c r="KEF441" s="23"/>
      <c r="KEG441" s="23"/>
      <c r="KEH441" s="23"/>
      <c r="KEI441" s="23"/>
      <c r="KEJ441" s="23"/>
      <c r="KEK441" s="23"/>
      <c r="KEL441" s="23"/>
      <c r="KEM441" s="23"/>
      <c r="KEN441" s="23"/>
      <c r="KEO441" s="23"/>
      <c r="KEP441" s="23"/>
      <c r="KEQ441" s="23"/>
      <c r="KER441" s="23"/>
      <c r="KES441" s="23"/>
      <c r="KET441" s="23"/>
      <c r="KEU441" s="23"/>
      <c r="KEV441" s="23"/>
      <c r="KEW441" s="23"/>
      <c r="KEX441" s="23"/>
      <c r="KEY441" s="23"/>
      <c r="KEZ441" s="23"/>
      <c r="KFA441" s="23"/>
      <c r="KFB441" s="23"/>
      <c r="KFC441" s="23"/>
      <c r="KFD441" s="23"/>
      <c r="KFE441" s="23"/>
      <c r="KFF441" s="23"/>
      <c r="KFG441" s="23"/>
      <c r="KFH441" s="23"/>
      <c r="KFI441" s="23"/>
      <c r="KFJ441" s="23"/>
      <c r="KFK441" s="23"/>
      <c r="KFL441" s="23"/>
      <c r="KFM441" s="23"/>
      <c r="KFN441" s="23"/>
      <c r="KFO441" s="23"/>
      <c r="KFP441" s="23"/>
      <c r="KFQ441" s="23"/>
      <c r="KFR441" s="23"/>
      <c r="KFS441" s="23"/>
      <c r="KFT441" s="23"/>
      <c r="KFU441" s="23"/>
      <c r="KFV441" s="23"/>
      <c r="KFW441" s="23"/>
      <c r="KFX441" s="23"/>
      <c r="KFY441" s="23"/>
      <c r="KFZ441" s="23"/>
      <c r="KGA441" s="23"/>
      <c r="KGB441" s="23"/>
      <c r="KGC441" s="23"/>
      <c r="KGD441" s="23"/>
      <c r="KGE441" s="23"/>
      <c r="KGF441" s="23"/>
      <c r="KGG441" s="23"/>
      <c r="KGH441" s="23"/>
      <c r="KGI441" s="23"/>
      <c r="KGJ441" s="23"/>
      <c r="KGK441" s="23"/>
      <c r="KGL441" s="23"/>
      <c r="KGM441" s="23"/>
      <c r="KGN441" s="23"/>
      <c r="KGO441" s="23"/>
      <c r="KGP441" s="23"/>
      <c r="KGQ441" s="23"/>
      <c r="KGR441" s="23"/>
      <c r="KGS441" s="23"/>
      <c r="KGT441" s="23"/>
      <c r="KGU441" s="23"/>
      <c r="KGV441" s="23"/>
      <c r="KGW441" s="23"/>
      <c r="KGX441" s="23"/>
      <c r="KGY441" s="23"/>
      <c r="KGZ441" s="23"/>
      <c r="KHA441" s="23"/>
      <c r="KHB441" s="23"/>
      <c r="KHC441" s="23"/>
      <c r="KHD441" s="23"/>
      <c r="KHE441" s="23"/>
      <c r="KHF441" s="23"/>
      <c r="KHG441" s="23"/>
      <c r="KHH441" s="23"/>
      <c r="KHI441" s="23"/>
      <c r="KHJ441" s="23"/>
      <c r="KHK441" s="23"/>
      <c r="KHL441" s="23"/>
      <c r="KHM441" s="23"/>
      <c r="KHN441" s="23"/>
      <c r="KHO441" s="23"/>
      <c r="KHP441" s="23"/>
      <c r="KHQ441" s="23"/>
      <c r="KHR441" s="23"/>
      <c r="KHS441" s="23"/>
      <c r="KHT441" s="23"/>
      <c r="KHU441" s="23"/>
      <c r="KHV441" s="23"/>
      <c r="KHW441" s="23"/>
      <c r="KHX441" s="23"/>
      <c r="KHY441" s="23"/>
      <c r="KHZ441" s="23"/>
      <c r="KIA441" s="23"/>
      <c r="KIB441" s="23"/>
      <c r="KIC441" s="23"/>
      <c r="KID441" s="23"/>
      <c r="KIE441" s="23"/>
      <c r="KIF441" s="23"/>
      <c r="KIG441" s="23"/>
      <c r="KIH441" s="23"/>
      <c r="KII441" s="23"/>
      <c r="KIJ441" s="23"/>
      <c r="KIK441" s="23"/>
      <c r="KIL441" s="23"/>
      <c r="KIM441" s="23"/>
      <c r="KIN441" s="23"/>
      <c r="KIO441" s="23"/>
      <c r="KIP441" s="23"/>
      <c r="KIQ441" s="23"/>
      <c r="KIR441" s="23"/>
      <c r="KIS441" s="23"/>
      <c r="KIT441" s="23"/>
      <c r="KIU441" s="23"/>
      <c r="KIV441" s="23"/>
      <c r="KIW441" s="23"/>
      <c r="KIX441" s="23"/>
      <c r="KIY441" s="23"/>
      <c r="KIZ441" s="23"/>
      <c r="KJA441" s="23"/>
      <c r="KJB441" s="23"/>
      <c r="KJC441" s="23"/>
      <c r="KJD441" s="23"/>
      <c r="KJE441" s="23"/>
      <c r="KJF441" s="23"/>
      <c r="KJG441" s="23"/>
      <c r="KJH441" s="23"/>
      <c r="KJI441" s="23"/>
      <c r="KJJ441" s="23"/>
      <c r="KJK441" s="23"/>
      <c r="KJL441" s="23"/>
      <c r="KJM441" s="23"/>
      <c r="KJN441" s="23"/>
      <c r="KJO441" s="23"/>
      <c r="KJP441" s="23"/>
      <c r="KJQ441" s="23"/>
      <c r="KJR441" s="23"/>
      <c r="KJS441" s="23"/>
      <c r="KJT441" s="23"/>
      <c r="KJU441" s="23"/>
      <c r="KJV441" s="23"/>
      <c r="KJW441" s="23"/>
      <c r="KJX441" s="23"/>
      <c r="KJY441" s="23"/>
      <c r="KJZ441" s="23"/>
      <c r="KKA441" s="23"/>
      <c r="KKB441" s="23"/>
      <c r="KKC441" s="23"/>
      <c r="KKD441" s="23"/>
      <c r="KKE441" s="23"/>
      <c r="KKF441" s="23"/>
      <c r="KKG441" s="23"/>
      <c r="KKH441" s="23"/>
      <c r="KKI441" s="23"/>
      <c r="KKJ441" s="23"/>
      <c r="KKK441" s="23"/>
      <c r="KKL441" s="23"/>
      <c r="KKM441" s="23"/>
      <c r="KKN441" s="23"/>
      <c r="KKO441" s="23"/>
      <c r="KKP441" s="23"/>
      <c r="KKQ441" s="23"/>
      <c r="KKR441" s="23"/>
      <c r="KKS441" s="23"/>
      <c r="KKT441" s="23"/>
      <c r="KKU441" s="23"/>
      <c r="KKV441" s="23"/>
      <c r="KKW441" s="23"/>
      <c r="KKX441" s="23"/>
      <c r="KKY441" s="23"/>
      <c r="KKZ441" s="23"/>
      <c r="KLA441" s="23"/>
      <c r="KLB441" s="23"/>
      <c r="KLC441" s="23"/>
      <c r="KLD441" s="23"/>
      <c r="KLE441" s="23"/>
      <c r="KLF441" s="23"/>
      <c r="KLG441" s="23"/>
      <c r="KLH441" s="23"/>
      <c r="KLI441" s="23"/>
      <c r="KLJ441" s="23"/>
      <c r="KLK441" s="23"/>
      <c r="KLL441" s="23"/>
      <c r="KLM441" s="23"/>
      <c r="KLN441" s="23"/>
      <c r="KLO441" s="23"/>
      <c r="KLP441" s="23"/>
      <c r="KLQ441" s="23"/>
      <c r="KLR441" s="23"/>
      <c r="KLS441" s="23"/>
      <c r="KLT441" s="23"/>
      <c r="KLU441" s="23"/>
      <c r="KLV441" s="23"/>
      <c r="KLW441" s="23"/>
      <c r="KLX441" s="23"/>
      <c r="KLY441" s="23"/>
      <c r="KLZ441" s="23"/>
      <c r="KMA441" s="23"/>
      <c r="KMB441" s="23"/>
      <c r="KMC441" s="23"/>
      <c r="KMD441" s="23"/>
      <c r="KME441" s="23"/>
      <c r="KMF441" s="23"/>
      <c r="KMG441" s="23"/>
      <c r="KMH441" s="23"/>
      <c r="KMI441" s="23"/>
      <c r="KMJ441" s="23"/>
      <c r="KMK441" s="23"/>
      <c r="KML441" s="23"/>
      <c r="KMM441" s="23"/>
      <c r="KMN441" s="23"/>
      <c r="KMO441" s="23"/>
      <c r="KMP441" s="23"/>
      <c r="KMQ441" s="23"/>
      <c r="KMR441" s="23"/>
      <c r="KMS441" s="23"/>
      <c r="KMT441" s="23"/>
      <c r="KMU441" s="23"/>
      <c r="KMV441" s="23"/>
      <c r="KMW441" s="23"/>
      <c r="KMX441" s="23"/>
      <c r="KMY441" s="23"/>
      <c r="KMZ441" s="23"/>
      <c r="KNA441" s="23"/>
      <c r="KNB441" s="23"/>
      <c r="KNC441" s="23"/>
      <c r="KND441" s="23"/>
      <c r="KNE441" s="23"/>
      <c r="KNF441" s="23"/>
      <c r="KNG441" s="23"/>
      <c r="KNH441" s="23"/>
      <c r="KNI441" s="23"/>
      <c r="KNJ441" s="23"/>
      <c r="KNK441" s="23"/>
      <c r="KNL441" s="23"/>
      <c r="KNM441" s="23"/>
      <c r="KNN441" s="23"/>
      <c r="KNO441" s="23"/>
      <c r="KNP441" s="23"/>
      <c r="KNQ441" s="23"/>
      <c r="KNR441" s="23"/>
      <c r="KNS441" s="23"/>
      <c r="KNT441" s="23"/>
      <c r="KNU441" s="23"/>
      <c r="KNV441" s="23"/>
      <c r="KNW441" s="23"/>
      <c r="KNX441" s="23"/>
      <c r="KNY441" s="23"/>
      <c r="KNZ441" s="23"/>
      <c r="KOA441" s="23"/>
      <c r="KOB441" s="23"/>
      <c r="KOC441" s="23"/>
      <c r="KOD441" s="23"/>
      <c r="KOE441" s="23"/>
      <c r="KOF441" s="23"/>
      <c r="KOG441" s="23"/>
      <c r="KOH441" s="23"/>
      <c r="KOI441" s="23"/>
      <c r="KOJ441" s="23"/>
      <c r="KOK441" s="23"/>
      <c r="KOL441" s="23"/>
      <c r="KOM441" s="23"/>
      <c r="KON441" s="23"/>
      <c r="KOO441" s="23"/>
      <c r="KOP441" s="23"/>
      <c r="KOQ441" s="23"/>
      <c r="KOR441" s="23"/>
      <c r="KOS441" s="23"/>
      <c r="KOT441" s="23"/>
      <c r="KOU441" s="23"/>
      <c r="KOV441" s="23"/>
      <c r="KOW441" s="23"/>
      <c r="KOX441" s="23"/>
      <c r="KOY441" s="23"/>
      <c r="KOZ441" s="23"/>
      <c r="KPA441" s="23"/>
      <c r="KPB441" s="23"/>
      <c r="KPC441" s="23"/>
      <c r="KPD441" s="23"/>
      <c r="KPE441" s="23"/>
      <c r="KPF441" s="23"/>
      <c r="KPG441" s="23"/>
      <c r="KPH441" s="23"/>
      <c r="KPI441" s="23"/>
      <c r="KPJ441" s="23"/>
      <c r="KPK441" s="23"/>
      <c r="KPL441" s="23"/>
      <c r="KPM441" s="23"/>
      <c r="KPN441" s="23"/>
      <c r="KPO441" s="23"/>
      <c r="KPP441" s="23"/>
      <c r="KPQ441" s="23"/>
      <c r="KPR441" s="23"/>
      <c r="KPS441" s="23"/>
      <c r="KPT441" s="23"/>
      <c r="KPU441" s="23"/>
      <c r="KPV441" s="23"/>
      <c r="KPW441" s="23"/>
      <c r="KPX441" s="23"/>
      <c r="KPY441" s="23"/>
      <c r="KPZ441" s="23"/>
      <c r="KQA441" s="23"/>
      <c r="KQB441" s="23"/>
      <c r="KQC441" s="23"/>
      <c r="KQD441" s="23"/>
      <c r="KQE441" s="23"/>
      <c r="KQF441" s="23"/>
      <c r="KQG441" s="23"/>
      <c r="KQH441" s="23"/>
      <c r="KQI441" s="23"/>
      <c r="KQJ441" s="23"/>
      <c r="KQK441" s="23"/>
      <c r="KQL441" s="23"/>
      <c r="KQM441" s="23"/>
      <c r="KQN441" s="23"/>
      <c r="KQO441" s="23"/>
      <c r="KQP441" s="23"/>
      <c r="KQQ441" s="23"/>
      <c r="KQR441" s="23"/>
      <c r="KQS441" s="23"/>
      <c r="KQT441" s="23"/>
      <c r="KQU441" s="23"/>
      <c r="KQV441" s="23"/>
      <c r="KQW441" s="23"/>
      <c r="KQX441" s="23"/>
      <c r="KQY441" s="23"/>
      <c r="KQZ441" s="23"/>
      <c r="KRA441" s="23"/>
      <c r="KRB441" s="23"/>
      <c r="KRC441" s="23"/>
      <c r="KRD441" s="23"/>
      <c r="KRE441" s="23"/>
      <c r="KRF441" s="23"/>
      <c r="KRG441" s="23"/>
      <c r="KRH441" s="23"/>
      <c r="KRI441" s="23"/>
      <c r="KRJ441" s="23"/>
      <c r="KRK441" s="23"/>
      <c r="KRL441" s="23"/>
      <c r="KRM441" s="23"/>
      <c r="KRN441" s="23"/>
      <c r="KRO441" s="23"/>
      <c r="KRP441" s="23"/>
      <c r="KRQ441" s="23"/>
      <c r="KRR441" s="23"/>
      <c r="KRS441" s="23"/>
      <c r="KRT441" s="23"/>
      <c r="KRU441" s="23"/>
      <c r="KRV441" s="23"/>
      <c r="KRW441" s="23"/>
      <c r="KRX441" s="23"/>
      <c r="KRY441" s="23"/>
      <c r="KRZ441" s="23"/>
      <c r="KSA441" s="23"/>
      <c r="KSB441" s="23"/>
      <c r="KSC441" s="23"/>
      <c r="KSD441" s="23"/>
      <c r="KSE441" s="23"/>
      <c r="KSF441" s="23"/>
      <c r="KSG441" s="23"/>
      <c r="KSH441" s="23"/>
      <c r="KSI441" s="23"/>
      <c r="KSJ441" s="23"/>
      <c r="KSK441" s="23"/>
      <c r="KSL441" s="23"/>
      <c r="KSM441" s="23"/>
      <c r="KSN441" s="23"/>
      <c r="KSO441" s="23"/>
      <c r="KSP441" s="23"/>
      <c r="KSQ441" s="23"/>
      <c r="KSR441" s="23"/>
      <c r="KSS441" s="23"/>
      <c r="KST441" s="23"/>
      <c r="KSU441" s="23"/>
      <c r="KSV441" s="23"/>
      <c r="KSW441" s="23"/>
      <c r="KSX441" s="23"/>
      <c r="KSY441" s="23"/>
      <c r="KSZ441" s="23"/>
      <c r="KTA441" s="23"/>
      <c r="KTB441" s="23"/>
      <c r="KTC441" s="23"/>
      <c r="KTD441" s="23"/>
      <c r="KTE441" s="23"/>
      <c r="KTF441" s="23"/>
      <c r="KTG441" s="23"/>
      <c r="KTH441" s="23"/>
      <c r="KTI441" s="23"/>
      <c r="KTJ441" s="23"/>
      <c r="KTK441" s="23"/>
      <c r="KTL441" s="23"/>
      <c r="KTM441" s="23"/>
      <c r="KTN441" s="23"/>
      <c r="KTO441" s="23"/>
      <c r="KTP441" s="23"/>
      <c r="KTQ441" s="23"/>
      <c r="KTR441" s="23"/>
      <c r="KTS441" s="23"/>
      <c r="KTT441" s="23"/>
      <c r="KTU441" s="23"/>
      <c r="KTV441" s="23"/>
      <c r="KTW441" s="23"/>
      <c r="KTX441" s="23"/>
      <c r="KTY441" s="23"/>
      <c r="KTZ441" s="23"/>
      <c r="KUA441" s="23"/>
      <c r="KUB441" s="23"/>
      <c r="KUC441" s="23"/>
      <c r="KUD441" s="23"/>
      <c r="KUE441" s="23"/>
      <c r="KUF441" s="23"/>
      <c r="KUG441" s="23"/>
      <c r="KUH441" s="23"/>
      <c r="KUI441" s="23"/>
      <c r="KUJ441" s="23"/>
      <c r="KUK441" s="23"/>
      <c r="KUL441" s="23"/>
      <c r="KUM441" s="23"/>
      <c r="KUN441" s="23"/>
      <c r="KUO441" s="23"/>
      <c r="KUP441" s="23"/>
      <c r="KUQ441" s="23"/>
      <c r="KUR441" s="23"/>
      <c r="KUS441" s="23"/>
      <c r="KUT441" s="23"/>
      <c r="KUU441" s="23"/>
      <c r="KUV441" s="23"/>
      <c r="KUW441" s="23"/>
      <c r="KUX441" s="23"/>
      <c r="KUY441" s="23"/>
      <c r="KUZ441" s="23"/>
      <c r="KVA441" s="23"/>
      <c r="KVB441" s="23"/>
      <c r="KVC441" s="23"/>
      <c r="KVD441" s="23"/>
      <c r="KVE441" s="23"/>
      <c r="KVF441" s="23"/>
      <c r="KVG441" s="23"/>
      <c r="KVH441" s="23"/>
      <c r="KVI441" s="23"/>
      <c r="KVJ441" s="23"/>
      <c r="KVK441" s="23"/>
      <c r="KVL441" s="23"/>
      <c r="KVM441" s="23"/>
      <c r="KVN441" s="23"/>
      <c r="KVO441" s="23"/>
      <c r="KVP441" s="23"/>
      <c r="KVQ441" s="23"/>
      <c r="KVR441" s="23"/>
      <c r="KVS441" s="23"/>
      <c r="KVT441" s="23"/>
      <c r="KVU441" s="23"/>
      <c r="KVV441" s="23"/>
      <c r="KVW441" s="23"/>
      <c r="KVX441" s="23"/>
      <c r="KVY441" s="23"/>
      <c r="KVZ441" s="23"/>
      <c r="KWA441" s="23"/>
      <c r="KWB441" s="23"/>
      <c r="KWC441" s="23"/>
      <c r="KWD441" s="23"/>
      <c r="KWE441" s="23"/>
      <c r="KWF441" s="23"/>
      <c r="KWG441" s="23"/>
      <c r="KWH441" s="23"/>
      <c r="KWI441" s="23"/>
      <c r="KWJ441" s="23"/>
      <c r="KWK441" s="23"/>
      <c r="KWL441" s="23"/>
      <c r="KWM441" s="23"/>
      <c r="KWN441" s="23"/>
      <c r="KWO441" s="23"/>
      <c r="KWP441" s="23"/>
      <c r="KWQ441" s="23"/>
      <c r="KWR441" s="23"/>
      <c r="KWS441" s="23"/>
      <c r="KWT441" s="23"/>
      <c r="KWU441" s="23"/>
      <c r="KWV441" s="23"/>
      <c r="KWW441" s="23"/>
      <c r="KWX441" s="23"/>
      <c r="KWY441" s="23"/>
      <c r="KWZ441" s="23"/>
      <c r="KXA441" s="23"/>
      <c r="KXB441" s="23"/>
      <c r="KXC441" s="23"/>
      <c r="KXD441" s="23"/>
      <c r="KXE441" s="23"/>
      <c r="KXF441" s="23"/>
      <c r="KXG441" s="23"/>
      <c r="KXH441" s="23"/>
      <c r="KXI441" s="23"/>
      <c r="KXJ441" s="23"/>
      <c r="KXK441" s="23"/>
      <c r="KXL441" s="23"/>
      <c r="KXM441" s="23"/>
      <c r="KXN441" s="23"/>
      <c r="KXO441" s="23"/>
      <c r="KXP441" s="23"/>
      <c r="KXQ441" s="23"/>
      <c r="KXR441" s="23"/>
      <c r="KXS441" s="23"/>
      <c r="KXT441" s="23"/>
      <c r="KXU441" s="23"/>
      <c r="KXV441" s="23"/>
      <c r="KXW441" s="23"/>
      <c r="KXX441" s="23"/>
      <c r="KXY441" s="23"/>
      <c r="KXZ441" s="23"/>
      <c r="KYA441" s="23"/>
      <c r="KYB441" s="23"/>
      <c r="KYC441" s="23"/>
      <c r="KYD441" s="23"/>
      <c r="KYE441" s="23"/>
      <c r="KYF441" s="23"/>
      <c r="KYG441" s="23"/>
      <c r="KYH441" s="23"/>
      <c r="KYI441" s="23"/>
      <c r="KYJ441" s="23"/>
      <c r="KYK441" s="23"/>
      <c r="KYL441" s="23"/>
      <c r="KYM441" s="23"/>
      <c r="KYN441" s="23"/>
      <c r="KYO441" s="23"/>
      <c r="KYP441" s="23"/>
      <c r="KYQ441" s="23"/>
      <c r="KYR441" s="23"/>
      <c r="KYS441" s="23"/>
      <c r="KYT441" s="23"/>
      <c r="KYU441" s="23"/>
      <c r="KYV441" s="23"/>
      <c r="KYW441" s="23"/>
      <c r="KYX441" s="23"/>
      <c r="KYY441" s="23"/>
      <c r="KYZ441" s="23"/>
      <c r="KZA441" s="23"/>
      <c r="KZB441" s="23"/>
      <c r="KZC441" s="23"/>
      <c r="KZD441" s="23"/>
      <c r="KZE441" s="23"/>
      <c r="KZF441" s="23"/>
      <c r="KZG441" s="23"/>
      <c r="KZH441" s="23"/>
      <c r="KZI441" s="23"/>
      <c r="KZJ441" s="23"/>
      <c r="KZK441" s="23"/>
      <c r="KZL441" s="23"/>
      <c r="KZM441" s="23"/>
      <c r="KZN441" s="23"/>
      <c r="KZO441" s="23"/>
      <c r="KZP441" s="23"/>
      <c r="KZQ441" s="23"/>
      <c r="KZR441" s="23"/>
      <c r="KZS441" s="23"/>
      <c r="KZT441" s="23"/>
      <c r="KZU441" s="23"/>
      <c r="KZV441" s="23"/>
      <c r="KZW441" s="23"/>
      <c r="KZX441" s="23"/>
      <c r="KZY441" s="23"/>
      <c r="KZZ441" s="23"/>
      <c r="LAA441" s="23"/>
      <c r="LAB441" s="23"/>
      <c r="LAC441" s="23"/>
      <c r="LAD441" s="23"/>
      <c r="LAE441" s="23"/>
      <c r="LAF441" s="23"/>
      <c r="LAG441" s="23"/>
      <c r="LAH441" s="23"/>
      <c r="LAI441" s="23"/>
      <c r="LAJ441" s="23"/>
      <c r="LAK441" s="23"/>
      <c r="LAL441" s="23"/>
      <c r="LAM441" s="23"/>
      <c r="LAN441" s="23"/>
      <c r="LAO441" s="23"/>
      <c r="LAP441" s="23"/>
      <c r="LAQ441" s="23"/>
      <c r="LAR441" s="23"/>
      <c r="LAS441" s="23"/>
      <c r="LAT441" s="23"/>
      <c r="LAU441" s="23"/>
      <c r="LAV441" s="23"/>
      <c r="LAW441" s="23"/>
      <c r="LAX441" s="23"/>
      <c r="LAY441" s="23"/>
      <c r="LAZ441" s="23"/>
      <c r="LBA441" s="23"/>
      <c r="LBB441" s="23"/>
      <c r="LBC441" s="23"/>
      <c r="LBD441" s="23"/>
      <c r="LBE441" s="23"/>
      <c r="LBF441" s="23"/>
      <c r="LBG441" s="23"/>
      <c r="LBH441" s="23"/>
      <c r="LBI441" s="23"/>
      <c r="LBJ441" s="23"/>
      <c r="LBK441" s="23"/>
      <c r="LBL441" s="23"/>
      <c r="LBM441" s="23"/>
      <c r="LBN441" s="23"/>
      <c r="LBO441" s="23"/>
      <c r="LBP441" s="23"/>
      <c r="LBQ441" s="23"/>
      <c r="LBR441" s="23"/>
      <c r="LBS441" s="23"/>
      <c r="LBT441" s="23"/>
      <c r="LBU441" s="23"/>
      <c r="LBV441" s="23"/>
      <c r="LBW441" s="23"/>
      <c r="LBX441" s="23"/>
      <c r="LBY441" s="23"/>
      <c r="LBZ441" s="23"/>
      <c r="LCA441" s="23"/>
      <c r="LCB441" s="23"/>
      <c r="LCC441" s="23"/>
      <c r="LCD441" s="23"/>
      <c r="LCE441" s="23"/>
      <c r="LCF441" s="23"/>
      <c r="LCG441" s="23"/>
      <c r="LCH441" s="23"/>
      <c r="LCI441" s="23"/>
      <c r="LCJ441" s="23"/>
      <c r="LCK441" s="23"/>
      <c r="LCL441" s="23"/>
      <c r="LCM441" s="23"/>
      <c r="LCN441" s="23"/>
      <c r="LCO441" s="23"/>
      <c r="LCP441" s="23"/>
      <c r="LCQ441" s="23"/>
      <c r="LCR441" s="23"/>
      <c r="LCS441" s="23"/>
      <c r="LCT441" s="23"/>
      <c r="LCU441" s="23"/>
      <c r="LCV441" s="23"/>
      <c r="LCW441" s="23"/>
      <c r="LCX441" s="23"/>
      <c r="LCY441" s="23"/>
      <c r="LCZ441" s="23"/>
      <c r="LDA441" s="23"/>
      <c r="LDB441" s="23"/>
      <c r="LDC441" s="23"/>
      <c r="LDD441" s="23"/>
      <c r="LDE441" s="23"/>
      <c r="LDF441" s="23"/>
      <c r="LDG441" s="23"/>
      <c r="LDH441" s="23"/>
      <c r="LDI441" s="23"/>
      <c r="LDJ441" s="23"/>
      <c r="LDK441" s="23"/>
      <c r="LDL441" s="23"/>
      <c r="LDM441" s="23"/>
      <c r="LDN441" s="23"/>
      <c r="LDO441" s="23"/>
      <c r="LDP441" s="23"/>
      <c r="LDQ441" s="23"/>
      <c r="LDR441" s="23"/>
      <c r="LDS441" s="23"/>
      <c r="LDT441" s="23"/>
      <c r="LDU441" s="23"/>
      <c r="LDV441" s="23"/>
      <c r="LDW441" s="23"/>
      <c r="LDX441" s="23"/>
      <c r="LDY441" s="23"/>
      <c r="LDZ441" s="23"/>
      <c r="LEA441" s="23"/>
      <c r="LEB441" s="23"/>
      <c r="LEC441" s="23"/>
      <c r="LED441" s="23"/>
      <c r="LEE441" s="23"/>
      <c r="LEF441" s="23"/>
      <c r="LEG441" s="23"/>
      <c r="LEH441" s="23"/>
      <c r="LEI441" s="23"/>
      <c r="LEJ441" s="23"/>
      <c r="LEK441" s="23"/>
      <c r="LEL441" s="23"/>
      <c r="LEM441" s="23"/>
      <c r="LEN441" s="23"/>
      <c r="LEO441" s="23"/>
      <c r="LEP441" s="23"/>
      <c r="LEQ441" s="23"/>
      <c r="LER441" s="23"/>
      <c r="LES441" s="23"/>
      <c r="LET441" s="23"/>
      <c r="LEU441" s="23"/>
      <c r="LEV441" s="23"/>
      <c r="LEW441" s="23"/>
      <c r="LEX441" s="23"/>
      <c r="LEY441" s="23"/>
      <c r="LEZ441" s="23"/>
      <c r="LFA441" s="23"/>
      <c r="LFB441" s="23"/>
      <c r="LFC441" s="23"/>
      <c r="LFD441" s="23"/>
      <c r="LFE441" s="23"/>
      <c r="LFF441" s="23"/>
      <c r="LFG441" s="23"/>
      <c r="LFH441" s="23"/>
      <c r="LFI441" s="23"/>
      <c r="LFJ441" s="23"/>
      <c r="LFK441" s="23"/>
      <c r="LFL441" s="23"/>
      <c r="LFM441" s="23"/>
      <c r="LFN441" s="23"/>
      <c r="LFO441" s="23"/>
      <c r="LFP441" s="23"/>
      <c r="LFQ441" s="23"/>
      <c r="LFR441" s="23"/>
      <c r="LFS441" s="23"/>
      <c r="LFT441" s="23"/>
      <c r="LFU441" s="23"/>
      <c r="LFV441" s="23"/>
      <c r="LFW441" s="23"/>
      <c r="LFX441" s="23"/>
      <c r="LFY441" s="23"/>
      <c r="LFZ441" s="23"/>
      <c r="LGA441" s="23"/>
      <c r="LGB441" s="23"/>
      <c r="LGC441" s="23"/>
      <c r="LGD441" s="23"/>
      <c r="LGE441" s="23"/>
      <c r="LGF441" s="23"/>
      <c r="LGG441" s="23"/>
      <c r="LGH441" s="23"/>
      <c r="LGI441" s="23"/>
      <c r="LGJ441" s="23"/>
      <c r="LGK441" s="23"/>
      <c r="LGL441" s="23"/>
      <c r="LGM441" s="23"/>
      <c r="LGN441" s="23"/>
      <c r="LGO441" s="23"/>
      <c r="LGP441" s="23"/>
      <c r="LGQ441" s="23"/>
      <c r="LGR441" s="23"/>
      <c r="LGS441" s="23"/>
      <c r="LGT441" s="23"/>
      <c r="LGU441" s="23"/>
      <c r="LGV441" s="23"/>
      <c r="LGW441" s="23"/>
      <c r="LGX441" s="23"/>
      <c r="LGY441" s="23"/>
      <c r="LGZ441" s="23"/>
      <c r="LHA441" s="23"/>
      <c r="LHB441" s="23"/>
      <c r="LHC441" s="23"/>
      <c r="LHD441" s="23"/>
      <c r="LHE441" s="23"/>
      <c r="LHF441" s="23"/>
      <c r="LHG441" s="23"/>
      <c r="LHH441" s="23"/>
      <c r="LHI441" s="23"/>
      <c r="LHJ441" s="23"/>
      <c r="LHK441" s="23"/>
      <c r="LHL441" s="23"/>
      <c r="LHM441" s="23"/>
      <c r="LHN441" s="23"/>
      <c r="LHO441" s="23"/>
      <c r="LHP441" s="23"/>
      <c r="LHQ441" s="23"/>
      <c r="LHR441" s="23"/>
      <c r="LHS441" s="23"/>
      <c r="LHT441" s="23"/>
      <c r="LHU441" s="23"/>
      <c r="LHV441" s="23"/>
      <c r="LHW441" s="23"/>
      <c r="LHX441" s="23"/>
      <c r="LHY441" s="23"/>
      <c r="LHZ441" s="23"/>
      <c r="LIA441" s="23"/>
      <c r="LIB441" s="23"/>
      <c r="LIC441" s="23"/>
      <c r="LID441" s="23"/>
      <c r="LIE441" s="23"/>
      <c r="LIF441" s="23"/>
      <c r="LIG441" s="23"/>
      <c r="LIH441" s="23"/>
      <c r="LII441" s="23"/>
      <c r="LIJ441" s="23"/>
      <c r="LIK441" s="23"/>
      <c r="LIL441" s="23"/>
      <c r="LIM441" s="23"/>
      <c r="LIN441" s="23"/>
      <c r="LIO441" s="23"/>
      <c r="LIP441" s="23"/>
      <c r="LIQ441" s="23"/>
      <c r="LIR441" s="23"/>
      <c r="LIS441" s="23"/>
      <c r="LIT441" s="23"/>
      <c r="LIU441" s="23"/>
      <c r="LIV441" s="23"/>
      <c r="LIW441" s="23"/>
      <c r="LIX441" s="23"/>
      <c r="LIY441" s="23"/>
      <c r="LIZ441" s="23"/>
      <c r="LJA441" s="23"/>
      <c r="LJB441" s="23"/>
      <c r="LJC441" s="23"/>
      <c r="LJD441" s="23"/>
      <c r="LJE441" s="23"/>
      <c r="LJF441" s="23"/>
      <c r="LJG441" s="23"/>
      <c r="LJH441" s="23"/>
      <c r="LJI441" s="23"/>
      <c r="LJJ441" s="23"/>
      <c r="LJK441" s="23"/>
      <c r="LJL441" s="23"/>
      <c r="LJM441" s="23"/>
      <c r="LJN441" s="23"/>
      <c r="LJO441" s="23"/>
      <c r="LJP441" s="23"/>
      <c r="LJQ441" s="23"/>
      <c r="LJR441" s="23"/>
      <c r="LJS441" s="23"/>
      <c r="LJT441" s="23"/>
      <c r="LJU441" s="23"/>
      <c r="LJV441" s="23"/>
      <c r="LJW441" s="23"/>
      <c r="LJX441" s="23"/>
      <c r="LJY441" s="23"/>
      <c r="LJZ441" s="23"/>
      <c r="LKA441" s="23"/>
      <c r="LKB441" s="23"/>
      <c r="LKC441" s="23"/>
      <c r="LKD441" s="23"/>
      <c r="LKE441" s="23"/>
      <c r="LKF441" s="23"/>
      <c r="LKG441" s="23"/>
      <c r="LKH441" s="23"/>
      <c r="LKI441" s="23"/>
      <c r="LKJ441" s="23"/>
      <c r="LKK441" s="23"/>
      <c r="LKL441" s="23"/>
      <c r="LKM441" s="23"/>
      <c r="LKN441" s="23"/>
      <c r="LKO441" s="23"/>
      <c r="LKP441" s="23"/>
      <c r="LKQ441" s="23"/>
      <c r="LKR441" s="23"/>
      <c r="LKS441" s="23"/>
      <c r="LKT441" s="23"/>
      <c r="LKU441" s="23"/>
      <c r="LKV441" s="23"/>
      <c r="LKW441" s="23"/>
      <c r="LKX441" s="23"/>
      <c r="LKY441" s="23"/>
      <c r="LKZ441" s="23"/>
      <c r="LLA441" s="23"/>
      <c r="LLB441" s="23"/>
      <c r="LLC441" s="23"/>
      <c r="LLD441" s="23"/>
      <c r="LLE441" s="23"/>
      <c r="LLF441" s="23"/>
      <c r="LLG441" s="23"/>
      <c r="LLH441" s="23"/>
      <c r="LLI441" s="23"/>
      <c r="LLJ441" s="23"/>
      <c r="LLK441" s="23"/>
      <c r="LLL441" s="23"/>
      <c r="LLM441" s="23"/>
      <c r="LLN441" s="23"/>
      <c r="LLO441" s="23"/>
      <c r="LLP441" s="23"/>
      <c r="LLQ441" s="23"/>
      <c r="LLR441" s="23"/>
      <c r="LLS441" s="23"/>
      <c r="LLT441" s="23"/>
      <c r="LLU441" s="23"/>
      <c r="LLV441" s="23"/>
      <c r="LLW441" s="23"/>
      <c r="LLX441" s="23"/>
      <c r="LLY441" s="23"/>
      <c r="LLZ441" s="23"/>
      <c r="LMA441" s="23"/>
      <c r="LMB441" s="23"/>
      <c r="LMC441" s="23"/>
      <c r="LMD441" s="23"/>
      <c r="LME441" s="23"/>
      <c r="LMF441" s="23"/>
      <c r="LMG441" s="23"/>
      <c r="LMH441" s="23"/>
      <c r="LMI441" s="23"/>
      <c r="LMJ441" s="23"/>
      <c r="LMK441" s="23"/>
      <c r="LML441" s="23"/>
      <c r="LMM441" s="23"/>
      <c r="LMN441" s="23"/>
      <c r="LMO441" s="23"/>
      <c r="LMP441" s="23"/>
      <c r="LMQ441" s="23"/>
      <c r="LMR441" s="23"/>
      <c r="LMS441" s="23"/>
      <c r="LMT441" s="23"/>
      <c r="LMU441" s="23"/>
      <c r="LMV441" s="23"/>
      <c r="LMW441" s="23"/>
      <c r="LMX441" s="23"/>
      <c r="LMY441" s="23"/>
      <c r="LMZ441" s="23"/>
      <c r="LNA441" s="23"/>
      <c r="LNB441" s="23"/>
      <c r="LNC441" s="23"/>
      <c r="LND441" s="23"/>
      <c r="LNE441" s="23"/>
      <c r="LNF441" s="23"/>
      <c r="LNG441" s="23"/>
      <c r="LNH441" s="23"/>
      <c r="LNI441" s="23"/>
      <c r="LNJ441" s="23"/>
      <c r="LNK441" s="23"/>
      <c r="LNL441" s="23"/>
      <c r="LNM441" s="23"/>
      <c r="LNN441" s="23"/>
      <c r="LNO441" s="23"/>
      <c r="LNP441" s="23"/>
      <c r="LNQ441" s="23"/>
      <c r="LNR441" s="23"/>
      <c r="LNS441" s="23"/>
      <c r="LNT441" s="23"/>
      <c r="LNU441" s="23"/>
      <c r="LNV441" s="23"/>
      <c r="LNW441" s="23"/>
      <c r="LNX441" s="23"/>
      <c r="LNY441" s="23"/>
      <c r="LNZ441" s="23"/>
      <c r="LOA441" s="23"/>
      <c r="LOB441" s="23"/>
      <c r="LOC441" s="23"/>
      <c r="LOD441" s="23"/>
      <c r="LOE441" s="23"/>
      <c r="LOF441" s="23"/>
      <c r="LOG441" s="23"/>
      <c r="LOH441" s="23"/>
      <c r="LOI441" s="23"/>
      <c r="LOJ441" s="23"/>
      <c r="LOK441" s="23"/>
      <c r="LOL441" s="23"/>
      <c r="LOM441" s="23"/>
      <c r="LON441" s="23"/>
      <c r="LOO441" s="23"/>
      <c r="LOP441" s="23"/>
      <c r="LOQ441" s="23"/>
      <c r="LOR441" s="23"/>
      <c r="LOS441" s="23"/>
      <c r="LOT441" s="23"/>
      <c r="LOU441" s="23"/>
      <c r="LOV441" s="23"/>
      <c r="LOW441" s="23"/>
      <c r="LOX441" s="23"/>
      <c r="LOY441" s="23"/>
      <c r="LOZ441" s="23"/>
      <c r="LPA441" s="23"/>
      <c r="LPB441" s="23"/>
      <c r="LPC441" s="23"/>
      <c r="LPD441" s="23"/>
      <c r="LPE441" s="23"/>
      <c r="LPF441" s="23"/>
      <c r="LPG441" s="23"/>
      <c r="LPH441" s="23"/>
      <c r="LPI441" s="23"/>
      <c r="LPJ441" s="23"/>
      <c r="LPK441" s="23"/>
      <c r="LPL441" s="23"/>
      <c r="LPM441" s="23"/>
      <c r="LPN441" s="23"/>
      <c r="LPO441" s="23"/>
      <c r="LPP441" s="23"/>
      <c r="LPQ441" s="23"/>
      <c r="LPR441" s="23"/>
      <c r="LPS441" s="23"/>
      <c r="LPT441" s="23"/>
      <c r="LPU441" s="23"/>
      <c r="LPV441" s="23"/>
      <c r="LPW441" s="23"/>
      <c r="LPX441" s="23"/>
      <c r="LPY441" s="23"/>
      <c r="LPZ441" s="23"/>
      <c r="LQA441" s="23"/>
      <c r="LQB441" s="23"/>
      <c r="LQC441" s="23"/>
      <c r="LQD441" s="23"/>
      <c r="LQE441" s="23"/>
      <c r="LQF441" s="23"/>
      <c r="LQG441" s="23"/>
      <c r="LQH441" s="23"/>
      <c r="LQI441" s="23"/>
      <c r="LQJ441" s="23"/>
      <c r="LQK441" s="23"/>
      <c r="LQL441" s="23"/>
      <c r="LQM441" s="23"/>
      <c r="LQN441" s="23"/>
      <c r="LQO441" s="23"/>
      <c r="LQP441" s="23"/>
      <c r="LQQ441" s="23"/>
      <c r="LQR441" s="23"/>
      <c r="LQS441" s="23"/>
      <c r="LQT441" s="23"/>
      <c r="LQU441" s="23"/>
      <c r="LQV441" s="23"/>
      <c r="LQW441" s="23"/>
      <c r="LQX441" s="23"/>
      <c r="LQY441" s="23"/>
      <c r="LQZ441" s="23"/>
      <c r="LRA441" s="23"/>
      <c r="LRB441" s="23"/>
      <c r="LRC441" s="23"/>
      <c r="LRD441" s="23"/>
      <c r="LRE441" s="23"/>
      <c r="LRF441" s="23"/>
      <c r="LRG441" s="23"/>
      <c r="LRH441" s="23"/>
      <c r="LRI441" s="23"/>
      <c r="LRJ441" s="23"/>
      <c r="LRK441" s="23"/>
      <c r="LRL441" s="23"/>
      <c r="LRM441" s="23"/>
      <c r="LRN441" s="23"/>
      <c r="LRO441" s="23"/>
      <c r="LRP441" s="23"/>
      <c r="LRQ441" s="23"/>
      <c r="LRR441" s="23"/>
      <c r="LRS441" s="23"/>
      <c r="LRT441" s="23"/>
      <c r="LRU441" s="23"/>
      <c r="LRV441" s="23"/>
      <c r="LRW441" s="23"/>
      <c r="LRX441" s="23"/>
      <c r="LRY441" s="23"/>
      <c r="LRZ441" s="23"/>
      <c r="LSA441" s="23"/>
      <c r="LSB441" s="23"/>
      <c r="LSC441" s="23"/>
      <c r="LSD441" s="23"/>
      <c r="LSE441" s="23"/>
      <c r="LSF441" s="23"/>
      <c r="LSG441" s="23"/>
      <c r="LSH441" s="23"/>
      <c r="LSI441" s="23"/>
      <c r="LSJ441" s="23"/>
      <c r="LSK441" s="23"/>
      <c r="LSL441" s="23"/>
      <c r="LSM441" s="23"/>
      <c r="LSN441" s="23"/>
      <c r="LSO441" s="23"/>
      <c r="LSP441" s="23"/>
      <c r="LSQ441" s="23"/>
      <c r="LSR441" s="23"/>
      <c r="LSS441" s="23"/>
      <c r="LST441" s="23"/>
      <c r="LSU441" s="23"/>
      <c r="LSV441" s="23"/>
      <c r="LSW441" s="23"/>
      <c r="LSX441" s="23"/>
      <c r="LSY441" s="23"/>
      <c r="LSZ441" s="23"/>
      <c r="LTA441" s="23"/>
      <c r="LTB441" s="23"/>
      <c r="LTC441" s="23"/>
      <c r="LTD441" s="23"/>
      <c r="LTE441" s="23"/>
      <c r="LTF441" s="23"/>
      <c r="LTG441" s="23"/>
      <c r="LTH441" s="23"/>
      <c r="LTI441" s="23"/>
      <c r="LTJ441" s="23"/>
      <c r="LTK441" s="23"/>
      <c r="LTL441" s="23"/>
      <c r="LTM441" s="23"/>
      <c r="LTN441" s="23"/>
      <c r="LTO441" s="23"/>
      <c r="LTP441" s="23"/>
      <c r="LTQ441" s="23"/>
      <c r="LTR441" s="23"/>
      <c r="LTS441" s="23"/>
      <c r="LTT441" s="23"/>
      <c r="LTU441" s="23"/>
      <c r="LTV441" s="23"/>
      <c r="LTW441" s="23"/>
      <c r="LTX441" s="23"/>
      <c r="LTY441" s="23"/>
      <c r="LTZ441" s="23"/>
      <c r="LUA441" s="23"/>
      <c r="LUB441" s="23"/>
      <c r="LUC441" s="23"/>
      <c r="LUD441" s="23"/>
      <c r="LUE441" s="23"/>
      <c r="LUF441" s="23"/>
      <c r="LUG441" s="23"/>
      <c r="LUH441" s="23"/>
      <c r="LUI441" s="23"/>
      <c r="LUJ441" s="23"/>
      <c r="LUK441" s="23"/>
      <c r="LUL441" s="23"/>
      <c r="LUM441" s="23"/>
      <c r="LUN441" s="23"/>
      <c r="LUO441" s="23"/>
      <c r="LUP441" s="23"/>
      <c r="LUQ441" s="23"/>
      <c r="LUR441" s="23"/>
      <c r="LUS441" s="23"/>
      <c r="LUT441" s="23"/>
      <c r="LUU441" s="23"/>
      <c r="LUV441" s="23"/>
      <c r="LUW441" s="23"/>
      <c r="LUX441" s="23"/>
      <c r="LUY441" s="23"/>
      <c r="LUZ441" s="23"/>
      <c r="LVA441" s="23"/>
      <c r="LVB441" s="23"/>
      <c r="LVC441" s="23"/>
      <c r="LVD441" s="23"/>
      <c r="LVE441" s="23"/>
      <c r="LVF441" s="23"/>
      <c r="LVG441" s="23"/>
      <c r="LVH441" s="23"/>
      <c r="LVI441" s="23"/>
      <c r="LVJ441" s="23"/>
      <c r="LVK441" s="23"/>
      <c r="LVL441" s="23"/>
      <c r="LVM441" s="23"/>
      <c r="LVN441" s="23"/>
      <c r="LVO441" s="23"/>
      <c r="LVP441" s="23"/>
      <c r="LVQ441" s="23"/>
      <c r="LVR441" s="23"/>
      <c r="LVS441" s="23"/>
      <c r="LVT441" s="23"/>
      <c r="LVU441" s="23"/>
      <c r="LVV441" s="23"/>
      <c r="LVW441" s="23"/>
      <c r="LVX441" s="23"/>
      <c r="LVY441" s="23"/>
      <c r="LVZ441" s="23"/>
      <c r="LWA441" s="23"/>
      <c r="LWB441" s="23"/>
      <c r="LWC441" s="23"/>
      <c r="LWD441" s="23"/>
      <c r="LWE441" s="23"/>
      <c r="LWF441" s="23"/>
      <c r="LWG441" s="23"/>
      <c r="LWH441" s="23"/>
      <c r="LWI441" s="23"/>
      <c r="LWJ441" s="23"/>
      <c r="LWK441" s="23"/>
      <c r="LWL441" s="23"/>
      <c r="LWM441" s="23"/>
      <c r="LWN441" s="23"/>
      <c r="LWO441" s="23"/>
      <c r="LWP441" s="23"/>
      <c r="LWQ441" s="23"/>
      <c r="LWR441" s="23"/>
      <c r="LWS441" s="23"/>
      <c r="LWT441" s="23"/>
      <c r="LWU441" s="23"/>
      <c r="LWV441" s="23"/>
      <c r="LWW441" s="23"/>
      <c r="LWX441" s="23"/>
      <c r="LWY441" s="23"/>
      <c r="LWZ441" s="23"/>
      <c r="LXA441" s="23"/>
      <c r="LXB441" s="23"/>
      <c r="LXC441" s="23"/>
      <c r="LXD441" s="23"/>
      <c r="LXE441" s="23"/>
      <c r="LXF441" s="23"/>
      <c r="LXG441" s="23"/>
      <c r="LXH441" s="23"/>
      <c r="LXI441" s="23"/>
      <c r="LXJ441" s="23"/>
      <c r="LXK441" s="23"/>
      <c r="LXL441" s="23"/>
      <c r="LXM441" s="23"/>
      <c r="LXN441" s="23"/>
      <c r="LXO441" s="23"/>
      <c r="LXP441" s="23"/>
      <c r="LXQ441" s="23"/>
      <c r="LXR441" s="23"/>
      <c r="LXS441" s="23"/>
      <c r="LXT441" s="23"/>
      <c r="LXU441" s="23"/>
      <c r="LXV441" s="23"/>
      <c r="LXW441" s="23"/>
      <c r="LXX441" s="23"/>
      <c r="LXY441" s="23"/>
      <c r="LXZ441" s="23"/>
      <c r="LYA441" s="23"/>
      <c r="LYB441" s="23"/>
      <c r="LYC441" s="23"/>
      <c r="LYD441" s="23"/>
      <c r="LYE441" s="23"/>
      <c r="LYF441" s="23"/>
      <c r="LYG441" s="23"/>
      <c r="LYH441" s="23"/>
      <c r="LYI441" s="23"/>
      <c r="LYJ441" s="23"/>
      <c r="LYK441" s="23"/>
      <c r="LYL441" s="23"/>
      <c r="LYM441" s="23"/>
      <c r="LYN441" s="23"/>
      <c r="LYO441" s="23"/>
      <c r="LYP441" s="23"/>
      <c r="LYQ441" s="23"/>
      <c r="LYR441" s="23"/>
      <c r="LYS441" s="23"/>
      <c r="LYT441" s="23"/>
      <c r="LYU441" s="23"/>
      <c r="LYV441" s="23"/>
      <c r="LYW441" s="23"/>
      <c r="LYX441" s="23"/>
      <c r="LYY441" s="23"/>
      <c r="LYZ441" s="23"/>
      <c r="LZA441" s="23"/>
      <c r="LZB441" s="23"/>
      <c r="LZC441" s="23"/>
      <c r="LZD441" s="23"/>
      <c r="LZE441" s="23"/>
      <c r="LZF441" s="23"/>
      <c r="LZG441" s="23"/>
      <c r="LZH441" s="23"/>
      <c r="LZI441" s="23"/>
      <c r="LZJ441" s="23"/>
      <c r="LZK441" s="23"/>
      <c r="LZL441" s="23"/>
      <c r="LZM441" s="23"/>
      <c r="LZN441" s="23"/>
      <c r="LZO441" s="23"/>
      <c r="LZP441" s="23"/>
      <c r="LZQ441" s="23"/>
      <c r="LZR441" s="23"/>
      <c r="LZS441" s="23"/>
      <c r="LZT441" s="23"/>
      <c r="LZU441" s="23"/>
      <c r="LZV441" s="23"/>
      <c r="LZW441" s="23"/>
      <c r="LZX441" s="23"/>
      <c r="LZY441" s="23"/>
      <c r="LZZ441" s="23"/>
      <c r="MAA441" s="23"/>
      <c r="MAB441" s="23"/>
      <c r="MAC441" s="23"/>
      <c r="MAD441" s="23"/>
      <c r="MAE441" s="23"/>
      <c r="MAF441" s="23"/>
      <c r="MAG441" s="23"/>
      <c r="MAH441" s="23"/>
      <c r="MAI441" s="23"/>
      <c r="MAJ441" s="23"/>
      <c r="MAK441" s="23"/>
      <c r="MAL441" s="23"/>
      <c r="MAM441" s="23"/>
      <c r="MAN441" s="23"/>
      <c r="MAO441" s="23"/>
      <c r="MAP441" s="23"/>
      <c r="MAQ441" s="23"/>
      <c r="MAR441" s="23"/>
      <c r="MAS441" s="23"/>
      <c r="MAT441" s="23"/>
      <c r="MAU441" s="23"/>
      <c r="MAV441" s="23"/>
      <c r="MAW441" s="23"/>
      <c r="MAX441" s="23"/>
      <c r="MAY441" s="23"/>
      <c r="MAZ441" s="23"/>
      <c r="MBA441" s="23"/>
      <c r="MBB441" s="23"/>
      <c r="MBC441" s="23"/>
      <c r="MBD441" s="23"/>
      <c r="MBE441" s="23"/>
      <c r="MBF441" s="23"/>
      <c r="MBG441" s="23"/>
      <c r="MBH441" s="23"/>
      <c r="MBI441" s="23"/>
      <c r="MBJ441" s="23"/>
      <c r="MBK441" s="23"/>
      <c r="MBL441" s="23"/>
      <c r="MBM441" s="23"/>
      <c r="MBN441" s="23"/>
      <c r="MBO441" s="23"/>
      <c r="MBP441" s="23"/>
      <c r="MBQ441" s="23"/>
      <c r="MBR441" s="23"/>
      <c r="MBS441" s="23"/>
      <c r="MBT441" s="23"/>
      <c r="MBU441" s="23"/>
      <c r="MBV441" s="23"/>
      <c r="MBW441" s="23"/>
      <c r="MBX441" s="23"/>
      <c r="MBY441" s="23"/>
      <c r="MBZ441" s="23"/>
      <c r="MCA441" s="23"/>
      <c r="MCB441" s="23"/>
      <c r="MCC441" s="23"/>
      <c r="MCD441" s="23"/>
      <c r="MCE441" s="23"/>
      <c r="MCF441" s="23"/>
      <c r="MCG441" s="23"/>
      <c r="MCH441" s="23"/>
      <c r="MCI441" s="23"/>
      <c r="MCJ441" s="23"/>
      <c r="MCK441" s="23"/>
      <c r="MCL441" s="23"/>
      <c r="MCM441" s="23"/>
      <c r="MCN441" s="23"/>
      <c r="MCO441" s="23"/>
      <c r="MCP441" s="23"/>
      <c r="MCQ441" s="23"/>
      <c r="MCR441" s="23"/>
      <c r="MCS441" s="23"/>
      <c r="MCT441" s="23"/>
      <c r="MCU441" s="23"/>
      <c r="MCV441" s="23"/>
      <c r="MCW441" s="23"/>
      <c r="MCX441" s="23"/>
      <c r="MCY441" s="23"/>
      <c r="MCZ441" s="23"/>
      <c r="MDA441" s="23"/>
      <c r="MDB441" s="23"/>
      <c r="MDC441" s="23"/>
      <c r="MDD441" s="23"/>
      <c r="MDE441" s="23"/>
      <c r="MDF441" s="23"/>
      <c r="MDG441" s="23"/>
      <c r="MDH441" s="23"/>
      <c r="MDI441" s="23"/>
      <c r="MDJ441" s="23"/>
      <c r="MDK441" s="23"/>
      <c r="MDL441" s="23"/>
      <c r="MDM441" s="23"/>
      <c r="MDN441" s="23"/>
      <c r="MDO441" s="23"/>
      <c r="MDP441" s="23"/>
      <c r="MDQ441" s="23"/>
      <c r="MDR441" s="23"/>
      <c r="MDS441" s="23"/>
      <c r="MDT441" s="23"/>
      <c r="MDU441" s="23"/>
      <c r="MDV441" s="23"/>
      <c r="MDW441" s="23"/>
      <c r="MDX441" s="23"/>
      <c r="MDY441" s="23"/>
      <c r="MDZ441" s="23"/>
      <c r="MEA441" s="23"/>
      <c r="MEB441" s="23"/>
      <c r="MEC441" s="23"/>
      <c r="MED441" s="23"/>
      <c r="MEE441" s="23"/>
      <c r="MEF441" s="23"/>
      <c r="MEG441" s="23"/>
      <c r="MEH441" s="23"/>
      <c r="MEI441" s="23"/>
      <c r="MEJ441" s="23"/>
      <c r="MEK441" s="23"/>
      <c r="MEL441" s="23"/>
      <c r="MEM441" s="23"/>
      <c r="MEN441" s="23"/>
      <c r="MEO441" s="23"/>
      <c r="MEP441" s="23"/>
      <c r="MEQ441" s="23"/>
      <c r="MER441" s="23"/>
      <c r="MES441" s="23"/>
      <c r="MET441" s="23"/>
      <c r="MEU441" s="23"/>
      <c r="MEV441" s="23"/>
      <c r="MEW441" s="23"/>
      <c r="MEX441" s="23"/>
      <c r="MEY441" s="23"/>
      <c r="MEZ441" s="23"/>
      <c r="MFA441" s="23"/>
      <c r="MFB441" s="23"/>
      <c r="MFC441" s="23"/>
      <c r="MFD441" s="23"/>
      <c r="MFE441" s="23"/>
      <c r="MFF441" s="23"/>
      <c r="MFG441" s="23"/>
      <c r="MFH441" s="23"/>
      <c r="MFI441" s="23"/>
      <c r="MFJ441" s="23"/>
      <c r="MFK441" s="23"/>
      <c r="MFL441" s="23"/>
      <c r="MFM441" s="23"/>
      <c r="MFN441" s="23"/>
      <c r="MFO441" s="23"/>
      <c r="MFP441" s="23"/>
      <c r="MFQ441" s="23"/>
      <c r="MFR441" s="23"/>
      <c r="MFS441" s="23"/>
      <c r="MFT441" s="23"/>
      <c r="MFU441" s="23"/>
      <c r="MFV441" s="23"/>
      <c r="MFW441" s="23"/>
      <c r="MFX441" s="23"/>
      <c r="MFY441" s="23"/>
      <c r="MFZ441" s="23"/>
      <c r="MGA441" s="23"/>
      <c r="MGB441" s="23"/>
      <c r="MGC441" s="23"/>
      <c r="MGD441" s="23"/>
      <c r="MGE441" s="23"/>
      <c r="MGF441" s="23"/>
      <c r="MGG441" s="23"/>
      <c r="MGH441" s="23"/>
      <c r="MGI441" s="23"/>
      <c r="MGJ441" s="23"/>
      <c r="MGK441" s="23"/>
      <c r="MGL441" s="23"/>
      <c r="MGM441" s="23"/>
      <c r="MGN441" s="23"/>
      <c r="MGO441" s="23"/>
      <c r="MGP441" s="23"/>
      <c r="MGQ441" s="23"/>
      <c r="MGR441" s="23"/>
      <c r="MGS441" s="23"/>
      <c r="MGT441" s="23"/>
      <c r="MGU441" s="23"/>
      <c r="MGV441" s="23"/>
      <c r="MGW441" s="23"/>
      <c r="MGX441" s="23"/>
      <c r="MGY441" s="23"/>
      <c r="MGZ441" s="23"/>
      <c r="MHA441" s="23"/>
      <c r="MHB441" s="23"/>
      <c r="MHC441" s="23"/>
      <c r="MHD441" s="23"/>
      <c r="MHE441" s="23"/>
      <c r="MHF441" s="23"/>
      <c r="MHG441" s="23"/>
      <c r="MHH441" s="23"/>
      <c r="MHI441" s="23"/>
      <c r="MHJ441" s="23"/>
      <c r="MHK441" s="23"/>
      <c r="MHL441" s="23"/>
      <c r="MHM441" s="23"/>
      <c r="MHN441" s="23"/>
      <c r="MHO441" s="23"/>
      <c r="MHP441" s="23"/>
      <c r="MHQ441" s="23"/>
      <c r="MHR441" s="23"/>
      <c r="MHS441" s="23"/>
      <c r="MHT441" s="23"/>
      <c r="MHU441" s="23"/>
      <c r="MHV441" s="23"/>
      <c r="MHW441" s="23"/>
      <c r="MHX441" s="23"/>
      <c r="MHY441" s="23"/>
      <c r="MHZ441" s="23"/>
      <c r="MIA441" s="23"/>
      <c r="MIB441" s="23"/>
      <c r="MIC441" s="23"/>
      <c r="MID441" s="23"/>
      <c r="MIE441" s="23"/>
      <c r="MIF441" s="23"/>
      <c r="MIG441" s="23"/>
      <c r="MIH441" s="23"/>
      <c r="MII441" s="23"/>
      <c r="MIJ441" s="23"/>
      <c r="MIK441" s="23"/>
      <c r="MIL441" s="23"/>
      <c r="MIM441" s="23"/>
      <c r="MIN441" s="23"/>
      <c r="MIO441" s="23"/>
      <c r="MIP441" s="23"/>
      <c r="MIQ441" s="23"/>
      <c r="MIR441" s="23"/>
      <c r="MIS441" s="23"/>
      <c r="MIT441" s="23"/>
      <c r="MIU441" s="23"/>
      <c r="MIV441" s="23"/>
      <c r="MIW441" s="23"/>
      <c r="MIX441" s="23"/>
      <c r="MIY441" s="23"/>
      <c r="MIZ441" s="23"/>
      <c r="MJA441" s="23"/>
      <c r="MJB441" s="23"/>
      <c r="MJC441" s="23"/>
      <c r="MJD441" s="23"/>
      <c r="MJE441" s="23"/>
      <c r="MJF441" s="23"/>
      <c r="MJG441" s="23"/>
      <c r="MJH441" s="23"/>
      <c r="MJI441" s="23"/>
      <c r="MJJ441" s="23"/>
      <c r="MJK441" s="23"/>
      <c r="MJL441" s="23"/>
      <c r="MJM441" s="23"/>
      <c r="MJN441" s="23"/>
      <c r="MJO441" s="23"/>
      <c r="MJP441" s="23"/>
      <c r="MJQ441" s="23"/>
      <c r="MJR441" s="23"/>
      <c r="MJS441" s="23"/>
      <c r="MJT441" s="23"/>
      <c r="MJU441" s="23"/>
      <c r="MJV441" s="23"/>
      <c r="MJW441" s="23"/>
      <c r="MJX441" s="23"/>
      <c r="MJY441" s="23"/>
      <c r="MJZ441" s="23"/>
      <c r="MKA441" s="23"/>
      <c r="MKB441" s="23"/>
      <c r="MKC441" s="23"/>
      <c r="MKD441" s="23"/>
      <c r="MKE441" s="23"/>
      <c r="MKF441" s="23"/>
      <c r="MKG441" s="23"/>
      <c r="MKH441" s="23"/>
      <c r="MKI441" s="23"/>
      <c r="MKJ441" s="23"/>
      <c r="MKK441" s="23"/>
      <c r="MKL441" s="23"/>
      <c r="MKM441" s="23"/>
      <c r="MKN441" s="23"/>
      <c r="MKO441" s="23"/>
      <c r="MKP441" s="23"/>
      <c r="MKQ441" s="23"/>
      <c r="MKR441" s="23"/>
      <c r="MKS441" s="23"/>
      <c r="MKT441" s="23"/>
      <c r="MKU441" s="23"/>
      <c r="MKV441" s="23"/>
      <c r="MKW441" s="23"/>
      <c r="MKX441" s="23"/>
      <c r="MKY441" s="23"/>
      <c r="MKZ441" s="23"/>
      <c r="MLA441" s="23"/>
      <c r="MLB441" s="23"/>
      <c r="MLC441" s="23"/>
      <c r="MLD441" s="23"/>
      <c r="MLE441" s="23"/>
      <c r="MLF441" s="23"/>
      <c r="MLG441" s="23"/>
      <c r="MLH441" s="23"/>
      <c r="MLI441" s="23"/>
      <c r="MLJ441" s="23"/>
      <c r="MLK441" s="23"/>
      <c r="MLL441" s="23"/>
      <c r="MLM441" s="23"/>
      <c r="MLN441" s="23"/>
      <c r="MLO441" s="23"/>
      <c r="MLP441" s="23"/>
      <c r="MLQ441" s="23"/>
      <c r="MLR441" s="23"/>
      <c r="MLS441" s="23"/>
      <c r="MLT441" s="23"/>
      <c r="MLU441" s="23"/>
      <c r="MLV441" s="23"/>
      <c r="MLW441" s="23"/>
      <c r="MLX441" s="23"/>
      <c r="MLY441" s="23"/>
      <c r="MLZ441" s="23"/>
      <c r="MMA441" s="23"/>
      <c r="MMB441" s="23"/>
      <c r="MMC441" s="23"/>
      <c r="MMD441" s="23"/>
      <c r="MME441" s="23"/>
      <c r="MMF441" s="23"/>
      <c r="MMG441" s="23"/>
      <c r="MMH441" s="23"/>
      <c r="MMI441" s="23"/>
      <c r="MMJ441" s="23"/>
      <c r="MMK441" s="23"/>
      <c r="MML441" s="23"/>
      <c r="MMM441" s="23"/>
      <c r="MMN441" s="23"/>
      <c r="MMO441" s="23"/>
      <c r="MMP441" s="23"/>
      <c r="MMQ441" s="23"/>
      <c r="MMR441" s="23"/>
      <c r="MMS441" s="23"/>
      <c r="MMT441" s="23"/>
      <c r="MMU441" s="23"/>
      <c r="MMV441" s="23"/>
      <c r="MMW441" s="23"/>
      <c r="MMX441" s="23"/>
      <c r="MMY441" s="23"/>
      <c r="MMZ441" s="23"/>
      <c r="MNA441" s="23"/>
      <c r="MNB441" s="23"/>
      <c r="MNC441" s="23"/>
      <c r="MND441" s="23"/>
      <c r="MNE441" s="23"/>
      <c r="MNF441" s="23"/>
      <c r="MNG441" s="23"/>
      <c r="MNH441" s="23"/>
      <c r="MNI441" s="23"/>
      <c r="MNJ441" s="23"/>
      <c r="MNK441" s="23"/>
      <c r="MNL441" s="23"/>
      <c r="MNM441" s="23"/>
      <c r="MNN441" s="23"/>
      <c r="MNO441" s="23"/>
      <c r="MNP441" s="23"/>
      <c r="MNQ441" s="23"/>
      <c r="MNR441" s="23"/>
      <c r="MNS441" s="23"/>
      <c r="MNT441" s="23"/>
      <c r="MNU441" s="23"/>
      <c r="MNV441" s="23"/>
      <c r="MNW441" s="23"/>
      <c r="MNX441" s="23"/>
      <c r="MNY441" s="23"/>
      <c r="MNZ441" s="23"/>
      <c r="MOA441" s="23"/>
      <c r="MOB441" s="23"/>
      <c r="MOC441" s="23"/>
      <c r="MOD441" s="23"/>
      <c r="MOE441" s="23"/>
      <c r="MOF441" s="23"/>
      <c r="MOG441" s="23"/>
      <c r="MOH441" s="23"/>
      <c r="MOI441" s="23"/>
      <c r="MOJ441" s="23"/>
      <c r="MOK441" s="23"/>
      <c r="MOL441" s="23"/>
      <c r="MOM441" s="23"/>
      <c r="MON441" s="23"/>
      <c r="MOO441" s="23"/>
      <c r="MOP441" s="23"/>
      <c r="MOQ441" s="23"/>
      <c r="MOR441" s="23"/>
      <c r="MOS441" s="23"/>
      <c r="MOT441" s="23"/>
      <c r="MOU441" s="23"/>
      <c r="MOV441" s="23"/>
      <c r="MOW441" s="23"/>
      <c r="MOX441" s="23"/>
      <c r="MOY441" s="23"/>
      <c r="MOZ441" s="23"/>
      <c r="MPA441" s="23"/>
      <c r="MPB441" s="23"/>
      <c r="MPC441" s="23"/>
      <c r="MPD441" s="23"/>
      <c r="MPE441" s="23"/>
      <c r="MPF441" s="23"/>
      <c r="MPG441" s="23"/>
      <c r="MPH441" s="23"/>
      <c r="MPI441" s="23"/>
      <c r="MPJ441" s="23"/>
      <c r="MPK441" s="23"/>
      <c r="MPL441" s="23"/>
      <c r="MPM441" s="23"/>
      <c r="MPN441" s="23"/>
      <c r="MPO441" s="23"/>
      <c r="MPP441" s="23"/>
      <c r="MPQ441" s="23"/>
      <c r="MPR441" s="23"/>
      <c r="MPS441" s="23"/>
      <c r="MPT441" s="23"/>
      <c r="MPU441" s="23"/>
      <c r="MPV441" s="23"/>
      <c r="MPW441" s="23"/>
      <c r="MPX441" s="23"/>
      <c r="MPY441" s="23"/>
      <c r="MPZ441" s="23"/>
      <c r="MQA441" s="23"/>
      <c r="MQB441" s="23"/>
      <c r="MQC441" s="23"/>
      <c r="MQD441" s="23"/>
      <c r="MQE441" s="23"/>
      <c r="MQF441" s="23"/>
      <c r="MQG441" s="23"/>
      <c r="MQH441" s="23"/>
      <c r="MQI441" s="23"/>
      <c r="MQJ441" s="23"/>
      <c r="MQK441" s="23"/>
      <c r="MQL441" s="23"/>
      <c r="MQM441" s="23"/>
      <c r="MQN441" s="23"/>
      <c r="MQO441" s="23"/>
      <c r="MQP441" s="23"/>
      <c r="MQQ441" s="23"/>
      <c r="MQR441" s="23"/>
      <c r="MQS441" s="23"/>
      <c r="MQT441" s="23"/>
      <c r="MQU441" s="23"/>
      <c r="MQV441" s="23"/>
      <c r="MQW441" s="23"/>
      <c r="MQX441" s="23"/>
      <c r="MQY441" s="23"/>
      <c r="MQZ441" s="23"/>
      <c r="MRA441" s="23"/>
      <c r="MRB441" s="23"/>
      <c r="MRC441" s="23"/>
      <c r="MRD441" s="23"/>
      <c r="MRE441" s="23"/>
      <c r="MRF441" s="23"/>
      <c r="MRG441" s="23"/>
      <c r="MRH441" s="23"/>
      <c r="MRI441" s="23"/>
      <c r="MRJ441" s="23"/>
      <c r="MRK441" s="23"/>
      <c r="MRL441" s="23"/>
      <c r="MRM441" s="23"/>
      <c r="MRN441" s="23"/>
      <c r="MRO441" s="23"/>
      <c r="MRP441" s="23"/>
      <c r="MRQ441" s="23"/>
      <c r="MRR441" s="23"/>
      <c r="MRS441" s="23"/>
      <c r="MRT441" s="23"/>
      <c r="MRU441" s="23"/>
      <c r="MRV441" s="23"/>
      <c r="MRW441" s="23"/>
      <c r="MRX441" s="23"/>
      <c r="MRY441" s="23"/>
      <c r="MRZ441" s="23"/>
      <c r="MSA441" s="23"/>
      <c r="MSB441" s="23"/>
      <c r="MSC441" s="23"/>
      <c r="MSD441" s="23"/>
      <c r="MSE441" s="23"/>
      <c r="MSF441" s="23"/>
      <c r="MSG441" s="23"/>
      <c r="MSH441" s="23"/>
      <c r="MSI441" s="23"/>
      <c r="MSJ441" s="23"/>
      <c r="MSK441" s="23"/>
      <c r="MSL441" s="23"/>
      <c r="MSM441" s="23"/>
      <c r="MSN441" s="23"/>
      <c r="MSO441" s="23"/>
      <c r="MSP441" s="23"/>
      <c r="MSQ441" s="23"/>
      <c r="MSR441" s="23"/>
      <c r="MSS441" s="23"/>
      <c r="MST441" s="23"/>
      <c r="MSU441" s="23"/>
      <c r="MSV441" s="23"/>
      <c r="MSW441" s="23"/>
      <c r="MSX441" s="23"/>
      <c r="MSY441" s="23"/>
      <c r="MSZ441" s="23"/>
      <c r="MTA441" s="23"/>
      <c r="MTB441" s="23"/>
      <c r="MTC441" s="23"/>
      <c r="MTD441" s="23"/>
      <c r="MTE441" s="23"/>
      <c r="MTF441" s="23"/>
      <c r="MTG441" s="23"/>
      <c r="MTH441" s="23"/>
      <c r="MTI441" s="23"/>
      <c r="MTJ441" s="23"/>
      <c r="MTK441" s="23"/>
      <c r="MTL441" s="23"/>
      <c r="MTM441" s="23"/>
      <c r="MTN441" s="23"/>
      <c r="MTO441" s="23"/>
      <c r="MTP441" s="23"/>
      <c r="MTQ441" s="23"/>
      <c r="MTR441" s="23"/>
      <c r="MTS441" s="23"/>
      <c r="MTT441" s="23"/>
      <c r="MTU441" s="23"/>
      <c r="MTV441" s="23"/>
      <c r="MTW441" s="23"/>
      <c r="MTX441" s="23"/>
      <c r="MTY441" s="23"/>
      <c r="MTZ441" s="23"/>
      <c r="MUA441" s="23"/>
      <c r="MUB441" s="23"/>
      <c r="MUC441" s="23"/>
      <c r="MUD441" s="23"/>
      <c r="MUE441" s="23"/>
      <c r="MUF441" s="23"/>
      <c r="MUG441" s="23"/>
      <c r="MUH441" s="23"/>
      <c r="MUI441" s="23"/>
      <c r="MUJ441" s="23"/>
      <c r="MUK441" s="23"/>
      <c r="MUL441" s="23"/>
      <c r="MUM441" s="23"/>
      <c r="MUN441" s="23"/>
      <c r="MUO441" s="23"/>
      <c r="MUP441" s="23"/>
      <c r="MUQ441" s="23"/>
      <c r="MUR441" s="23"/>
      <c r="MUS441" s="23"/>
      <c r="MUT441" s="23"/>
      <c r="MUU441" s="23"/>
      <c r="MUV441" s="23"/>
      <c r="MUW441" s="23"/>
      <c r="MUX441" s="23"/>
      <c r="MUY441" s="23"/>
      <c r="MUZ441" s="23"/>
      <c r="MVA441" s="23"/>
      <c r="MVB441" s="23"/>
      <c r="MVC441" s="23"/>
      <c r="MVD441" s="23"/>
      <c r="MVE441" s="23"/>
      <c r="MVF441" s="23"/>
      <c r="MVG441" s="23"/>
      <c r="MVH441" s="23"/>
      <c r="MVI441" s="23"/>
      <c r="MVJ441" s="23"/>
      <c r="MVK441" s="23"/>
      <c r="MVL441" s="23"/>
      <c r="MVM441" s="23"/>
      <c r="MVN441" s="23"/>
      <c r="MVO441" s="23"/>
      <c r="MVP441" s="23"/>
      <c r="MVQ441" s="23"/>
      <c r="MVR441" s="23"/>
      <c r="MVS441" s="23"/>
      <c r="MVT441" s="23"/>
      <c r="MVU441" s="23"/>
      <c r="MVV441" s="23"/>
      <c r="MVW441" s="23"/>
      <c r="MVX441" s="23"/>
      <c r="MVY441" s="23"/>
      <c r="MVZ441" s="23"/>
      <c r="MWA441" s="23"/>
      <c r="MWB441" s="23"/>
      <c r="MWC441" s="23"/>
      <c r="MWD441" s="23"/>
      <c r="MWE441" s="23"/>
      <c r="MWF441" s="23"/>
      <c r="MWG441" s="23"/>
      <c r="MWH441" s="23"/>
      <c r="MWI441" s="23"/>
      <c r="MWJ441" s="23"/>
      <c r="MWK441" s="23"/>
      <c r="MWL441" s="23"/>
      <c r="MWM441" s="23"/>
      <c r="MWN441" s="23"/>
      <c r="MWO441" s="23"/>
      <c r="MWP441" s="23"/>
      <c r="MWQ441" s="23"/>
      <c r="MWR441" s="23"/>
      <c r="MWS441" s="23"/>
      <c r="MWT441" s="23"/>
      <c r="MWU441" s="23"/>
      <c r="MWV441" s="23"/>
      <c r="MWW441" s="23"/>
      <c r="MWX441" s="23"/>
      <c r="MWY441" s="23"/>
      <c r="MWZ441" s="23"/>
      <c r="MXA441" s="23"/>
      <c r="MXB441" s="23"/>
      <c r="MXC441" s="23"/>
      <c r="MXD441" s="23"/>
      <c r="MXE441" s="23"/>
      <c r="MXF441" s="23"/>
      <c r="MXG441" s="23"/>
      <c r="MXH441" s="23"/>
      <c r="MXI441" s="23"/>
      <c r="MXJ441" s="23"/>
      <c r="MXK441" s="23"/>
      <c r="MXL441" s="23"/>
      <c r="MXM441" s="23"/>
      <c r="MXN441" s="23"/>
      <c r="MXO441" s="23"/>
      <c r="MXP441" s="23"/>
      <c r="MXQ441" s="23"/>
      <c r="MXR441" s="23"/>
      <c r="MXS441" s="23"/>
      <c r="MXT441" s="23"/>
      <c r="MXU441" s="23"/>
      <c r="MXV441" s="23"/>
      <c r="MXW441" s="23"/>
      <c r="MXX441" s="23"/>
      <c r="MXY441" s="23"/>
      <c r="MXZ441" s="23"/>
      <c r="MYA441" s="23"/>
      <c r="MYB441" s="23"/>
      <c r="MYC441" s="23"/>
      <c r="MYD441" s="23"/>
      <c r="MYE441" s="23"/>
      <c r="MYF441" s="23"/>
      <c r="MYG441" s="23"/>
      <c r="MYH441" s="23"/>
      <c r="MYI441" s="23"/>
      <c r="MYJ441" s="23"/>
      <c r="MYK441" s="23"/>
      <c r="MYL441" s="23"/>
      <c r="MYM441" s="23"/>
      <c r="MYN441" s="23"/>
      <c r="MYO441" s="23"/>
      <c r="MYP441" s="23"/>
      <c r="MYQ441" s="23"/>
      <c r="MYR441" s="23"/>
      <c r="MYS441" s="23"/>
      <c r="MYT441" s="23"/>
      <c r="MYU441" s="23"/>
      <c r="MYV441" s="23"/>
      <c r="MYW441" s="23"/>
      <c r="MYX441" s="23"/>
      <c r="MYY441" s="23"/>
      <c r="MYZ441" s="23"/>
      <c r="MZA441" s="23"/>
      <c r="MZB441" s="23"/>
      <c r="MZC441" s="23"/>
      <c r="MZD441" s="23"/>
      <c r="MZE441" s="23"/>
      <c r="MZF441" s="23"/>
      <c r="MZG441" s="23"/>
      <c r="MZH441" s="23"/>
      <c r="MZI441" s="23"/>
      <c r="MZJ441" s="23"/>
      <c r="MZK441" s="23"/>
      <c r="MZL441" s="23"/>
      <c r="MZM441" s="23"/>
      <c r="MZN441" s="23"/>
      <c r="MZO441" s="23"/>
      <c r="MZP441" s="23"/>
      <c r="MZQ441" s="23"/>
      <c r="MZR441" s="23"/>
      <c r="MZS441" s="23"/>
      <c r="MZT441" s="23"/>
      <c r="MZU441" s="23"/>
      <c r="MZV441" s="23"/>
      <c r="MZW441" s="23"/>
      <c r="MZX441" s="23"/>
      <c r="MZY441" s="23"/>
      <c r="MZZ441" s="23"/>
      <c r="NAA441" s="23"/>
      <c r="NAB441" s="23"/>
      <c r="NAC441" s="23"/>
      <c r="NAD441" s="23"/>
      <c r="NAE441" s="23"/>
      <c r="NAF441" s="23"/>
      <c r="NAG441" s="23"/>
      <c r="NAH441" s="23"/>
      <c r="NAI441" s="23"/>
      <c r="NAJ441" s="23"/>
      <c r="NAK441" s="23"/>
      <c r="NAL441" s="23"/>
      <c r="NAM441" s="23"/>
      <c r="NAN441" s="23"/>
      <c r="NAO441" s="23"/>
      <c r="NAP441" s="23"/>
      <c r="NAQ441" s="23"/>
      <c r="NAR441" s="23"/>
      <c r="NAS441" s="23"/>
      <c r="NAT441" s="23"/>
      <c r="NAU441" s="23"/>
      <c r="NAV441" s="23"/>
      <c r="NAW441" s="23"/>
      <c r="NAX441" s="23"/>
      <c r="NAY441" s="23"/>
      <c r="NAZ441" s="23"/>
      <c r="NBA441" s="23"/>
      <c r="NBB441" s="23"/>
      <c r="NBC441" s="23"/>
      <c r="NBD441" s="23"/>
      <c r="NBE441" s="23"/>
      <c r="NBF441" s="23"/>
      <c r="NBG441" s="23"/>
      <c r="NBH441" s="23"/>
      <c r="NBI441" s="23"/>
      <c r="NBJ441" s="23"/>
      <c r="NBK441" s="23"/>
      <c r="NBL441" s="23"/>
      <c r="NBM441" s="23"/>
      <c r="NBN441" s="23"/>
      <c r="NBO441" s="23"/>
      <c r="NBP441" s="23"/>
      <c r="NBQ441" s="23"/>
      <c r="NBR441" s="23"/>
      <c r="NBS441" s="23"/>
      <c r="NBT441" s="23"/>
      <c r="NBU441" s="23"/>
      <c r="NBV441" s="23"/>
      <c r="NBW441" s="23"/>
      <c r="NBX441" s="23"/>
      <c r="NBY441" s="23"/>
      <c r="NBZ441" s="23"/>
      <c r="NCA441" s="23"/>
      <c r="NCB441" s="23"/>
      <c r="NCC441" s="23"/>
      <c r="NCD441" s="23"/>
      <c r="NCE441" s="23"/>
      <c r="NCF441" s="23"/>
      <c r="NCG441" s="23"/>
      <c r="NCH441" s="23"/>
      <c r="NCI441" s="23"/>
      <c r="NCJ441" s="23"/>
      <c r="NCK441" s="23"/>
      <c r="NCL441" s="23"/>
      <c r="NCM441" s="23"/>
      <c r="NCN441" s="23"/>
      <c r="NCO441" s="23"/>
      <c r="NCP441" s="23"/>
      <c r="NCQ441" s="23"/>
      <c r="NCR441" s="23"/>
      <c r="NCS441" s="23"/>
      <c r="NCT441" s="23"/>
      <c r="NCU441" s="23"/>
      <c r="NCV441" s="23"/>
      <c r="NCW441" s="23"/>
      <c r="NCX441" s="23"/>
      <c r="NCY441" s="23"/>
      <c r="NCZ441" s="23"/>
      <c r="NDA441" s="23"/>
      <c r="NDB441" s="23"/>
      <c r="NDC441" s="23"/>
      <c r="NDD441" s="23"/>
      <c r="NDE441" s="23"/>
      <c r="NDF441" s="23"/>
      <c r="NDG441" s="23"/>
      <c r="NDH441" s="23"/>
      <c r="NDI441" s="23"/>
      <c r="NDJ441" s="23"/>
      <c r="NDK441" s="23"/>
      <c r="NDL441" s="23"/>
      <c r="NDM441" s="23"/>
      <c r="NDN441" s="23"/>
      <c r="NDO441" s="23"/>
      <c r="NDP441" s="23"/>
      <c r="NDQ441" s="23"/>
      <c r="NDR441" s="23"/>
      <c r="NDS441" s="23"/>
      <c r="NDT441" s="23"/>
      <c r="NDU441" s="23"/>
      <c r="NDV441" s="23"/>
      <c r="NDW441" s="23"/>
      <c r="NDX441" s="23"/>
      <c r="NDY441" s="23"/>
      <c r="NDZ441" s="23"/>
      <c r="NEA441" s="23"/>
      <c r="NEB441" s="23"/>
      <c r="NEC441" s="23"/>
      <c r="NED441" s="23"/>
      <c r="NEE441" s="23"/>
      <c r="NEF441" s="23"/>
      <c r="NEG441" s="23"/>
      <c r="NEH441" s="23"/>
      <c r="NEI441" s="23"/>
      <c r="NEJ441" s="23"/>
      <c r="NEK441" s="23"/>
      <c r="NEL441" s="23"/>
      <c r="NEM441" s="23"/>
      <c r="NEN441" s="23"/>
      <c r="NEO441" s="23"/>
      <c r="NEP441" s="23"/>
      <c r="NEQ441" s="23"/>
      <c r="NER441" s="23"/>
      <c r="NES441" s="23"/>
      <c r="NET441" s="23"/>
      <c r="NEU441" s="23"/>
      <c r="NEV441" s="23"/>
      <c r="NEW441" s="23"/>
      <c r="NEX441" s="23"/>
      <c r="NEY441" s="23"/>
      <c r="NEZ441" s="23"/>
      <c r="NFA441" s="23"/>
      <c r="NFB441" s="23"/>
      <c r="NFC441" s="23"/>
      <c r="NFD441" s="23"/>
      <c r="NFE441" s="23"/>
      <c r="NFF441" s="23"/>
      <c r="NFG441" s="23"/>
      <c r="NFH441" s="23"/>
      <c r="NFI441" s="23"/>
      <c r="NFJ441" s="23"/>
      <c r="NFK441" s="23"/>
      <c r="NFL441" s="23"/>
      <c r="NFM441" s="23"/>
      <c r="NFN441" s="23"/>
      <c r="NFO441" s="23"/>
      <c r="NFP441" s="23"/>
      <c r="NFQ441" s="23"/>
      <c r="NFR441" s="23"/>
      <c r="NFS441" s="23"/>
      <c r="NFT441" s="23"/>
      <c r="NFU441" s="23"/>
      <c r="NFV441" s="23"/>
      <c r="NFW441" s="23"/>
      <c r="NFX441" s="23"/>
      <c r="NFY441" s="23"/>
      <c r="NFZ441" s="23"/>
      <c r="NGA441" s="23"/>
      <c r="NGB441" s="23"/>
      <c r="NGC441" s="23"/>
      <c r="NGD441" s="23"/>
      <c r="NGE441" s="23"/>
      <c r="NGF441" s="23"/>
      <c r="NGG441" s="23"/>
      <c r="NGH441" s="23"/>
      <c r="NGI441" s="23"/>
      <c r="NGJ441" s="23"/>
      <c r="NGK441" s="23"/>
      <c r="NGL441" s="23"/>
      <c r="NGM441" s="23"/>
      <c r="NGN441" s="23"/>
      <c r="NGO441" s="23"/>
      <c r="NGP441" s="23"/>
      <c r="NGQ441" s="23"/>
      <c r="NGR441" s="23"/>
      <c r="NGS441" s="23"/>
      <c r="NGT441" s="23"/>
      <c r="NGU441" s="23"/>
      <c r="NGV441" s="23"/>
      <c r="NGW441" s="23"/>
      <c r="NGX441" s="23"/>
      <c r="NGY441" s="23"/>
      <c r="NGZ441" s="23"/>
      <c r="NHA441" s="23"/>
      <c r="NHB441" s="23"/>
      <c r="NHC441" s="23"/>
      <c r="NHD441" s="23"/>
      <c r="NHE441" s="23"/>
      <c r="NHF441" s="23"/>
      <c r="NHG441" s="23"/>
      <c r="NHH441" s="23"/>
      <c r="NHI441" s="23"/>
      <c r="NHJ441" s="23"/>
      <c r="NHK441" s="23"/>
      <c r="NHL441" s="23"/>
      <c r="NHM441" s="23"/>
      <c r="NHN441" s="23"/>
      <c r="NHO441" s="23"/>
      <c r="NHP441" s="23"/>
      <c r="NHQ441" s="23"/>
      <c r="NHR441" s="23"/>
      <c r="NHS441" s="23"/>
      <c r="NHT441" s="23"/>
      <c r="NHU441" s="23"/>
      <c r="NHV441" s="23"/>
      <c r="NHW441" s="23"/>
      <c r="NHX441" s="23"/>
      <c r="NHY441" s="23"/>
      <c r="NHZ441" s="23"/>
      <c r="NIA441" s="23"/>
      <c r="NIB441" s="23"/>
      <c r="NIC441" s="23"/>
      <c r="NID441" s="23"/>
      <c r="NIE441" s="23"/>
      <c r="NIF441" s="23"/>
      <c r="NIG441" s="23"/>
      <c r="NIH441" s="23"/>
      <c r="NII441" s="23"/>
      <c r="NIJ441" s="23"/>
      <c r="NIK441" s="23"/>
      <c r="NIL441" s="23"/>
      <c r="NIM441" s="23"/>
      <c r="NIN441" s="23"/>
      <c r="NIO441" s="23"/>
      <c r="NIP441" s="23"/>
      <c r="NIQ441" s="23"/>
      <c r="NIR441" s="23"/>
      <c r="NIS441" s="23"/>
      <c r="NIT441" s="23"/>
      <c r="NIU441" s="23"/>
      <c r="NIV441" s="23"/>
      <c r="NIW441" s="23"/>
      <c r="NIX441" s="23"/>
      <c r="NIY441" s="23"/>
      <c r="NIZ441" s="23"/>
      <c r="NJA441" s="23"/>
      <c r="NJB441" s="23"/>
      <c r="NJC441" s="23"/>
      <c r="NJD441" s="23"/>
      <c r="NJE441" s="23"/>
      <c r="NJF441" s="23"/>
      <c r="NJG441" s="23"/>
      <c r="NJH441" s="23"/>
      <c r="NJI441" s="23"/>
      <c r="NJJ441" s="23"/>
      <c r="NJK441" s="23"/>
      <c r="NJL441" s="23"/>
      <c r="NJM441" s="23"/>
      <c r="NJN441" s="23"/>
      <c r="NJO441" s="23"/>
      <c r="NJP441" s="23"/>
      <c r="NJQ441" s="23"/>
      <c r="NJR441" s="23"/>
      <c r="NJS441" s="23"/>
      <c r="NJT441" s="23"/>
      <c r="NJU441" s="23"/>
      <c r="NJV441" s="23"/>
      <c r="NJW441" s="23"/>
      <c r="NJX441" s="23"/>
      <c r="NJY441" s="23"/>
      <c r="NJZ441" s="23"/>
      <c r="NKA441" s="23"/>
      <c r="NKB441" s="23"/>
      <c r="NKC441" s="23"/>
      <c r="NKD441" s="23"/>
      <c r="NKE441" s="23"/>
      <c r="NKF441" s="23"/>
      <c r="NKG441" s="23"/>
      <c r="NKH441" s="23"/>
      <c r="NKI441" s="23"/>
      <c r="NKJ441" s="23"/>
      <c r="NKK441" s="23"/>
      <c r="NKL441" s="23"/>
      <c r="NKM441" s="23"/>
      <c r="NKN441" s="23"/>
      <c r="NKO441" s="23"/>
      <c r="NKP441" s="23"/>
      <c r="NKQ441" s="23"/>
      <c r="NKR441" s="23"/>
      <c r="NKS441" s="23"/>
      <c r="NKT441" s="23"/>
      <c r="NKU441" s="23"/>
      <c r="NKV441" s="23"/>
      <c r="NKW441" s="23"/>
      <c r="NKX441" s="23"/>
      <c r="NKY441" s="23"/>
      <c r="NKZ441" s="23"/>
      <c r="NLA441" s="23"/>
      <c r="NLB441" s="23"/>
      <c r="NLC441" s="23"/>
      <c r="NLD441" s="23"/>
      <c r="NLE441" s="23"/>
      <c r="NLF441" s="23"/>
      <c r="NLG441" s="23"/>
      <c r="NLH441" s="23"/>
      <c r="NLI441" s="23"/>
      <c r="NLJ441" s="23"/>
      <c r="NLK441" s="23"/>
      <c r="NLL441" s="23"/>
      <c r="NLM441" s="23"/>
      <c r="NLN441" s="23"/>
      <c r="NLO441" s="23"/>
      <c r="NLP441" s="23"/>
      <c r="NLQ441" s="23"/>
      <c r="NLR441" s="23"/>
      <c r="NLS441" s="23"/>
      <c r="NLT441" s="23"/>
      <c r="NLU441" s="23"/>
      <c r="NLV441" s="23"/>
      <c r="NLW441" s="23"/>
      <c r="NLX441" s="23"/>
      <c r="NLY441" s="23"/>
      <c r="NLZ441" s="23"/>
      <c r="NMA441" s="23"/>
      <c r="NMB441" s="23"/>
      <c r="NMC441" s="23"/>
      <c r="NMD441" s="23"/>
      <c r="NME441" s="23"/>
      <c r="NMF441" s="23"/>
      <c r="NMG441" s="23"/>
      <c r="NMH441" s="23"/>
      <c r="NMI441" s="23"/>
      <c r="NMJ441" s="23"/>
      <c r="NMK441" s="23"/>
      <c r="NML441" s="23"/>
      <c r="NMM441" s="23"/>
      <c r="NMN441" s="23"/>
      <c r="NMO441" s="23"/>
      <c r="NMP441" s="23"/>
      <c r="NMQ441" s="23"/>
      <c r="NMR441" s="23"/>
      <c r="NMS441" s="23"/>
      <c r="NMT441" s="23"/>
      <c r="NMU441" s="23"/>
      <c r="NMV441" s="23"/>
      <c r="NMW441" s="23"/>
      <c r="NMX441" s="23"/>
      <c r="NMY441" s="23"/>
      <c r="NMZ441" s="23"/>
      <c r="NNA441" s="23"/>
      <c r="NNB441" s="23"/>
      <c r="NNC441" s="23"/>
      <c r="NND441" s="23"/>
      <c r="NNE441" s="23"/>
      <c r="NNF441" s="23"/>
      <c r="NNG441" s="23"/>
      <c r="NNH441" s="23"/>
      <c r="NNI441" s="23"/>
      <c r="NNJ441" s="23"/>
      <c r="NNK441" s="23"/>
      <c r="NNL441" s="23"/>
      <c r="NNM441" s="23"/>
      <c r="NNN441" s="23"/>
      <c r="NNO441" s="23"/>
      <c r="NNP441" s="23"/>
      <c r="NNQ441" s="23"/>
      <c r="NNR441" s="23"/>
      <c r="NNS441" s="23"/>
      <c r="NNT441" s="23"/>
      <c r="NNU441" s="23"/>
      <c r="NNV441" s="23"/>
      <c r="NNW441" s="23"/>
      <c r="NNX441" s="23"/>
      <c r="NNY441" s="23"/>
      <c r="NNZ441" s="23"/>
      <c r="NOA441" s="23"/>
      <c r="NOB441" s="23"/>
      <c r="NOC441" s="23"/>
      <c r="NOD441" s="23"/>
      <c r="NOE441" s="23"/>
      <c r="NOF441" s="23"/>
      <c r="NOG441" s="23"/>
      <c r="NOH441" s="23"/>
      <c r="NOI441" s="23"/>
      <c r="NOJ441" s="23"/>
      <c r="NOK441" s="23"/>
      <c r="NOL441" s="23"/>
      <c r="NOM441" s="23"/>
      <c r="NON441" s="23"/>
      <c r="NOO441" s="23"/>
      <c r="NOP441" s="23"/>
      <c r="NOQ441" s="23"/>
      <c r="NOR441" s="23"/>
      <c r="NOS441" s="23"/>
      <c r="NOT441" s="23"/>
      <c r="NOU441" s="23"/>
      <c r="NOV441" s="23"/>
      <c r="NOW441" s="23"/>
      <c r="NOX441" s="23"/>
      <c r="NOY441" s="23"/>
      <c r="NOZ441" s="23"/>
      <c r="NPA441" s="23"/>
      <c r="NPB441" s="23"/>
      <c r="NPC441" s="23"/>
      <c r="NPD441" s="23"/>
      <c r="NPE441" s="23"/>
      <c r="NPF441" s="23"/>
      <c r="NPG441" s="23"/>
      <c r="NPH441" s="23"/>
      <c r="NPI441" s="23"/>
      <c r="NPJ441" s="23"/>
      <c r="NPK441" s="23"/>
      <c r="NPL441" s="23"/>
      <c r="NPM441" s="23"/>
      <c r="NPN441" s="23"/>
      <c r="NPO441" s="23"/>
      <c r="NPP441" s="23"/>
      <c r="NPQ441" s="23"/>
      <c r="NPR441" s="23"/>
      <c r="NPS441" s="23"/>
      <c r="NPT441" s="23"/>
      <c r="NPU441" s="23"/>
      <c r="NPV441" s="23"/>
      <c r="NPW441" s="23"/>
      <c r="NPX441" s="23"/>
      <c r="NPY441" s="23"/>
      <c r="NPZ441" s="23"/>
      <c r="NQA441" s="23"/>
      <c r="NQB441" s="23"/>
      <c r="NQC441" s="23"/>
      <c r="NQD441" s="23"/>
      <c r="NQE441" s="23"/>
      <c r="NQF441" s="23"/>
      <c r="NQG441" s="23"/>
      <c r="NQH441" s="23"/>
      <c r="NQI441" s="23"/>
      <c r="NQJ441" s="23"/>
      <c r="NQK441" s="23"/>
      <c r="NQL441" s="23"/>
      <c r="NQM441" s="23"/>
      <c r="NQN441" s="23"/>
      <c r="NQO441" s="23"/>
      <c r="NQP441" s="23"/>
      <c r="NQQ441" s="23"/>
      <c r="NQR441" s="23"/>
      <c r="NQS441" s="23"/>
      <c r="NQT441" s="23"/>
      <c r="NQU441" s="23"/>
      <c r="NQV441" s="23"/>
      <c r="NQW441" s="23"/>
      <c r="NQX441" s="23"/>
      <c r="NQY441" s="23"/>
      <c r="NQZ441" s="23"/>
      <c r="NRA441" s="23"/>
      <c r="NRB441" s="23"/>
      <c r="NRC441" s="23"/>
      <c r="NRD441" s="23"/>
      <c r="NRE441" s="23"/>
      <c r="NRF441" s="23"/>
      <c r="NRG441" s="23"/>
      <c r="NRH441" s="23"/>
      <c r="NRI441" s="23"/>
      <c r="NRJ441" s="23"/>
      <c r="NRK441" s="23"/>
      <c r="NRL441" s="23"/>
      <c r="NRM441" s="23"/>
      <c r="NRN441" s="23"/>
      <c r="NRO441" s="23"/>
      <c r="NRP441" s="23"/>
      <c r="NRQ441" s="23"/>
      <c r="NRR441" s="23"/>
      <c r="NRS441" s="23"/>
      <c r="NRT441" s="23"/>
      <c r="NRU441" s="23"/>
      <c r="NRV441" s="23"/>
      <c r="NRW441" s="23"/>
      <c r="NRX441" s="23"/>
      <c r="NRY441" s="23"/>
      <c r="NRZ441" s="23"/>
      <c r="NSA441" s="23"/>
      <c r="NSB441" s="23"/>
      <c r="NSC441" s="23"/>
      <c r="NSD441" s="23"/>
      <c r="NSE441" s="23"/>
      <c r="NSF441" s="23"/>
      <c r="NSG441" s="23"/>
      <c r="NSH441" s="23"/>
      <c r="NSI441" s="23"/>
      <c r="NSJ441" s="23"/>
      <c r="NSK441" s="23"/>
      <c r="NSL441" s="23"/>
      <c r="NSM441" s="23"/>
      <c r="NSN441" s="23"/>
      <c r="NSO441" s="23"/>
      <c r="NSP441" s="23"/>
      <c r="NSQ441" s="23"/>
      <c r="NSR441" s="23"/>
      <c r="NSS441" s="23"/>
      <c r="NST441" s="23"/>
      <c r="NSU441" s="23"/>
      <c r="NSV441" s="23"/>
      <c r="NSW441" s="23"/>
      <c r="NSX441" s="23"/>
      <c r="NSY441" s="23"/>
      <c r="NSZ441" s="23"/>
      <c r="NTA441" s="23"/>
      <c r="NTB441" s="23"/>
      <c r="NTC441" s="23"/>
      <c r="NTD441" s="23"/>
      <c r="NTE441" s="23"/>
      <c r="NTF441" s="23"/>
      <c r="NTG441" s="23"/>
      <c r="NTH441" s="23"/>
      <c r="NTI441" s="23"/>
      <c r="NTJ441" s="23"/>
      <c r="NTK441" s="23"/>
      <c r="NTL441" s="23"/>
      <c r="NTM441" s="23"/>
      <c r="NTN441" s="23"/>
      <c r="NTO441" s="23"/>
      <c r="NTP441" s="23"/>
      <c r="NTQ441" s="23"/>
      <c r="NTR441" s="23"/>
      <c r="NTS441" s="23"/>
      <c r="NTT441" s="23"/>
      <c r="NTU441" s="23"/>
      <c r="NTV441" s="23"/>
      <c r="NTW441" s="23"/>
      <c r="NTX441" s="23"/>
      <c r="NTY441" s="23"/>
      <c r="NTZ441" s="23"/>
      <c r="NUA441" s="23"/>
      <c r="NUB441" s="23"/>
      <c r="NUC441" s="23"/>
      <c r="NUD441" s="23"/>
      <c r="NUE441" s="23"/>
      <c r="NUF441" s="23"/>
      <c r="NUG441" s="23"/>
      <c r="NUH441" s="23"/>
      <c r="NUI441" s="23"/>
      <c r="NUJ441" s="23"/>
      <c r="NUK441" s="23"/>
      <c r="NUL441" s="23"/>
      <c r="NUM441" s="23"/>
      <c r="NUN441" s="23"/>
      <c r="NUO441" s="23"/>
      <c r="NUP441" s="23"/>
      <c r="NUQ441" s="23"/>
      <c r="NUR441" s="23"/>
      <c r="NUS441" s="23"/>
      <c r="NUT441" s="23"/>
      <c r="NUU441" s="23"/>
      <c r="NUV441" s="23"/>
      <c r="NUW441" s="23"/>
      <c r="NUX441" s="23"/>
      <c r="NUY441" s="23"/>
      <c r="NUZ441" s="23"/>
      <c r="NVA441" s="23"/>
      <c r="NVB441" s="23"/>
      <c r="NVC441" s="23"/>
      <c r="NVD441" s="23"/>
      <c r="NVE441" s="23"/>
      <c r="NVF441" s="23"/>
      <c r="NVG441" s="23"/>
      <c r="NVH441" s="23"/>
      <c r="NVI441" s="23"/>
      <c r="NVJ441" s="23"/>
      <c r="NVK441" s="23"/>
      <c r="NVL441" s="23"/>
      <c r="NVM441" s="23"/>
      <c r="NVN441" s="23"/>
      <c r="NVO441" s="23"/>
      <c r="NVP441" s="23"/>
      <c r="NVQ441" s="23"/>
      <c r="NVR441" s="23"/>
      <c r="NVS441" s="23"/>
      <c r="NVT441" s="23"/>
      <c r="NVU441" s="23"/>
      <c r="NVV441" s="23"/>
      <c r="NVW441" s="23"/>
      <c r="NVX441" s="23"/>
      <c r="NVY441" s="23"/>
      <c r="NVZ441" s="23"/>
      <c r="NWA441" s="23"/>
      <c r="NWB441" s="23"/>
      <c r="NWC441" s="23"/>
      <c r="NWD441" s="23"/>
      <c r="NWE441" s="23"/>
      <c r="NWF441" s="23"/>
      <c r="NWG441" s="23"/>
      <c r="NWH441" s="23"/>
      <c r="NWI441" s="23"/>
      <c r="NWJ441" s="23"/>
      <c r="NWK441" s="23"/>
      <c r="NWL441" s="23"/>
      <c r="NWM441" s="23"/>
      <c r="NWN441" s="23"/>
      <c r="NWO441" s="23"/>
      <c r="NWP441" s="23"/>
      <c r="NWQ441" s="23"/>
      <c r="NWR441" s="23"/>
      <c r="NWS441" s="23"/>
      <c r="NWT441" s="23"/>
      <c r="NWU441" s="23"/>
      <c r="NWV441" s="23"/>
      <c r="NWW441" s="23"/>
      <c r="NWX441" s="23"/>
      <c r="NWY441" s="23"/>
      <c r="NWZ441" s="23"/>
      <c r="NXA441" s="23"/>
      <c r="NXB441" s="23"/>
      <c r="NXC441" s="23"/>
      <c r="NXD441" s="23"/>
      <c r="NXE441" s="23"/>
      <c r="NXF441" s="23"/>
      <c r="NXG441" s="23"/>
      <c r="NXH441" s="23"/>
      <c r="NXI441" s="23"/>
      <c r="NXJ441" s="23"/>
      <c r="NXK441" s="23"/>
      <c r="NXL441" s="23"/>
      <c r="NXM441" s="23"/>
      <c r="NXN441" s="23"/>
      <c r="NXO441" s="23"/>
      <c r="NXP441" s="23"/>
      <c r="NXQ441" s="23"/>
      <c r="NXR441" s="23"/>
      <c r="NXS441" s="23"/>
      <c r="NXT441" s="23"/>
      <c r="NXU441" s="23"/>
      <c r="NXV441" s="23"/>
      <c r="NXW441" s="23"/>
      <c r="NXX441" s="23"/>
      <c r="NXY441" s="23"/>
      <c r="NXZ441" s="23"/>
      <c r="NYA441" s="23"/>
      <c r="NYB441" s="23"/>
      <c r="NYC441" s="23"/>
      <c r="NYD441" s="23"/>
      <c r="NYE441" s="23"/>
      <c r="NYF441" s="23"/>
      <c r="NYG441" s="23"/>
      <c r="NYH441" s="23"/>
      <c r="NYI441" s="23"/>
      <c r="NYJ441" s="23"/>
      <c r="NYK441" s="23"/>
      <c r="NYL441" s="23"/>
      <c r="NYM441" s="23"/>
      <c r="NYN441" s="23"/>
      <c r="NYO441" s="23"/>
      <c r="NYP441" s="23"/>
      <c r="NYQ441" s="23"/>
      <c r="NYR441" s="23"/>
      <c r="NYS441" s="23"/>
      <c r="NYT441" s="23"/>
      <c r="NYU441" s="23"/>
      <c r="NYV441" s="23"/>
      <c r="NYW441" s="23"/>
      <c r="NYX441" s="23"/>
      <c r="NYY441" s="23"/>
      <c r="NYZ441" s="23"/>
      <c r="NZA441" s="23"/>
      <c r="NZB441" s="23"/>
      <c r="NZC441" s="23"/>
      <c r="NZD441" s="23"/>
      <c r="NZE441" s="23"/>
      <c r="NZF441" s="23"/>
      <c r="NZG441" s="23"/>
      <c r="NZH441" s="23"/>
      <c r="NZI441" s="23"/>
      <c r="NZJ441" s="23"/>
      <c r="NZK441" s="23"/>
      <c r="NZL441" s="23"/>
      <c r="NZM441" s="23"/>
      <c r="NZN441" s="23"/>
      <c r="NZO441" s="23"/>
      <c r="NZP441" s="23"/>
      <c r="NZQ441" s="23"/>
      <c r="NZR441" s="23"/>
      <c r="NZS441" s="23"/>
      <c r="NZT441" s="23"/>
      <c r="NZU441" s="23"/>
      <c r="NZV441" s="23"/>
      <c r="NZW441" s="23"/>
      <c r="NZX441" s="23"/>
      <c r="NZY441" s="23"/>
      <c r="NZZ441" s="23"/>
      <c r="OAA441" s="23"/>
      <c r="OAB441" s="23"/>
      <c r="OAC441" s="23"/>
      <c r="OAD441" s="23"/>
      <c r="OAE441" s="23"/>
      <c r="OAF441" s="23"/>
      <c r="OAG441" s="23"/>
      <c r="OAH441" s="23"/>
      <c r="OAI441" s="23"/>
      <c r="OAJ441" s="23"/>
      <c r="OAK441" s="23"/>
      <c r="OAL441" s="23"/>
      <c r="OAM441" s="23"/>
      <c r="OAN441" s="23"/>
      <c r="OAO441" s="23"/>
      <c r="OAP441" s="23"/>
      <c r="OAQ441" s="23"/>
      <c r="OAR441" s="23"/>
      <c r="OAS441" s="23"/>
      <c r="OAT441" s="23"/>
      <c r="OAU441" s="23"/>
      <c r="OAV441" s="23"/>
      <c r="OAW441" s="23"/>
      <c r="OAX441" s="23"/>
      <c r="OAY441" s="23"/>
      <c r="OAZ441" s="23"/>
      <c r="OBA441" s="23"/>
      <c r="OBB441" s="23"/>
      <c r="OBC441" s="23"/>
      <c r="OBD441" s="23"/>
      <c r="OBE441" s="23"/>
      <c r="OBF441" s="23"/>
      <c r="OBG441" s="23"/>
      <c r="OBH441" s="23"/>
      <c r="OBI441" s="23"/>
      <c r="OBJ441" s="23"/>
      <c r="OBK441" s="23"/>
      <c r="OBL441" s="23"/>
      <c r="OBM441" s="23"/>
      <c r="OBN441" s="23"/>
      <c r="OBO441" s="23"/>
      <c r="OBP441" s="23"/>
      <c r="OBQ441" s="23"/>
      <c r="OBR441" s="23"/>
      <c r="OBS441" s="23"/>
      <c r="OBT441" s="23"/>
      <c r="OBU441" s="23"/>
      <c r="OBV441" s="23"/>
      <c r="OBW441" s="23"/>
      <c r="OBX441" s="23"/>
      <c r="OBY441" s="23"/>
      <c r="OBZ441" s="23"/>
      <c r="OCA441" s="23"/>
      <c r="OCB441" s="23"/>
      <c r="OCC441" s="23"/>
      <c r="OCD441" s="23"/>
      <c r="OCE441" s="23"/>
      <c r="OCF441" s="23"/>
      <c r="OCG441" s="23"/>
      <c r="OCH441" s="23"/>
      <c r="OCI441" s="23"/>
      <c r="OCJ441" s="23"/>
      <c r="OCK441" s="23"/>
      <c r="OCL441" s="23"/>
      <c r="OCM441" s="23"/>
      <c r="OCN441" s="23"/>
      <c r="OCO441" s="23"/>
      <c r="OCP441" s="23"/>
      <c r="OCQ441" s="23"/>
      <c r="OCR441" s="23"/>
      <c r="OCS441" s="23"/>
      <c r="OCT441" s="23"/>
      <c r="OCU441" s="23"/>
      <c r="OCV441" s="23"/>
      <c r="OCW441" s="23"/>
      <c r="OCX441" s="23"/>
      <c r="OCY441" s="23"/>
      <c r="OCZ441" s="23"/>
      <c r="ODA441" s="23"/>
      <c r="ODB441" s="23"/>
      <c r="ODC441" s="23"/>
      <c r="ODD441" s="23"/>
      <c r="ODE441" s="23"/>
      <c r="ODF441" s="23"/>
      <c r="ODG441" s="23"/>
      <c r="ODH441" s="23"/>
      <c r="ODI441" s="23"/>
      <c r="ODJ441" s="23"/>
      <c r="ODK441" s="23"/>
      <c r="ODL441" s="23"/>
      <c r="ODM441" s="23"/>
      <c r="ODN441" s="23"/>
      <c r="ODO441" s="23"/>
      <c r="ODP441" s="23"/>
      <c r="ODQ441" s="23"/>
      <c r="ODR441" s="23"/>
      <c r="ODS441" s="23"/>
      <c r="ODT441" s="23"/>
      <c r="ODU441" s="23"/>
      <c r="ODV441" s="23"/>
      <c r="ODW441" s="23"/>
      <c r="ODX441" s="23"/>
      <c r="ODY441" s="23"/>
      <c r="ODZ441" s="23"/>
      <c r="OEA441" s="23"/>
      <c r="OEB441" s="23"/>
      <c r="OEC441" s="23"/>
      <c r="OED441" s="23"/>
      <c r="OEE441" s="23"/>
      <c r="OEF441" s="23"/>
      <c r="OEG441" s="23"/>
      <c r="OEH441" s="23"/>
      <c r="OEI441" s="23"/>
      <c r="OEJ441" s="23"/>
      <c r="OEK441" s="23"/>
      <c r="OEL441" s="23"/>
      <c r="OEM441" s="23"/>
      <c r="OEN441" s="23"/>
      <c r="OEO441" s="23"/>
      <c r="OEP441" s="23"/>
      <c r="OEQ441" s="23"/>
      <c r="OER441" s="23"/>
      <c r="OES441" s="23"/>
      <c r="OET441" s="23"/>
      <c r="OEU441" s="23"/>
      <c r="OEV441" s="23"/>
      <c r="OEW441" s="23"/>
      <c r="OEX441" s="23"/>
      <c r="OEY441" s="23"/>
      <c r="OEZ441" s="23"/>
      <c r="OFA441" s="23"/>
      <c r="OFB441" s="23"/>
      <c r="OFC441" s="23"/>
      <c r="OFD441" s="23"/>
      <c r="OFE441" s="23"/>
      <c r="OFF441" s="23"/>
      <c r="OFG441" s="23"/>
      <c r="OFH441" s="23"/>
      <c r="OFI441" s="23"/>
      <c r="OFJ441" s="23"/>
      <c r="OFK441" s="23"/>
      <c r="OFL441" s="23"/>
      <c r="OFM441" s="23"/>
      <c r="OFN441" s="23"/>
      <c r="OFO441" s="23"/>
      <c r="OFP441" s="23"/>
      <c r="OFQ441" s="23"/>
      <c r="OFR441" s="23"/>
      <c r="OFS441" s="23"/>
      <c r="OFT441" s="23"/>
      <c r="OFU441" s="23"/>
      <c r="OFV441" s="23"/>
      <c r="OFW441" s="23"/>
      <c r="OFX441" s="23"/>
      <c r="OFY441" s="23"/>
      <c r="OFZ441" s="23"/>
      <c r="OGA441" s="23"/>
      <c r="OGB441" s="23"/>
      <c r="OGC441" s="23"/>
      <c r="OGD441" s="23"/>
      <c r="OGE441" s="23"/>
      <c r="OGF441" s="23"/>
      <c r="OGG441" s="23"/>
      <c r="OGH441" s="23"/>
      <c r="OGI441" s="23"/>
      <c r="OGJ441" s="23"/>
      <c r="OGK441" s="23"/>
      <c r="OGL441" s="23"/>
      <c r="OGM441" s="23"/>
      <c r="OGN441" s="23"/>
      <c r="OGO441" s="23"/>
      <c r="OGP441" s="23"/>
      <c r="OGQ441" s="23"/>
      <c r="OGR441" s="23"/>
      <c r="OGS441" s="23"/>
      <c r="OGT441" s="23"/>
      <c r="OGU441" s="23"/>
      <c r="OGV441" s="23"/>
      <c r="OGW441" s="23"/>
      <c r="OGX441" s="23"/>
      <c r="OGY441" s="23"/>
      <c r="OGZ441" s="23"/>
      <c r="OHA441" s="23"/>
      <c r="OHB441" s="23"/>
      <c r="OHC441" s="23"/>
      <c r="OHD441" s="23"/>
      <c r="OHE441" s="23"/>
      <c r="OHF441" s="23"/>
      <c r="OHG441" s="23"/>
      <c r="OHH441" s="23"/>
      <c r="OHI441" s="23"/>
      <c r="OHJ441" s="23"/>
      <c r="OHK441" s="23"/>
      <c r="OHL441" s="23"/>
      <c r="OHM441" s="23"/>
      <c r="OHN441" s="23"/>
      <c r="OHO441" s="23"/>
      <c r="OHP441" s="23"/>
      <c r="OHQ441" s="23"/>
      <c r="OHR441" s="23"/>
      <c r="OHS441" s="23"/>
      <c r="OHT441" s="23"/>
      <c r="OHU441" s="23"/>
      <c r="OHV441" s="23"/>
      <c r="OHW441" s="23"/>
      <c r="OHX441" s="23"/>
      <c r="OHY441" s="23"/>
      <c r="OHZ441" s="23"/>
      <c r="OIA441" s="23"/>
      <c r="OIB441" s="23"/>
      <c r="OIC441" s="23"/>
      <c r="OID441" s="23"/>
      <c r="OIE441" s="23"/>
      <c r="OIF441" s="23"/>
      <c r="OIG441" s="23"/>
      <c r="OIH441" s="23"/>
      <c r="OII441" s="23"/>
      <c r="OIJ441" s="23"/>
      <c r="OIK441" s="23"/>
      <c r="OIL441" s="23"/>
      <c r="OIM441" s="23"/>
      <c r="OIN441" s="23"/>
      <c r="OIO441" s="23"/>
      <c r="OIP441" s="23"/>
      <c r="OIQ441" s="23"/>
      <c r="OIR441" s="23"/>
      <c r="OIS441" s="23"/>
      <c r="OIT441" s="23"/>
      <c r="OIU441" s="23"/>
      <c r="OIV441" s="23"/>
      <c r="OIW441" s="23"/>
      <c r="OIX441" s="23"/>
      <c r="OIY441" s="23"/>
      <c r="OIZ441" s="23"/>
      <c r="OJA441" s="23"/>
      <c r="OJB441" s="23"/>
      <c r="OJC441" s="23"/>
      <c r="OJD441" s="23"/>
      <c r="OJE441" s="23"/>
      <c r="OJF441" s="23"/>
      <c r="OJG441" s="23"/>
      <c r="OJH441" s="23"/>
      <c r="OJI441" s="23"/>
      <c r="OJJ441" s="23"/>
      <c r="OJK441" s="23"/>
      <c r="OJL441" s="23"/>
      <c r="OJM441" s="23"/>
      <c r="OJN441" s="23"/>
      <c r="OJO441" s="23"/>
      <c r="OJP441" s="23"/>
      <c r="OJQ441" s="23"/>
      <c r="OJR441" s="23"/>
      <c r="OJS441" s="23"/>
      <c r="OJT441" s="23"/>
      <c r="OJU441" s="23"/>
      <c r="OJV441" s="23"/>
      <c r="OJW441" s="23"/>
      <c r="OJX441" s="23"/>
      <c r="OJY441" s="23"/>
      <c r="OJZ441" s="23"/>
      <c r="OKA441" s="23"/>
      <c r="OKB441" s="23"/>
      <c r="OKC441" s="23"/>
      <c r="OKD441" s="23"/>
      <c r="OKE441" s="23"/>
      <c r="OKF441" s="23"/>
      <c r="OKG441" s="23"/>
      <c r="OKH441" s="23"/>
      <c r="OKI441" s="23"/>
      <c r="OKJ441" s="23"/>
      <c r="OKK441" s="23"/>
      <c r="OKL441" s="23"/>
      <c r="OKM441" s="23"/>
      <c r="OKN441" s="23"/>
      <c r="OKO441" s="23"/>
      <c r="OKP441" s="23"/>
      <c r="OKQ441" s="23"/>
      <c r="OKR441" s="23"/>
      <c r="OKS441" s="23"/>
      <c r="OKT441" s="23"/>
      <c r="OKU441" s="23"/>
      <c r="OKV441" s="23"/>
      <c r="OKW441" s="23"/>
      <c r="OKX441" s="23"/>
      <c r="OKY441" s="23"/>
      <c r="OKZ441" s="23"/>
      <c r="OLA441" s="23"/>
      <c r="OLB441" s="23"/>
      <c r="OLC441" s="23"/>
      <c r="OLD441" s="23"/>
      <c r="OLE441" s="23"/>
      <c r="OLF441" s="23"/>
      <c r="OLG441" s="23"/>
      <c r="OLH441" s="23"/>
      <c r="OLI441" s="23"/>
      <c r="OLJ441" s="23"/>
      <c r="OLK441" s="23"/>
      <c r="OLL441" s="23"/>
      <c r="OLM441" s="23"/>
      <c r="OLN441" s="23"/>
      <c r="OLO441" s="23"/>
      <c r="OLP441" s="23"/>
      <c r="OLQ441" s="23"/>
      <c r="OLR441" s="23"/>
      <c r="OLS441" s="23"/>
      <c r="OLT441" s="23"/>
      <c r="OLU441" s="23"/>
      <c r="OLV441" s="23"/>
      <c r="OLW441" s="23"/>
      <c r="OLX441" s="23"/>
      <c r="OLY441" s="23"/>
      <c r="OLZ441" s="23"/>
      <c r="OMA441" s="23"/>
      <c r="OMB441" s="23"/>
      <c r="OMC441" s="23"/>
      <c r="OMD441" s="23"/>
      <c r="OME441" s="23"/>
      <c r="OMF441" s="23"/>
      <c r="OMG441" s="23"/>
      <c r="OMH441" s="23"/>
      <c r="OMI441" s="23"/>
      <c r="OMJ441" s="23"/>
      <c r="OMK441" s="23"/>
      <c r="OML441" s="23"/>
      <c r="OMM441" s="23"/>
      <c r="OMN441" s="23"/>
      <c r="OMO441" s="23"/>
      <c r="OMP441" s="23"/>
      <c r="OMQ441" s="23"/>
      <c r="OMR441" s="23"/>
      <c r="OMS441" s="23"/>
      <c r="OMT441" s="23"/>
      <c r="OMU441" s="23"/>
      <c r="OMV441" s="23"/>
      <c r="OMW441" s="23"/>
      <c r="OMX441" s="23"/>
      <c r="OMY441" s="23"/>
      <c r="OMZ441" s="23"/>
      <c r="ONA441" s="23"/>
      <c r="ONB441" s="23"/>
      <c r="ONC441" s="23"/>
      <c r="OND441" s="23"/>
      <c r="ONE441" s="23"/>
      <c r="ONF441" s="23"/>
      <c r="ONG441" s="23"/>
      <c r="ONH441" s="23"/>
      <c r="ONI441" s="23"/>
      <c r="ONJ441" s="23"/>
      <c r="ONK441" s="23"/>
      <c r="ONL441" s="23"/>
      <c r="ONM441" s="23"/>
      <c r="ONN441" s="23"/>
      <c r="ONO441" s="23"/>
      <c r="ONP441" s="23"/>
      <c r="ONQ441" s="23"/>
      <c r="ONR441" s="23"/>
      <c r="ONS441" s="23"/>
      <c r="ONT441" s="23"/>
      <c r="ONU441" s="23"/>
      <c r="ONV441" s="23"/>
      <c r="ONW441" s="23"/>
      <c r="ONX441" s="23"/>
      <c r="ONY441" s="23"/>
      <c r="ONZ441" s="23"/>
      <c r="OOA441" s="23"/>
      <c r="OOB441" s="23"/>
      <c r="OOC441" s="23"/>
      <c r="OOD441" s="23"/>
      <c r="OOE441" s="23"/>
      <c r="OOF441" s="23"/>
      <c r="OOG441" s="23"/>
      <c r="OOH441" s="23"/>
      <c r="OOI441" s="23"/>
      <c r="OOJ441" s="23"/>
      <c r="OOK441" s="23"/>
      <c r="OOL441" s="23"/>
      <c r="OOM441" s="23"/>
      <c r="OON441" s="23"/>
      <c r="OOO441" s="23"/>
      <c r="OOP441" s="23"/>
      <c r="OOQ441" s="23"/>
      <c r="OOR441" s="23"/>
      <c r="OOS441" s="23"/>
      <c r="OOT441" s="23"/>
      <c r="OOU441" s="23"/>
      <c r="OOV441" s="23"/>
      <c r="OOW441" s="23"/>
      <c r="OOX441" s="23"/>
      <c r="OOY441" s="23"/>
      <c r="OOZ441" s="23"/>
      <c r="OPA441" s="23"/>
      <c r="OPB441" s="23"/>
      <c r="OPC441" s="23"/>
      <c r="OPD441" s="23"/>
      <c r="OPE441" s="23"/>
      <c r="OPF441" s="23"/>
      <c r="OPG441" s="23"/>
      <c r="OPH441" s="23"/>
      <c r="OPI441" s="23"/>
      <c r="OPJ441" s="23"/>
      <c r="OPK441" s="23"/>
      <c r="OPL441" s="23"/>
      <c r="OPM441" s="23"/>
      <c r="OPN441" s="23"/>
      <c r="OPO441" s="23"/>
      <c r="OPP441" s="23"/>
      <c r="OPQ441" s="23"/>
      <c r="OPR441" s="23"/>
      <c r="OPS441" s="23"/>
      <c r="OPT441" s="23"/>
      <c r="OPU441" s="23"/>
      <c r="OPV441" s="23"/>
      <c r="OPW441" s="23"/>
      <c r="OPX441" s="23"/>
      <c r="OPY441" s="23"/>
      <c r="OPZ441" s="23"/>
      <c r="OQA441" s="23"/>
      <c r="OQB441" s="23"/>
      <c r="OQC441" s="23"/>
      <c r="OQD441" s="23"/>
      <c r="OQE441" s="23"/>
      <c r="OQF441" s="23"/>
      <c r="OQG441" s="23"/>
      <c r="OQH441" s="23"/>
      <c r="OQI441" s="23"/>
      <c r="OQJ441" s="23"/>
      <c r="OQK441" s="23"/>
      <c r="OQL441" s="23"/>
      <c r="OQM441" s="23"/>
      <c r="OQN441" s="23"/>
      <c r="OQO441" s="23"/>
      <c r="OQP441" s="23"/>
      <c r="OQQ441" s="23"/>
      <c r="OQR441" s="23"/>
      <c r="OQS441" s="23"/>
      <c r="OQT441" s="23"/>
      <c r="OQU441" s="23"/>
      <c r="OQV441" s="23"/>
      <c r="OQW441" s="23"/>
      <c r="OQX441" s="23"/>
      <c r="OQY441" s="23"/>
      <c r="OQZ441" s="23"/>
      <c r="ORA441" s="23"/>
      <c r="ORB441" s="23"/>
      <c r="ORC441" s="23"/>
      <c r="ORD441" s="23"/>
      <c r="ORE441" s="23"/>
      <c r="ORF441" s="23"/>
      <c r="ORG441" s="23"/>
      <c r="ORH441" s="23"/>
      <c r="ORI441" s="23"/>
      <c r="ORJ441" s="23"/>
      <c r="ORK441" s="23"/>
      <c r="ORL441" s="23"/>
      <c r="ORM441" s="23"/>
      <c r="ORN441" s="23"/>
      <c r="ORO441" s="23"/>
      <c r="ORP441" s="23"/>
      <c r="ORQ441" s="23"/>
      <c r="ORR441" s="23"/>
      <c r="ORS441" s="23"/>
      <c r="ORT441" s="23"/>
      <c r="ORU441" s="23"/>
      <c r="ORV441" s="23"/>
      <c r="ORW441" s="23"/>
      <c r="ORX441" s="23"/>
      <c r="ORY441" s="23"/>
      <c r="ORZ441" s="23"/>
      <c r="OSA441" s="23"/>
      <c r="OSB441" s="23"/>
      <c r="OSC441" s="23"/>
      <c r="OSD441" s="23"/>
      <c r="OSE441" s="23"/>
      <c r="OSF441" s="23"/>
      <c r="OSG441" s="23"/>
      <c r="OSH441" s="23"/>
      <c r="OSI441" s="23"/>
      <c r="OSJ441" s="23"/>
      <c r="OSK441" s="23"/>
      <c r="OSL441" s="23"/>
      <c r="OSM441" s="23"/>
      <c r="OSN441" s="23"/>
      <c r="OSO441" s="23"/>
      <c r="OSP441" s="23"/>
      <c r="OSQ441" s="23"/>
      <c r="OSR441" s="23"/>
      <c r="OSS441" s="23"/>
      <c r="OST441" s="23"/>
      <c r="OSU441" s="23"/>
      <c r="OSV441" s="23"/>
      <c r="OSW441" s="23"/>
      <c r="OSX441" s="23"/>
      <c r="OSY441" s="23"/>
      <c r="OSZ441" s="23"/>
      <c r="OTA441" s="23"/>
      <c r="OTB441" s="23"/>
      <c r="OTC441" s="23"/>
      <c r="OTD441" s="23"/>
      <c r="OTE441" s="23"/>
      <c r="OTF441" s="23"/>
      <c r="OTG441" s="23"/>
      <c r="OTH441" s="23"/>
      <c r="OTI441" s="23"/>
      <c r="OTJ441" s="23"/>
      <c r="OTK441" s="23"/>
      <c r="OTL441" s="23"/>
      <c r="OTM441" s="23"/>
      <c r="OTN441" s="23"/>
      <c r="OTO441" s="23"/>
      <c r="OTP441" s="23"/>
      <c r="OTQ441" s="23"/>
      <c r="OTR441" s="23"/>
      <c r="OTS441" s="23"/>
      <c r="OTT441" s="23"/>
      <c r="OTU441" s="23"/>
      <c r="OTV441" s="23"/>
      <c r="OTW441" s="23"/>
      <c r="OTX441" s="23"/>
      <c r="OTY441" s="23"/>
      <c r="OTZ441" s="23"/>
      <c r="OUA441" s="23"/>
      <c r="OUB441" s="23"/>
      <c r="OUC441" s="23"/>
      <c r="OUD441" s="23"/>
      <c r="OUE441" s="23"/>
      <c r="OUF441" s="23"/>
      <c r="OUG441" s="23"/>
      <c r="OUH441" s="23"/>
      <c r="OUI441" s="23"/>
      <c r="OUJ441" s="23"/>
      <c r="OUK441" s="23"/>
      <c r="OUL441" s="23"/>
      <c r="OUM441" s="23"/>
      <c r="OUN441" s="23"/>
      <c r="OUO441" s="23"/>
      <c r="OUP441" s="23"/>
      <c r="OUQ441" s="23"/>
      <c r="OUR441" s="23"/>
      <c r="OUS441" s="23"/>
      <c r="OUT441" s="23"/>
      <c r="OUU441" s="23"/>
      <c r="OUV441" s="23"/>
      <c r="OUW441" s="23"/>
      <c r="OUX441" s="23"/>
      <c r="OUY441" s="23"/>
      <c r="OUZ441" s="23"/>
      <c r="OVA441" s="23"/>
      <c r="OVB441" s="23"/>
      <c r="OVC441" s="23"/>
      <c r="OVD441" s="23"/>
      <c r="OVE441" s="23"/>
      <c r="OVF441" s="23"/>
      <c r="OVG441" s="23"/>
      <c r="OVH441" s="23"/>
      <c r="OVI441" s="23"/>
      <c r="OVJ441" s="23"/>
      <c r="OVK441" s="23"/>
      <c r="OVL441" s="23"/>
      <c r="OVM441" s="23"/>
      <c r="OVN441" s="23"/>
      <c r="OVO441" s="23"/>
      <c r="OVP441" s="23"/>
      <c r="OVQ441" s="23"/>
      <c r="OVR441" s="23"/>
      <c r="OVS441" s="23"/>
      <c r="OVT441" s="23"/>
      <c r="OVU441" s="23"/>
      <c r="OVV441" s="23"/>
      <c r="OVW441" s="23"/>
      <c r="OVX441" s="23"/>
      <c r="OVY441" s="23"/>
      <c r="OVZ441" s="23"/>
      <c r="OWA441" s="23"/>
      <c r="OWB441" s="23"/>
      <c r="OWC441" s="23"/>
      <c r="OWD441" s="23"/>
      <c r="OWE441" s="23"/>
      <c r="OWF441" s="23"/>
      <c r="OWG441" s="23"/>
      <c r="OWH441" s="23"/>
      <c r="OWI441" s="23"/>
      <c r="OWJ441" s="23"/>
      <c r="OWK441" s="23"/>
      <c r="OWL441" s="23"/>
      <c r="OWM441" s="23"/>
      <c r="OWN441" s="23"/>
      <c r="OWO441" s="23"/>
      <c r="OWP441" s="23"/>
      <c r="OWQ441" s="23"/>
      <c r="OWR441" s="23"/>
      <c r="OWS441" s="23"/>
      <c r="OWT441" s="23"/>
      <c r="OWU441" s="23"/>
      <c r="OWV441" s="23"/>
      <c r="OWW441" s="23"/>
      <c r="OWX441" s="23"/>
      <c r="OWY441" s="23"/>
      <c r="OWZ441" s="23"/>
      <c r="OXA441" s="23"/>
      <c r="OXB441" s="23"/>
      <c r="OXC441" s="23"/>
      <c r="OXD441" s="23"/>
      <c r="OXE441" s="23"/>
      <c r="OXF441" s="23"/>
      <c r="OXG441" s="23"/>
      <c r="OXH441" s="23"/>
      <c r="OXI441" s="23"/>
      <c r="OXJ441" s="23"/>
      <c r="OXK441" s="23"/>
      <c r="OXL441" s="23"/>
      <c r="OXM441" s="23"/>
      <c r="OXN441" s="23"/>
      <c r="OXO441" s="23"/>
      <c r="OXP441" s="23"/>
      <c r="OXQ441" s="23"/>
      <c r="OXR441" s="23"/>
      <c r="OXS441" s="23"/>
      <c r="OXT441" s="23"/>
      <c r="OXU441" s="23"/>
      <c r="OXV441" s="23"/>
      <c r="OXW441" s="23"/>
      <c r="OXX441" s="23"/>
      <c r="OXY441" s="23"/>
      <c r="OXZ441" s="23"/>
      <c r="OYA441" s="23"/>
      <c r="OYB441" s="23"/>
      <c r="OYC441" s="23"/>
      <c r="OYD441" s="23"/>
      <c r="OYE441" s="23"/>
      <c r="OYF441" s="23"/>
      <c r="OYG441" s="23"/>
      <c r="OYH441" s="23"/>
      <c r="OYI441" s="23"/>
      <c r="OYJ441" s="23"/>
      <c r="OYK441" s="23"/>
      <c r="OYL441" s="23"/>
      <c r="OYM441" s="23"/>
      <c r="OYN441" s="23"/>
      <c r="OYO441" s="23"/>
      <c r="OYP441" s="23"/>
      <c r="OYQ441" s="23"/>
      <c r="OYR441" s="23"/>
      <c r="OYS441" s="23"/>
      <c r="OYT441" s="23"/>
      <c r="OYU441" s="23"/>
      <c r="OYV441" s="23"/>
      <c r="OYW441" s="23"/>
      <c r="OYX441" s="23"/>
      <c r="OYY441" s="23"/>
      <c r="OYZ441" s="23"/>
      <c r="OZA441" s="23"/>
      <c r="OZB441" s="23"/>
      <c r="OZC441" s="23"/>
      <c r="OZD441" s="23"/>
      <c r="OZE441" s="23"/>
      <c r="OZF441" s="23"/>
      <c r="OZG441" s="23"/>
      <c r="OZH441" s="23"/>
      <c r="OZI441" s="23"/>
      <c r="OZJ441" s="23"/>
      <c r="OZK441" s="23"/>
      <c r="OZL441" s="23"/>
      <c r="OZM441" s="23"/>
      <c r="OZN441" s="23"/>
      <c r="OZO441" s="23"/>
      <c r="OZP441" s="23"/>
      <c r="OZQ441" s="23"/>
      <c r="OZR441" s="23"/>
      <c r="OZS441" s="23"/>
      <c r="OZT441" s="23"/>
      <c r="OZU441" s="23"/>
      <c r="OZV441" s="23"/>
      <c r="OZW441" s="23"/>
      <c r="OZX441" s="23"/>
      <c r="OZY441" s="23"/>
      <c r="OZZ441" s="23"/>
      <c r="PAA441" s="23"/>
      <c r="PAB441" s="23"/>
      <c r="PAC441" s="23"/>
      <c r="PAD441" s="23"/>
      <c r="PAE441" s="23"/>
      <c r="PAF441" s="23"/>
      <c r="PAG441" s="23"/>
      <c r="PAH441" s="23"/>
      <c r="PAI441" s="23"/>
      <c r="PAJ441" s="23"/>
      <c r="PAK441" s="23"/>
      <c r="PAL441" s="23"/>
      <c r="PAM441" s="23"/>
      <c r="PAN441" s="23"/>
      <c r="PAO441" s="23"/>
      <c r="PAP441" s="23"/>
      <c r="PAQ441" s="23"/>
      <c r="PAR441" s="23"/>
      <c r="PAS441" s="23"/>
      <c r="PAT441" s="23"/>
      <c r="PAU441" s="23"/>
      <c r="PAV441" s="23"/>
      <c r="PAW441" s="23"/>
      <c r="PAX441" s="23"/>
      <c r="PAY441" s="23"/>
      <c r="PAZ441" s="23"/>
      <c r="PBA441" s="23"/>
      <c r="PBB441" s="23"/>
      <c r="PBC441" s="23"/>
      <c r="PBD441" s="23"/>
      <c r="PBE441" s="23"/>
      <c r="PBF441" s="23"/>
      <c r="PBG441" s="23"/>
      <c r="PBH441" s="23"/>
      <c r="PBI441" s="23"/>
      <c r="PBJ441" s="23"/>
      <c r="PBK441" s="23"/>
      <c r="PBL441" s="23"/>
      <c r="PBM441" s="23"/>
      <c r="PBN441" s="23"/>
      <c r="PBO441" s="23"/>
      <c r="PBP441" s="23"/>
      <c r="PBQ441" s="23"/>
      <c r="PBR441" s="23"/>
      <c r="PBS441" s="23"/>
      <c r="PBT441" s="23"/>
      <c r="PBU441" s="23"/>
      <c r="PBV441" s="23"/>
      <c r="PBW441" s="23"/>
      <c r="PBX441" s="23"/>
      <c r="PBY441" s="23"/>
      <c r="PBZ441" s="23"/>
      <c r="PCA441" s="23"/>
      <c r="PCB441" s="23"/>
      <c r="PCC441" s="23"/>
      <c r="PCD441" s="23"/>
      <c r="PCE441" s="23"/>
      <c r="PCF441" s="23"/>
      <c r="PCG441" s="23"/>
      <c r="PCH441" s="23"/>
      <c r="PCI441" s="23"/>
      <c r="PCJ441" s="23"/>
      <c r="PCK441" s="23"/>
      <c r="PCL441" s="23"/>
      <c r="PCM441" s="23"/>
      <c r="PCN441" s="23"/>
      <c r="PCO441" s="23"/>
      <c r="PCP441" s="23"/>
      <c r="PCQ441" s="23"/>
      <c r="PCR441" s="23"/>
      <c r="PCS441" s="23"/>
      <c r="PCT441" s="23"/>
      <c r="PCU441" s="23"/>
      <c r="PCV441" s="23"/>
      <c r="PCW441" s="23"/>
      <c r="PCX441" s="23"/>
      <c r="PCY441" s="23"/>
      <c r="PCZ441" s="23"/>
      <c r="PDA441" s="23"/>
      <c r="PDB441" s="23"/>
      <c r="PDC441" s="23"/>
      <c r="PDD441" s="23"/>
      <c r="PDE441" s="23"/>
      <c r="PDF441" s="23"/>
      <c r="PDG441" s="23"/>
      <c r="PDH441" s="23"/>
      <c r="PDI441" s="23"/>
      <c r="PDJ441" s="23"/>
      <c r="PDK441" s="23"/>
      <c r="PDL441" s="23"/>
      <c r="PDM441" s="23"/>
      <c r="PDN441" s="23"/>
      <c r="PDO441" s="23"/>
      <c r="PDP441" s="23"/>
      <c r="PDQ441" s="23"/>
      <c r="PDR441" s="23"/>
      <c r="PDS441" s="23"/>
      <c r="PDT441" s="23"/>
      <c r="PDU441" s="23"/>
      <c r="PDV441" s="23"/>
      <c r="PDW441" s="23"/>
      <c r="PDX441" s="23"/>
      <c r="PDY441" s="23"/>
      <c r="PDZ441" s="23"/>
      <c r="PEA441" s="23"/>
      <c r="PEB441" s="23"/>
      <c r="PEC441" s="23"/>
      <c r="PED441" s="23"/>
      <c r="PEE441" s="23"/>
      <c r="PEF441" s="23"/>
      <c r="PEG441" s="23"/>
      <c r="PEH441" s="23"/>
      <c r="PEI441" s="23"/>
      <c r="PEJ441" s="23"/>
      <c r="PEK441" s="23"/>
      <c r="PEL441" s="23"/>
      <c r="PEM441" s="23"/>
      <c r="PEN441" s="23"/>
      <c r="PEO441" s="23"/>
      <c r="PEP441" s="23"/>
      <c r="PEQ441" s="23"/>
      <c r="PER441" s="23"/>
      <c r="PES441" s="23"/>
      <c r="PET441" s="23"/>
      <c r="PEU441" s="23"/>
      <c r="PEV441" s="23"/>
      <c r="PEW441" s="23"/>
      <c r="PEX441" s="23"/>
      <c r="PEY441" s="23"/>
      <c r="PEZ441" s="23"/>
      <c r="PFA441" s="23"/>
      <c r="PFB441" s="23"/>
      <c r="PFC441" s="23"/>
      <c r="PFD441" s="23"/>
      <c r="PFE441" s="23"/>
      <c r="PFF441" s="23"/>
      <c r="PFG441" s="23"/>
      <c r="PFH441" s="23"/>
      <c r="PFI441" s="23"/>
      <c r="PFJ441" s="23"/>
      <c r="PFK441" s="23"/>
      <c r="PFL441" s="23"/>
      <c r="PFM441" s="23"/>
      <c r="PFN441" s="23"/>
      <c r="PFO441" s="23"/>
      <c r="PFP441" s="23"/>
      <c r="PFQ441" s="23"/>
      <c r="PFR441" s="23"/>
      <c r="PFS441" s="23"/>
      <c r="PFT441" s="23"/>
      <c r="PFU441" s="23"/>
      <c r="PFV441" s="23"/>
      <c r="PFW441" s="23"/>
      <c r="PFX441" s="23"/>
      <c r="PFY441" s="23"/>
      <c r="PFZ441" s="23"/>
      <c r="PGA441" s="23"/>
      <c r="PGB441" s="23"/>
      <c r="PGC441" s="23"/>
      <c r="PGD441" s="23"/>
      <c r="PGE441" s="23"/>
      <c r="PGF441" s="23"/>
      <c r="PGG441" s="23"/>
      <c r="PGH441" s="23"/>
      <c r="PGI441" s="23"/>
      <c r="PGJ441" s="23"/>
      <c r="PGK441" s="23"/>
      <c r="PGL441" s="23"/>
      <c r="PGM441" s="23"/>
      <c r="PGN441" s="23"/>
      <c r="PGO441" s="23"/>
      <c r="PGP441" s="23"/>
      <c r="PGQ441" s="23"/>
      <c r="PGR441" s="23"/>
      <c r="PGS441" s="23"/>
      <c r="PGT441" s="23"/>
      <c r="PGU441" s="23"/>
      <c r="PGV441" s="23"/>
      <c r="PGW441" s="23"/>
      <c r="PGX441" s="23"/>
      <c r="PGY441" s="23"/>
      <c r="PGZ441" s="23"/>
      <c r="PHA441" s="23"/>
      <c r="PHB441" s="23"/>
      <c r="PHC441" s="23"/>
      <c r="PHD441" s="23"/>
      <c r="PHE441" s="23"/>
      <c r="PHF441" s="23"/>
      <c r="PHG441" s="23"/>
      <c r="PHH441" s="23"/>
      <c r="PHI441" s="23"/>
      <c r="PHJ441" s="23"/>
      <c r="PHK441" s="23"/>
      <c r="PHL441" s="23"/>
      <c r="PHM441" s="23"/>
      <c r="PHN441" s="23"/>
      <c r="PHO441" s="23"/>
      <c r="PHP441" s="23"/>
      <c r="PHQ441" s="23"/>
      <c r="PHR441" s="23"/>
      <c r="PHS441" s="23"/>
      <c r="PHT441" s="23"/>
      <c r="PHU441" s="23"/>
      <c r="PHV441" s="23"/>
      <c r="PHW441" s="23"/>
      <c r="PHX441" s="23"/>
      <c r="PHY441" s="23"/>
      <c r="PHZ441" s="23"/>
      <c r="PIA441" s="23"/>
      <c r="PIB441" s="23"/>
      <c r="PIC441" s="23"/>
      <c r="PID441" s="23"/>
      <c r="PIE441" s="23"/>
      <c r="PIF441" s="23"/>
      <c r="PIG441" s="23"/>
      <c r="PIH441" s="23"/>
      <c r="PII441" s="23"/>
      <c r="PIJ441" s="23"/>
      <c r="PIK441" s="23"/>
      <c r="PIL441" s="23"/>
      <c r="PIM441" s="23"/>
      <c r="PIN441" s="23"/>
      <c r="PIO441" s="23"/>
      <c r="PIP441" s="23"/>
      <c r="PIQ441" s="23"/>
      <c r="PIR441" s="23"/>
      <c r="PIS441" s="23"/>
      <c r="PIT441" s="23"/>
      <c r="PIU441" s="23"/>
      <c r="PIV441" s="23"/>
      <c r="PIW441" s="23"/>
      <c r="PIX441" s="23"/>
      <c r="PIY441" s="23"/>
      <c r="PIZ441" s="23"/>
      <c r="PJA441" s="23"/>
      <c r="PJB441" s="23"/>
      <c r="PJC441" s="23"/>
      <c r="PJD441" s="23"/>
      <c r="PJE441" s="23"/>
      <c r="PJF441" s="23"/>
      <c r="PJG441" s="23"/>
      <c r="PJH441" s="23"/>
      <c r="PJI441" s="23"/>
      <c r="PJJ441" s="23"/>
      <c r="PJK441" s="23"/>
      <c r="PJL441" s="23"/>
      <c r="PJM441" s="23"/>
      <c r="PJN441" s="23"/>
      <c r="PJO441" s="23"/>
      <c r="PJP441" s="23"/>
      <c r="PJQ441" s="23"/>
      <c r="PJR441" s="23"/>
      <c r="PJS441" s="23"/>
      <c r="PJT441" s="23"/>
      <c r="PJU441" s="23"/>
      <c r="PJV441" s="23"/>
      <c r="PJW441" s="23"/>
      <c r="PJX441" s="23"/>
      <c r="PJY441" s="23"/>
      <c r="PJZ441" s="23"/>
      <c r="PKA441" s="23"/>
      <c r="PKB441" s="23"/>
      <c r="PKC441" s="23"/>
      <c r="PKD441" s="23"/>
      <c r="PKE441" s="23"/>
      <c r="PKF441" s="23"/>
      <c r="PKG441" s="23"/>
      <c r="PKH441" s="23"/>
      <c r="PKI441" s="23"/>
      <c r="PKJ441" s="23"/>
      <c r="PKK441" s="23"/>
      <c r="PKL441" s="23"/>
      <c r="PKM441" s="23"/>
      <c r="PKN441" s="23"/>
      <c r="PKO441" s="23"/>
      <c r="PKP441" s="23"/>
      <c r="PKQ441" s="23"/>
      <c r="PKR441" s="23"/>
      <c r="PKS441" s="23"/>
      <c r="PKT441" s="23"/>
      <c r="PKU441" s="23"/>
      <c r="PKV441" s="23"/>
      <c r="PKW441" s="23"/>
      <c r="PKX441" s="23"/>
      <c r="PKY441" s="23"/>
      <c r="PKZ441" s="23"/>
      <c r="PLA441" s="23"/>
      <c r="PLB441" s="23"/>
      <c r="PLC441" s="23"/>
      <c r="PLD441" s="23"/>
      <c r="PLE441" s="23"/>
      <c r="PLF441" s="23"/>
      <c r="PLG441" s="23"/>
      <c r="PLH441" s="23"/>
      <c r="PLI441" s="23"/>
      <c r="PLJ441" s="23"/>
      <c r="PLK441" s="23"/>
      <c r="PLL441" s="23"/>
      <c r="PLM441" s="23"/>
      <c r="PLN441" s="23"/>
      <c r="PLO441" s="23"/>
      <c r="PLP441" s="23"/>
      <c r="PLQ441" s="23"/>
      <c r="PLR441" s="23"/>
      <c r="PLS441" s="23"/>
      <c r="PLT441" s="23"/>
      <c r="PLU441" s="23"/>
      <c r="PLV441" s="23"/>
      <c r="PLW441" s="23"/>
      <c r="PLX441" s="23"/>
      <c r="PLY441" s="23"/>
      <c r="PLZ441" s="23"/>
      <c r="PMA441" s="23"/>
      <c r="PMB441" s="23"/>
      <c r="PMC441" s="23"/>
      <c r="PMD441" s="23"/>
      <c r="PME441" s="23"/>
      <c r="PMF441" s="23"/>
      <c r="PMG441" s="23"/>
      <c r="PMH441" s="23"/>
      <c r="PMI441" s="23"/>
      <c r="PMJ441" s="23"/>
      <c r="PMK441" s="23"/>
      <c r="PML441" s="23"/>
      <c r="PMM441" s="23"/>
      <c r="PMN441" s="23"/>
      <c r="PMO441" s="23"/>
      <c r="PMP441" s="23"/>
      <c r="PMQ441" s="23"/>
      <c r="PMR441" s="23"/>
      <c r="PMS441" s="23"/>
      <c r="PMT441" s="23"/>
      <c r="PMU441" s="23"/>
      <c r="PMV441" s="23"/>
      <c r="PMW441" s="23"/>
      <c r="PMX441" s="23"/>
      <c r="PMY441" s="23"/>
      <c r="PMZ441" s="23"/>
      <c r="PNA441" s="23"/>
      <c r="PNB441" s="23"/>
      <c r="PNC441" s="23"/>
      <c r="PND441" s="23"/>
      <c r="PNE441" s="23"/>
      <c r="PNF441" s="23"/>
      <c r="PNG441" s="23"/>
      <c r="PNH441" s="23"/>
      <c r="PNI441" s="23"/>
      <c r="PNJ441" s="23"/>
      <c r="PNK441" s="23"/>
      <c r="PNL441" s="23"/>
      <c r="PNM441" s="23"/>
      <c r="PNN441" s="23"/>
      <c r="PNO441" s="23"/>
      <c r="PNP441" s="23"/>
      <c r="PNQ441" s="23"/>
      <c r="PNR441" s="23"/>
      <c r="PNS441" s="23"/>
      <c r="PNT441" s="23"/>
      <c r="PNU441" s="23"/>
      <c r="PNV441" s="23"/>
      <c r="PNW441" s="23"/>
      <c r="PNX441" s="23"/>
      <c r="PNY441" s="23"/>
      <c r="PNZ441" s="23"/>
      <c r="POA441" s="23"/>
      <c r="POB441" s="23"/>
      <c r="POC441" s="23"/>
      <c r="POD441" s="23"/>
      <c r="POE441" s="23"/>
      <c r="POF441" s="23"/>
      <c r="POG441" s="23"/>
      <c r="POH441" s="23"/>
      <c r="POI441" s="23"/>
      <c r="POJ441" s="23"/>
      <c r="POK441" s="23"/>
      <c r="POL441" s="23"/>
      <c r="POM441" s="23"/>
      <c r="PON441" s="23"/>
      <c r="POO441" s="23"/>
      <c r="POP441" s="23"/>
      <c r="POQ441" s="23"/>
      <c r="POR441" s="23"/>
      <c r="POS441" s="23"/>
      <c r="POT441" s="23"/>
      <c r="POU441" s="23"/>
      <c r="POV441" s="23"/>
      <c r="POW441" s="23"/>
      <c r="POX441" s="23"/>
      <c r="POY441" s="23"/>
      <c r="POZ441" s="23"/>
      <c r="PPA441" s="23"/>
      <c r="PPB441" s="23"/>
      <c r="PPC441" s="23"/>
      <c r="PPD441" s="23"/>
      <c r="PPE441" s="23"/>
      <c r="PPF441" s="23"/>
      <c r="PPG441" s="23"/>
      <c r="PPH441" s="23"/>
      <c r="PPI441" s="23"/>
      <c r="PPJ441" s="23"/>
      <c r="PPK441" s="23"/>
      <c r="PPL441" s="23"/>
      <c r="PPM441" s="23"/>
      <c r="PPN441" s="23"/>
      <c r="PPO441" s="23"/>
      <c r="PPP441" s="23"/>
      <c r="PPQ441" s="23"/>
      <c r="PPR441" s="23"/>
      <c r="PPS441" s="23"/>
      <c r="PPT441" s="23"/>
      <c r="PPU441" s="23"/>
      <c r="PPV441" s="23"/>
      <c r="PPW441" s="23"/>
      <c r="PPX441" s="23"/>
      <c r="PPY441" s="23"/>
      <c r="PPZ441" s="23"/>
      <c r="PQA441" s="23"/>
      <c r="PQB441" s="23"/>
      <c r="PQC441" s="23"/>
      <c r="PQD441" s="23"/>
      <c r="PQE441" s="23"/>
      <c r="PQF441" s="23"/>
      <c r="PQG441" s="23"/>
      <c r="PQH441" s="23"/>
      <c r="PQI441" s="23"/>
      <c r="PQJ441" s="23"/>
      <c r="PQK441" s="23"/>
      <c r="PQL441" s="23"/>
      <c r="PQM441" s="23"/>
      <c r="PQN441" s="23"/>
      <c r="PQO441" s="23"/>
      <c r="PQP441" s="23"/>
      <c r="PQQ441" s="23"/>
      <c r="PQR441" s="23"/>
      <c r="PQS441" s="23"/>
      <c r="PQT441" s="23"/>
      <c r="PQU441" s="23"/>
      <c r="PQV441" s="23"/>
      <c r="PQW441" s="23"/>
      <c r="PQX441" s="23"/>
      <c r="PQY441" s="23"/>
      <c r="PQZ441" s="23"/>
      <c r="PRA441" s="23"/>
      <c r="PRB441" s="23"/>
      <c r="PRC441" s="23"/>
      <c r="PRD441" s="23"/>
      <c r="PRE441" s="23"/>
      <c r="PRF441" s="23"/>
      <c r="PRG441" s="23"/>
      <c r="PRH441" s="23"/>
      <c r="PRI441" s="23"/>
      <c r="PRJ441" s="23"/>
      <c r="PRK441" s="23"/>
      <c r="PRL441" s="23"/>
      <c r="PRM441" s="23"/>
      <c r="PRN441" s="23"/>
      <c r="PRO441" s="23"/>
      <c r="PRP441" s="23"/>
      <c r="PRQ441" s="23"/>
      <c r="PRR441" s="23"/>
      <c r="PRS441" s="23"/>
      <c r="PRT441" s="23"/>
      <c r="PRU441" s="23"/>
      <c r="PRV441" s="23"/>
      <c r="PRW441" s="23"/>
      <c r="PRX441" s="23"/>
      <c r="PRY441" s="23"/>
      <c r="PRZ441" s="23"/>
      <c r="PSA441" s="23"/>
      <c r="PSB441" s="23"/>
      <c r="PSC441" s="23"/>
      <c r="PSD441" s="23"/>
      <c r="PSE441" s="23"/>
      <c r="PSF441" s="23"/>
      <c r="PSG441" s="23"/>
      <c r="PSH441" s="23"/>
      <c r="PSI441" s="23"/>
      <c r="PSJ441" s="23"/>
      <c r="PSK441" s="23"/>
      <c r="PSL441" s="23"/>
      <c r="PSM441" s="23"/>
      <c r="PSN441" s="23"/>
      <c r="PSO441" s="23"/>
      <c r="PSP441" s="23"/>
      <c r="PSQ441" s="23"/>
      <c r="PSR441" s="23"/>
      <c r="PSS441" s="23"/>
      <c r="PST441" s="23"/>
      <c r="PSU441" s="23"/>
      <c r="PSV441" s="23"/>
      <c r="PSW441" s="23"/>
      <c r="PSX441" s="23"/>
      <c r="PSY441" s="23"/>
      <c r="PSZ441" s="23"/>
      <c r="PTA441" s="23"/>
      <c r="PTB441" s="23"/>
      <c r="PTC441" s="23"/>
      <c r="PTD441" s="23"/>
      <c r="PTE441" s="23"/>
      <c r="PTF441" s="23"/>
      <c r="PTG441" s="23"/>
      <c r="PTH441" s="23"/>
      <c r="PTI441" s="23"/>
      <c r="PTJ441" s="23"/>
      <c r="PTK441" s="23"/>
      <c r="PTL441" s="23"/>
      <c r="PTM441" s="23"/>
      <c r="PTN441" s="23"/>
      <c r="PTO441" s="23"/>
      <c r="PTP441" s="23"/>
      <c r="PTQ441" s="23"/>
      <c r="PTR441" s="23"/>
      <c r="PTS441" s="23"/>
      <c r="PTT441" s="23"/>
      <c r="PTU441" s="23"/>
      <c r="PTV441" s="23"/>
      <c r="PTW441" s="23"/>
      <c r="PTX441" s="23"/>
      <c r="PTY441" s="23"/>
      <c r="PTZ441" s="23"/>
      <c r="PUA441" s="23"/>
      <c r="PUB441" s="23"/>
      <c r="PUC441" s="23"/>
      <c r="PUD441" s="23"/>
      <c r="PUE441" s="23"/>
      <c r="PUF441" s="23"/>
      <c r="PUG441" s="23"/>
      <c r="PUH441" s="23"/>
      <c r="PUI441" s="23"/>
      <c r="PUJ441" s="23"/>
      <c r="PUK441" s="23"/>
      <c r="PUL441" s="23"/>
      <c r="PUM441" s="23"/>
      <c r="PUN441" s="23"/>
      <c r="PUO441" s="23"/>
      <c r="PUP441" s="23"/>
      <c r="PUQ441" s="23"/>
      <c r="PUR441" s="23"/>
      <c r="PUS441" s="23"/>
      <c r="PUT441" s="23"/>
      <c r="PUU441" s="23"/>
      <c r="PUV441" s="23"/>
      <c r="PUW441" s="23"/>
      <c r="PUX441" s="23"/>
      <c r="PUY441" s="23"/>
      <c r="PUZ441" s="23"/>
      <c r="PVA441" s="23"/>
      <c r="PVB441" s="23"/>
      <c r="PVC441" s="23"/>
      <c r="PVD441" s="23"/>
      <c r="PVE441" s="23"/>
      <c r="PVF441" s="23"/>
      <c r="PVG441" s="23"/>
      <c r="PVH441" s="23"/>
      <c r="PVI441" s="23"/>
      <c r="PVJ441" s="23"/>
      <c r="PVK441" s="23"/>
      <c r="PVL441" s="23"/>
      <c r="PVM441" s="23"/>
      <c r="PVN441" s="23"/>
      <c r="PVO441" s="23"/>
      <c r="PVP441" s="23"/>
      <c r="PVQ441" s="23"/>
      <c r="PVR441" s="23"/>
      <c r="PVS441" s="23"/>
      <c r="PVT441" s="23"/>
      <c r="PVU441" s="23"/>
      <c r="PVV441" s="23"/>
      <c r="PVW441" s="23"/>
      <c r="PVX441" s="23"/>
      <c r="PVY441" s="23"/>
      <c r="PVZ441" s="23"/>
      <c r="PWA441" s="23"/>
      <c r="PWB441" s="23"/>
      <c r="PWC441" s="23"/>
      <c r="PWD441" s="23"/>
      <c r="PWE441" s="23"/>
      <c r="PWF441" s="23"/>
      <c r="PWG441" s="23"/>
      <c r="PWH441" s="23"/>
      <c r="PWI441" s="23"/>
      <c r="PWJ441" s="23"/>
      <c r="PWK441" s="23"/>
      <c r="PWL441" s="23"/>
      <c r="PWM441" s="23"/>
      <c r="PWN441" s="23"/>
      <c r="PWO441" s="23"/>
      <c r="PWP441" s="23"/>
      <c r="PWQ441" s="23"/>
      <c r="PWR441" s="23"/>
      <c r="PWS441" s="23"/>
      <c r="PWT441" s="23"/>
      <c r="PWU441" s="23"/>
      <c r="PWV441" s="23"/>
      <c r="PWW441" s="23"/>
      <c r="PWX441" s="23"/>
      <c r="PWY441" s="23"/>
      <c r="PWZ441" s="23"/>
      <c r="PXA441" s="23"/>
      <c r="PXB441" s="23"/>
      <c r="PXC441" s="23"/>
      <c r="PXD441" s="23"/>
      <c r="PXE441" s="23"/>
      <c r="PXF441" s="23"/>
      <c r="PXG441" s="23"/>
      <c r="PXH441" s="23"/>
      <c r="PXI441" s="23"/>
      <c r="PXJ441" s="23"/>
      <c r="PXK441" s="23"/>
      <c r="PXL441" s="23"/>
      <c r="PXM441" s="23"/>
      <c r="PXN441" s="23"/>
      <c r="PXO441" s="23"/>
      <c r="PXP441" s="23"/>
      <c r="PXQ441" s="23"/>
      <c r="PXR441" s="23"/>
      <c r="PXS441" s="23"/>
      <c r="PXT441" s="23"/>
      <c r="PXU441" s="23"/>
      <c r="PXV441" s="23"/>
      <c r="PXW441" s="23"/>
      <c r="PXX441" s="23"/>
      <c r="PXY441" s="23"/>
      <c r="PXZ441" s="23"/>
      <c r="PYA441" s="23"/>
      <c r="PYB441" s="23"/>
      <c r="PYC441" s="23"/>
      <c r="PYD441" s="23"/>
      <c r="PYE441" s="23"/>
      <c r="PYF441" s="23"/>
      <c r="PYG441" s="23"/>
      <c r="PYH441" s="23"/>
      <c r="PYI441" s="23"/>
      <c r="PYJ441" s="23"/>
      <c r="PYK441" s="23"/>
      <c r="PYL441" s="23"/>
      <c r="PYM441" s="23"/>
      <c r="PYN441" s="23"/>
      <c r="PYO441" s="23"/>
      <c r="PYP441" s="23"/>
      <c r="PYQ441" s="23"/>
      <c r="PYR441" s="23"/>
      <c r="PYS441" s="23"/>
      <c r="PYT441" s="23"/>
      <c r="PYU441" s="23"/>
      <c r="PYV441" s="23"/>
      <c r="PYW441" s="23"/>
      <c r="PYX441" s="23"/>
      <c r="PYY441" s="23"/>
      <c r="PYZ441" s="23"/>
      <c r="PZA441" s="23"/>
      <c r="PZB441" s="23"/>
      <c r="PZC441" s="23"/>
      <c r="PZD441" s="23"/>
      <c r="PZE441" s="23"/>
      <c r="PZF441" s="23"/>
      <c r="PZG441" s="23"/>
      <c r="PZH441" s="23"/>
      <c r="PZI441" s="23"/>
      <c r="PZJ441" s="23"/>
      <c r="PZK441" s="23"/>
      <c r="PZL441" s="23"/>
      <c r="PZM441" s="23"/>
      <c r="PZN441" s="23"/>
      <c r="PZO441" s="23"/>
      <c r="PZP441" s="23"/>
      <c r="PZQ441" s="23"/>
      <c r="PZR441" s="23"/>
      <c r="PZS441" s="23"/>
      <c r="PZT441" s="23"/>
      <c r="PZU441" s="23"/>
      <c r="PZV441" s="23"/>
      <c r="PZW441" s="23"/>
      <c r="PZX441" s="23"/>
      <c r="PZY441" s="23"/>
      <c r="PZZ441" s="23"/>
      <c r="QAA441" s="23"/>
      <c r="QAB441" s="23"/>
      <c r="QAC441" s="23"/>
      <c r="QAD441" s="23"/>
      <c r="QAE441" s="23"/>
      <c r="QAF441" s="23"/>
      <c r="QAG441" s="23"/>
      <c r="QAH441" s="23"/>
      <c r="QAI441" s="23"/>
      <c r="QAJ441" s="23"/>
      <c r="QAK441" s="23"/>
      <c r="QAL441" s="23"/>
      <c r="QAM441" s="23"/>
      <c r="QAN441" s="23"/>
      <c r="QAO441" s="23"/>
      <c r="QAP441" s="23"/>
      <c r="QAQ441" s="23"/>
      <c r="QAR441" s="23"/>
      <c r="QAS441" s="23"/>
      <c r="QAT441" s="23"/>
      <c r="QAU441" s="23"/>
      <c r="QAV441" s="23"/>
      <c r="QAW441" s="23"/>
      <c r="QAX441" s="23"/>
      <c r="QAY441" s="23"/>
      <c r="QAZ441" s="23"/>
      <c r="QBA441" s="23"/>
      <c r="QBB441" s="23"/>
      <c r="QBC441" s="23"/>
      <c r="QBD441" s="23"/>
      <c r="QBE441" s="23"/>
      <c r="QBF441" s="23"/>
      <c r="QBG441" s="23"/>
      <c r="QBH441" s="23"/>
      <c r="QBI441" s="23"/>
      <c r="QBJ441" s="23"/>
      <c r="QBK441" s="23"/>
      <c r="QBL441" s="23"/>
      <c r="QBM441" s="23"/>
      <c r="QBN441" s="23"/>
      <c r="QBO441" s="23"/>
      <c r="QBP441" s="23"/>
      <c r="QBQ441" s="23"/>
      <c r="QBR441" s="23"/>
      <c r="QBS441" s="23"/>
      <c r="QBT441" s="23"/>
      <c r="QBU441" s="23"/>
      <c r="QBV441" s="23"/>
      <c r="QBW441" s="23"/>
      <c r="QBX441" s="23"/>
      <c r="QBY441" s="23"/>
      <c r="QBZ441" s="23"/>
      <c r="QCA441" s="23"/>
      <c r="QCB441" s="23"/>
      <c r="QCC441" s="23"/>
      <c r="QCD441" s="23"/>
      <c r="QCE441" s="23"/>
      <c r="QCF441" s="23"/>
      <c r="QCG441" s="23"/>
      <c r="QCH441" s="23"/>
      <c r="QCI441" s="23"/>
      <c r="QCJ441" s="23"/>
      <c r="QCK441" s="23"/>
      <c r="QCL441" s="23"/>
      <c r="QCM441" s="23"/>
      <c r="QCN441" s="23"/>
      <c r="QCO441" s="23"/>
      <c r="QCP441" s="23"/>
      <c r="QCQ441" s="23"/>
      <c r="QCR441" s="23"/>
      <c r="QCS441" s="23"/>
      <c r="QCT441" s="23"/>
      <c r="QCU441" s="23"/>
      <c r="QCV441" s="23"/>
      <c r="QCW441" s="23"/>
      <c r="QCX441" s="23"/>
      <c r="QCY441" s="23"/>
      <c r="QCZ441" s="23"/>
      <c r="QDA441" s="23"/>
      <c r="QDB441" s="23"/>
      <c r="QDC441" s="23"/>
      <c r="QDD441" s="23"/>
      <c r="QDE441" s="23"/>
      <c r="QDF441" s="23"/>
      <c r="QDG441" s="23"/>
      <c r="QDH441" s="23"/>
      <c r="QDI441" s="23"/>
      <c r="QDJ441" s="23"/>
      <c r="QDK441" s="23"/>
      <c r="QDL441" s="23"/>
      <c r="QDM441" s="23"/>
      <c r="QDN441" s="23"/>
      <c r="QDO441" s="23"/>
      <c r="QDP441" s="23"/>
      <c r="QDQ441" s="23"/>
      <c r="QDR441" s="23"/>
      <c r="QDS441" s="23"/>
      <c r="QDT441" s="23"/>
      <c r="QDU441" s="23"/>
      <c r="QDV441" s="23"/>
      <c r="QDW441" s="23"/>
      <c r="QDX441" s="23"/>
      <c r="QDY441" s="23"/>
      <c r="QDZ441" s="23"/>
      <c r="QEA441" s="23"/>
      <c r="QEB441" s="23"/>
      <c r="QEC441" s="23"/>
      <c r="QED441" s="23"/>
      <c r="QEE441" s="23"/>
      <c r="QEF441" s="23"/>
      <c r="QEG441" s="23"/>
      <c r="QEH441" s="23"/>
      <c r="QEI441" s="23"/>
      <c r="QEJ441" s="23"/>
      <c r="QEK441" s="23"/>
      <c r="QEL441" s="23"/>
      <c r="QEM441" s="23"/>
      <c r="QEN441" s="23"/>
      <c r="QEO441" s="23"/>
      <c r="QEP441" s="23"/>
      <c r="QEQ441" s="23"/>
      <c r="QER441" s="23"/>
      <c r="QES441" s="23"/>
      <c r="QET441" s="23"/>
      <c r="QEU441" s="23"/>
      <c r="QEV441" s="23"/>
      <c r="QEW441" s="23"/>
      <c r="QEX441" s="23"/>
      <c r="QEY441" s="23"/>
      <c r="QEZ441" s="23"/>
      <c r="QFA441" s="23"/>
      <c r="QFB441" s="23"/>
      <c r="QFC441" s="23"/>
      <c r="QFD441" s="23"/>
      <c r="QFE441" s="23"/>
      <c r="QFF441" s="23"/>
      <c r="QFG441" s="23"/>
      <c r="QFH441" s="23"/>
      <c r="QFI441" s="23"/>
      <c r="QFJ441" s="23"/>
      <c r="QFK441" s="23"/>
      <c r="QFL441" s="23"/>
      <c r="QFM441" s="23"/>
      <c r="QFN441" s="23"/>
      <c r="QFO441" s="23"/>
      <c r="QFP441" s="23"/>
      <c r="QFQ441" s="23"/>
      <c r="QFR441" s="23"/>
      <c r="QFS441" s="23"/>
      <c r="QFT441" s="23"/>
      <c r="QFU441" s="23"/>
      <c r="QFV441" s="23"/>
      <c r="QFW441" s="23"/>
      <c r="QFX441" s="23"/>
      <c r="QFY441" s="23"/>
      <c r="QFZ441" s="23"/>
      <c r="QGA441" s="23"/>
      <c r="QGB441" s="23"/>
      <c r="QGC441" s="23"/>
      <c r="QGD441" s="23"/>
      <c r="QGE441" s="23"/>
      <c r="QGF441" s="23"/>
      <c r="QGG441" s="23"/>
      <c r="QGH441" s="23"/>
      <c r="QGI441" s="23"/>
      <c r="QGJ441" s="23"/>
      <c r="QGK441" s="23"/>
      <c r="QGL441" s="23"/>
      <c r="QGM441" s="23"/>
      <c r="QGN441" s="23"/>
      <c r="QGO441" s="23"/>
      <c r="QGP441" s="23"/>
      <c r="QGQ441" s="23"/>
      <c r="QGR441" s="23"/>
      <c r="QGS441" s="23"/>
      <c r="QGT441" s="23"/>
      <c r="QGU441" s="23"/>
      <c r="QGV441" s="23"/>
      <c r="QGW441" s="23"/>
      <c r="QGX441" s="23"/>
      <c r="QGY441" s="23"/>
      <c r="QGZ441" s="23"/>
      <c r="QHA441" s="23"/>
      <c r="QHB441" s="23"/>
      <c r="QHC441" s="23"/>
      <c r="QHD441" s="23"/>
      <c r="QHE441" s="23"/>
      <c r="QHF441" s="23"/>
      <c r="QHG441" s="23"/>
      <c r="QHH441" s="23"/>
      <c r="QHI441" s="23"/>
      <c r="QHJ441" s="23"/>
      <c r="QHK441" s="23"/>
      <c r="QHL441" s="23"/>
      <c r="QHM441" s="23"/>
      <c r="QHN441" s="23"/>
      <c r="QHO441" s="23"/>
      <c r="QHP441" s="23"/>
      <c r="QHQ441" s="23"/>
      <c r="QHR441" s="23"/>
      <c r="QHS441" s="23"/>
      <c r="QHT441" s="23"/>
      <c r="QHU441" s="23"/>
      <c r="QHV441" s="23"/>
      <c r="QHW441" s="23"/>
      <c r="QHX441" s="23"/>
      <c r="QHY441" s="23"/>
      <c r="QHZ441" s="23"/>
      <c r="QIA441" s="23"/>
      <c r="QIB441" s="23"/>
      <c r="QIC441" s="23"/>
      <c r="QID441" s="23"/>
      <c r="QIE441" s="23"/>
      <c r="QIF441" s="23"/>
      <c r="QIG441" s="23"/>
      <c r="QIH441" s="23"/>
      <c r="QII441" s="23"/>
      <c r="QIJ441" s="23"/>
      <c r="QIK441" s="23"/>
      <c r="QIL441" s="23"/>
      <c r="QIM441" s="23"/>
      <c r="QIN441" s="23"/>
      <c r="QIO441" s="23"/>
      <c r="QIP441" s="23"/>
      <c r="QIQ441" s="23"/>
      <c r="QIR441" s="23"/>
      <c r="QIS441" s="23"/>
      <c r="QIT441" s="23"/>
      <c r="QIU441" s="23"/>
      <c r="QIV441" s="23"/>
      <c r="QIW441" s="23"/>
      <c r="QIX441" s="23"/>
      <c r="QIY441" s="23"/>
      <c r="QIZ441" s="23"/>
      <c r="QJA441" s="23"/>
      <c r="QJB441" s="23"/>
      <c r="QJC441" s="23"/>
      <c r="QJD441" s="23"/>
      <c r="QJE441" s="23"/>
      <c r="QJF441" s="23"/>
      <c r="QJG441" s="23"/>
      <c r="QJH441" s="23"/>
      <c r="QJI441" s="23"/>
      <c r="QJJ441" s="23"/>
      <c r="QJK441" s="23"/>
      <c r="QJL441" s="23"/>
      <c r="QJM441" s="23"/>
      <c r="QJN441" s="23"/>
      <c r="QJO441" s="23"/>
      <c r="QJP441" s="23"/>
      <c r="QJQ441" s="23"/>
      <c r="QJR441" s="23"/>
      <c r="QJS441" s="23"/>
      <c r="QJT441" s="23"/>
      <c r="QJU441" s="23"/>
      <c r="QJV441" s="23"/>
      <c r="QJW441" s="23"/>
      <c r="QJX441" s="23"/>
      <c r="QJY441" s="23"/>
      <c r="QJZ441" s="23"/>
      <c r="QKA441" s="23"/>
      <c r="QKB441" s="23"/>
      <c r="QKC441" s="23"/>
      <c r="QKD441" s="23"/>
      <c r="QKE441" s="23"/>
      <c r="QKF441" s="23"/>
      <c r="QKG441" s="23"/>
      <c r="QKH441" s="23"/>
      <c r="QKI441" s="23"/>
      <c r="QKJ441" s="23"/>
      <c r="QKK441" s="23"/>
      <c r="QKL441" s="23"/>
      <c r="QKM441" s="23"/>
      <c r="QKN441" s="23"/>
      <c r="QKO441" s="23"/>
      <c r="QKP441" s="23"/>
      <c r="QKQ441" s="23"/>
      <c r="QKR441" s="23"/>
      <c r="QKS441" s="23"/>
      <c r="QKT441" s="23"/>
      <c r="QKU441" s="23"/>
      <c r="QKV441" s="23"/>
      <c r="QKW441" s="23"/>
      <c r="QKX441" s="23"/>
      <c r="QKY441" s="23"/>
      <c r="QKZ441" s="23"/>
      <c r="QLA441" s="23"/>
      <c r="QLB441" s="23"/>
      <c r="QLC441" s="23"/>
      <c r="QLD441" s="23"/>
      <c r="QLE441" s="23"/>
      <c r="QLF441" s="23"/>
      <c r="QLG441" s="23"/>
      <c r="QLH441" s="23"/>
      <c r="QLI441" s="23"/>
      <c r="QLJ441" s="23"/>
      <c r="QLK441" s="23"/>
      <c r="QLL441" s="23"/>
      <c r="QLM441" s="23"/>
      <c r="QLN441" s="23"/>
      <c r="QLO441" s="23"/>
      <c r="QLP441" s="23"/>
      <c r="QLQ441" s="23"/>
      <c r="QLR441" s="23"/>
      <c r="QLS441" s="23"/>
      <c r="QLT441" s="23"/>
      <c r="QLU441" s="23"/>
      <c r="QLV441" s="23"/>
      <c r="QLW441" s="23"/>
      <c r="QLX441" s="23"/>
      <c r="QLY441" s="23"/>
      <c r="QLZ441" s="23"/>
      <c r="QMA441" s="23"/>
      <c r="QMB441" s="23"/>
      <c r="QMC441" s="23"/>
      <c r="QMD441" s="23"/>
      <c r="QME441" s="23"/>
      <c r="QMF441" s="23"/>
      <c r="QMG441" s="23"/>
      <c r="QMH441" s="23"/>
      <c r="QMI441" s="23"/>
      <c r="QMJ441" s="23"/>
      <c r="QMK441" s="23"/>
      <c r="QML441" s="23"/>
      <c r="QMM441" s="23"/>
      <c r="QMN441" s="23"/>
      <c r="QMO441" s="23"/>
      <c r="QMP441" s="23"/>
      <c r="QMQ441" s="23"/>
      <c r="QMR441" s="23"/>
      <c r="QMS441" s="23"/>
      <c r="QMT441" s="23"/>
      <c r="QMU441" s="23"/>
      <c r="QMV441" s="23"/>
      <c r="QMW441" s="23"/>
      <c r="QMX441" s="23"/>
      <c r="QMY441" s="23"/>
      <c r="QMZ441" s="23"/>
      <c r="QNA441" s="23"/>
      <c r="QNB441" s="23"/>
      <c r="QNC441" s="23"/>
      <c r="QND441" s="23"/>
      <c r="QNE441" s="23"/>
      <c r="QNF441" s="23"/>
      <c r="QNG441" s="23"/>
      <c r="QNH441" s="23"/>
      <c r="QNI441" s="23"/>
      <c r="QNJ441" s="23"/>
      <c r="QNK441" s="23"/>
      <c r="QNL441" s="23"/>
      <c r="QNM441" s="23"/>
      <c r="QNN441" s="23"/>
      <c r="QNO441" s="23"/>
      <c r="QNP441" s="23"/>
      <c r="QNQ441" s="23"/>
      <c r="QNR441" s="23"/>
      <c r="QNS441" s="23"/>
      <c r="QNT441" s="23"/>
      <c r="QNU441" s="23"/>
      <c r="QNV441" s="23"/>
      <c r="QNW441" s="23"/>
      <c r="QNX441" s="23"/>
      <c r="QNY441" s="23"/>
      <c r="QNZ441" s="23"/>
      <c r="QOA441" s="23"/>
      <c r="QOB441" s="23"/>
      <c r="QOC441" s="23"/>
      <c r="QOD441" s="23"/>
      <c r="QOE441" s="23"/>
      <c r="QOF441" s="23"/>
      <c r="QOG441" s="23"/>
      <c r="QOH441" s="23"/>
      <c r="QOI441" s="23"/>
      <c r="QOJ441" s="23"/>
      <c r="QOK441" s="23"/>
      <c r="QOL441" s="23"/>
      <c r="QOM441" s="23"/>
      <c r="QON441" s="23"/>
      <c r="QOO441" s="23"/>
      <c r="QOP441" s="23"/>
      <c r="QOQ441" s="23"/>
      <c r="QOR441" s="23"/>
      <c r="QOS441" s="23"/>
      <c r="QOT441" s="23"/>
      <c r="QOU441" s="23"/>
      <c r="QOV441" s="23"/>
      <c r="QOW441" s="23"/>
      <c r="QOX441" s="23"/>
      <c r="QOY441" s="23"/>
      <c r="QOZ441" s="23"/>
      <c r="QPA441" s="23"/>
      <c r="QPB441" s="23"/>
      <c r="QPC441" s="23"/>
      <c r="QPD441" s="23"/>
      <c r="QPE441" s="23"/>
      <c r="QPF441" s="23"/>
      <c r="QPG441" s="23"/>
      <c r="QPH441" s="23"/>
      <c r="QPI441" s="23"/>
      <c r="QPJ441" s="23"/>
      <c r="QPK441" s="23"/>
      <c r="QPL441" s="23"/>
      <c r="QPM441" s="23"/>
      <c r="QPN441" s="23"/>
      <c r="QPO441" s="23"/>
      <c r="QPP441" s="23"/>
      <c r="QPQ441" s="23"/>
      <c r="QPR441" s="23"/>
      <c r="QPS441" s="23"/>
      <c r="QPT441" s="23"/>
      <c r="QPU441" s="23"/>
      <c r="QPV441" s="23"/>
      <c r="QPW441" s="23"/>
      <c r="QPX441" s="23"/>
      <c r="QPY441" s="23"/>
      <c r="QPZ441" s="23"/>
      <c r="QQA441" s="23"/>
      <c r="QQB441" s="23"/>
      <c r="QQC441" s="23"/>
      <c r="QQD441" s="23"/>
      <c r="QQE441" s="23"/>
      <c r="QQF441" s="23"/>
      <c r="QQG441" s="23"/>
      <c r="QQH441" s="23"/>
      <c r="QQI441" s="23"/>
      <c r="QQJ441" s="23"/>
      <c r="QQK441" s="23"/>
      <c r="QQL441" s="23"/>
      <c r="QQM441" s="23"/>
      <c r="QQN441" s="23"/>
      <c r="QQO441" s="23"/>
      <c r="QQP441" s="23"/>
      <c r="QQQ441" s="23"/>
      <c r="QQR441" s="23"/>
      <c r="QQS441" s="23"/>
      <c r="QQT441" s="23"/>
      <c r="QQU441" s="23"/>
      <c r="QQV441" s="23"/>
      <c r="QQW441" s="23"/>
      <c r="QQX441" s="23"/>
      <c r="QQY441" s="23"/>
      <c r="QQZ441" s="23"/>
      <c r="QRA441" s="23"/>
      <c r="QRB441" s="23"/>
      <c r="QRC441" s="23"/>
      <c r="QRD441" s="23"/>
      <c r="QRE441" s="23"/>
      <c r="QRF441" s="23"/>
      <c r="QRG441" s="23"/>
      <c r="QRH441" s="23"/>
      <c r="QRI441" s="23"/>
      <c r="QRJ441" s="23"/>
      <c r="QRK441" s="23"/>
      <c r="QRL441" s="23"/>
      <c r="QRM441" s="23"/>
      <c r="QRN441" s="23"/>
      <c r="QRO441" s="23"/>
      <c r="QRP441" s="23"/>
      <c r="QRQ441" s="23"/>
      <c r="QRR441" s="23"/>
      <c r="QRS441" s="23"/>
      <c r="QRT441" s="23"/>
      <c r="QRU441" s="23"/>
      <c r="QRV441" s="23"/>
      <c r="QRW441" s="23"/>
      <c r="QRX441" s="23"/>
      <c r="QRY441" s="23"/>
      <c r="QRZ441" s="23"/>
      <c r="QSA441" s="23"/>
      <c r="QSB441" s="23"/>
      <c r="QSC441" s="23"/>
      <c r="QSD441" s="23"/>
      <c r="QSE441" s="23"/>
      <c r="QSF441" s="23"/>
      <c r="QSG441" s="23"/>
      <c r="QSH441" s="23"/>
      <c r="QSI441" s="23"/>
      <c r="QSJ441" s="23"/>
      <c r="QSK441" s="23"/>
      <c r="QSL441" s="23"/>
      <c r="QSM441" s="23"/>
      <c r="QSN441" s="23"/>
      <c r="QSO441" s="23"/>
      <c r="QSP441" s="23"/>
      <c r="QSQ441" s="23"/>
      <c r="QSR441" s="23"/>
      <c r="QSS441" s="23"/>
      <c r="QST441" s="23"/>
      <c r="QSU441" s="23"/>
      <c r="QSV441" s="23"/>
      <c r="QSW441" s="23"/>
      <c r="QSX441" s="23"/>
      <c r="QSY441" s="23"/>
      <c r="QSZ441" s="23"/>
      <c r="QTA441" s="23"/>
      <c r="QTB441" s="23"/>
      <c r="QTC441" s="23"/>
      <c r="QTD441" s="23"/>
      <c r="QTE441" s="23"/>
      <c r="QTF441" s="23"/>
      <c r="QTG441" s="23"/>
      <c r="QTH441" s="23"/>
      <c r="QTI441" s="23"/>
      <c r="QTJ441" s="23"/>
      <c r="QTK441" s="23"/>
      <c r="QTL441" s="23"/>
      <c r="QTM441" s="23"/>
      <c r="QTN441" s="23"/>
      <c r="QTO441" s="23"/>
      <c r="QTP441" s="23"/>
      <c r="QTQ441" s="23"/>
      <c r="QTR441" s="23"/>
      <c r="QTS441" s="23"/>
      <c r="QTT441" s="23"/>
      <c r="QTU441" s="23"/>
      <c r="QTV441" s="23"/>
      <c r="QTW441" s="23"/>
      <c r="QTX441" s="23"/>
      <c r="QTY441" s="23"/>
      <c r="QTZ441" s="23"/>
      <c r="QUA441" s="23"/>
      <c r="QUB441" s="23"/>
      <c r="QUC441" s="23"/>
      <c r="QUD441" s="23"/>
      <c r="QUE441" s="23"/>
      <c r="QUF441" s="23"/>
      <c r="QUG441" s="23"/>
      <c r="QUH441" s="23"/>
      <c r="QUI441" s="23"/>
      <c r="QUJ441" s="23"/>
      <c r="QUK441" s="23"/>
      <c r="QUL441" s="23"/>
      <c r="QUM441" s="23"/>
      <c r="QUN441" s="23"/>
      <c r="QUO441" s="23"/>
      <c r="QUP441" s="23"/>
      <c r="QUQ441" s="23"/>
      <c r="QUR441" s="23"/>
      <c r="QUS441" s="23"/>
      <c r="QUT441" s="23"/>
      <c r="QUU441" s="23"/>
      <c r="QUV441" s="23"/>
      <c r="QUW441" s="23"/>
      <c r="QUX441" s="23"/>
      <c r="QUY441" s="23"/>
      <c r="QUZ441" s="23"/>
      <c r="QVA441" s="23"/>
      <c r="QVB441" s="23"/>
      <c r="QVC441" s="23"/>
      <c r="QVD441" s="23"/>
      <c r="QVE441" s="23"/>
      <c r="QVF441" s="23"/>
      <c r="QVG441" s="23"/>
      <c r="QVH441" s="23"/>
      <c r="QVI441" s="23"/>
      <c r="QVJ441" s="23"/>
      <c r="QVK441" s="23"/>
      <c r="QVL441" s="23"/>
      <c r="QVM441" s="23"/>
      <c r="QVN441" s="23"/>
      <c r="QVO441" s="23"/>
      <c r="QVP441" s="23"/>
      <c r="QVQ441" s="23"/>
      <c r="QVR441" s="23"/>
      <c r="QVS441" s="23"/>
      <c r="QVT441" s="23"/>
      <c r="QVU441" s="23"/>
      <c r="QVV441" s="23"/>
      <c r="QVW441" s="23"/>
      <c r="QVX441" s="23"/>
      <c r="QVY441" s="23"/>
      <c r="QVZ441" s="23"/>
      <c r="QWA441" s="23"/>
      <c r="QWB441" s="23"/>
      <c r="QWC441" s="23"/>
      <c r="QWD441" s="23"/>
      <c r="QWE441" s="23"/>
      <c r="QWF441" s="23"/>
      <c r="QWG441" s="23"/>
      <c r="QWH441" s="23"/>
      <c r="QWI441" s="23"/>
      <c r="QWJ441" s="23"/>
      <c r="QWK441" s="23"/>
      <c r="QWL441" s="23"/>
      <c r="QWM441" s="23"/>
      <c r="QWN441" s="23"/>
      <c r="QWO441" s="23"/>
      <c r="QWP441" s="23"/>
      <c r="QWQ441" s="23"/>
      <c r="QWR441" s="23"/>
      <c r="QWS441" s="23"/>
      <c r="QWT441" s="23"/>
      <c r="QWU441" s="23"/>
      <c r="QWV441" s="23"/>
      <c r="QWW441" s="23"/>
      <c r="QWX441" s="23"/>
      <c r="QWY441" s="23"/>
      <c r="QWZ441" s="23"/>
      <c r="QXA441" s="23"/>
      <c r="QXB441" s="23"/>
      <c r="QXC441" s="23"/>
      <c r="QXD441" s="23"/>
      <c r="QXE441" s="23"/>
      <c r="QXF441" s="23"/>
      <c r="QXG441" s="23"/>
      <c r="QXH441" s="23"/>
      <c r="QXI441" s="23"/>
      <c r="QXJ441" s="23"/>
      <c r="QXK441" s="23"/>
      <c r="QXL441" s="23"/>
      <c r="QXM441" s="23"/>
      <c r="QXN441" s="23"/>
      <c r="QXO441" s="23"/>
      <c r="QXP441" s="23"/>
      <c r="QXQ441" s="23"/>
      <c r="QXR441" s="23"/>
      <c r="QXS441" s="23"/>
      <c r="QXT441" s="23"/>
      <c r="QXU441" s="23"/>
      <c r="QXV441" s="23"/>
      <c r="QXW441" s="23"/>
      <c r="QXX441" s="23"/>
      <c r="QXY441" s="23"/>
      <c r="QXZ441" s="23"/>
      <c r="QYA441" s="23"/>
      <c r="QYB441" s="23"/>
      <c r="QYC441" s="23"/>
      <c r="QYD441" s="23"/>
      <c r="QYE441" s="23"/>
      <c r="QYF441" s="23"/>
      <c r="QYG441" s="23"/>
      <c r="QYH441" s="23"/>
      <c r="QYI441" s="23"/>
      <c r="QYJ441" s="23"/>
      <c r="QYK441" s="23"/>
      <c r="QYL441" s="23"/>
      <c r="QYM441" s="23"/>
      <c r="QYN441" s="23"/>
      <c r="QYO441" s="23"/>
      <c r="QYP441" s="23"/>
      <c r="QYQ441" s="23"/>
      <c r="QYR441" s="23"/>
      <c r="QYS441" s="23"/>
      <c r="QYT441" s="23"/>
      <c r="QYU441" s="23"/>
      <c r="QYV441" s="23"/>
      <c r="QYW441" s="23"/>
      <c r="QYX441" s="23"/>
      <c r="QYY441" s="23"/>
      <c r="QYZ441" s="23"/>
      <c r="QZA441" s="23"/>
      <c r="QZB441" s="23"/>
      <c r="QZC441" s="23"/>
      <c r="QZD441" s="23"/>
      <c r="QZE441" s="23"/>
      <c r="QZF441" s="23"/>
      <c r="QZG441" s="23"/>
      <c r="QZH441" s="23"/>
      <c r="QZI441" s="23"/>
      <c r="QZJ441" s="23"/>
      <c r="QZK441" s="23"/>
      <c r="QZL441" s="23"/>
      <c r="QZM441" s="23"/>
      <c r="QZN441" s="23"/>
      <c r="QZO441" s="23"/>
      <c r="QZP441" s="23"/>
      <c r="QZQ441" s="23"/>
      <c r="QZR441" s="23"/>
      <c r="QZS441" s="23"/>
      <c r="QZT441" s="23"/>
      <c r="QZU441" s="23"/>
      <c r="QZV441" s="23"/>
      <c r="QZW441" s="23"/>
      <c r="QZX441" s="23"/>
      <c r="QZY441" s="23"/>
      <c r="QZZ441" s="23"/>
      <c r="RAA441" s="23"/>
      <c r="RAB441" s="23"/>
      <c r="RAC441" s="23"/>
      <c r="RAD441" s="23"/>
      <c r="RAE441" s="23"/>
      <c r="RAF441" s="23"/>
      <c r="RAG441" s="23"/>
      <c r="RAH441" s="23"/>
      <c r="RAI441" s="23"/>
      <c r="RAJ441" s="23"/>
      <c r="RAK441" s="23"/>
      <c r="RAL441" s="23"/>
      <c r="RAM441" s="23"/>
      <c r="RAN441" s="23"/>
      <c r="RAO441" s="23"/>
      <c r="RAP441" s="23"/>
      <c r="RAQ441" s="23"/>
      <c r="RAR441" s="23"/>
      <c r="RAS441" s="23"/>
      <c r="RAT441" s="23"/>
      <c r="RAU441" s="23"/>
      <c r="RAV441" s="23"/>
      <c r="RAW441" s="23"/>
      <c r="RAX441" s="23"/>
      <c r="RAY441" s="23"/>
      <c r="RAZ441" s="23"/>
      <c r="RBA441" s="23"/>
      <c r="RBB441" s="23"/>
      <c r="RBC441" s="23"/>
      <c r="RBD441" s="23"/>
      <c r="RBE441" s="23"/>
      <c r="RBF441" s="23"/>
      <c r="RBG441" s="23"/>
      <c r="RBH441" s="23"/>
      <c r="RBI441" s="23"/>
      <c r="RBJ441" s="23"/>
      <c r="RBK441" s="23"/>
      <c r="RBL441" s="23"/>
      <c r="RBM441" s="23"/>
      <c r="RBN441" s="23"/>
      <c r="RBO441" s="23"/>
      <c r="RBP441" s="23"/>
      <c r="RBQ441" s="23"/>
      <c r="RBR441" s="23"/>
      <c r="RBS441" s="23"/>
      <c r="RBT441" s="23"/>
      <c r="RBU441" s="23"/>
      <c r="RBV441" s="23"/>
      <c r="RBW441" s="23"/>
      <c r="RBX441" s="23"/>
      <c r="RBY441" s="23"/>
      <c r="RBZ441" s="23"/>
      <c r="RCA441" s="23"/>
      <c r="RCB441" s="23"/>
      <c r="RCC441" s="23"/>
      <c r="RCD441" s="23"/>
      <c r="RCE441" s="23"/>
      <c r="RCF441" s="23"/>
      <c r="RCG441" s="23"/>
      <c r="RCH441" s="23"/>
      <c r="RCI441" s="23"/>
      <c r="RCJ441" s="23"/>
      <c r="RCK441" s="23"/>
      <c r="RCL441" s="23"/>
      <c r="RCM441" s="23"/>
      <c r="RCN441" s="23"/>
      <c r="RCO441" s="23"/>
      <c r="RCP441" s="23"/>
      <c r="RCQ441" s="23"/>
      <c r="RCR441" s="23"/>
      <c r="RCS441" s="23"/>
      <c r="RCT441" s="23"/>
      <c r="RCU441" s="23"/>
      <c r="RCV441" s="23"/>
      <c r="RCW441" s="23"/>
      <c r="RCX441" s="23"/>
      <c r="RCY441" s="23"/>
      <c r="RCZ441" s="23"/>
      <c r="RDA441" s="23"/>
      <c r="RDB441" s="23"/>
      <c r="RDC441" s="23"/>
      <c r="RDD441" s="23"/>
      <c r="RDE441" s="23"/>
      <c r="RDF441" s="23"/>
      <c r="RDG441" s="23"/>
      <c r="RDH441" s="23"/>
      <c r="RDI441" s="23"/>
      <c r="RDJ441" s="23"/>
      <c r="RDK441" s="23"/>
      <c r="RDL441" s="23"/>
      <c r="RDM441" s="23"/>
      <c r="RDN441" s="23"/>
      <c r="RDO441" s="23"/>
      <c r="RDP441" s="23"/>
      <c r="RDQ441" s="23"/>
      <c r="RDR441" s="23"/>
      <c r="RDS441" s="23"/>
      <c r="RDT441" s="23"/>
      <c r="RDU441" s="23"/>
      <c r="RDV441" s="23"/>
      <c r="RDW441" s="23"/>
      <c r="RDX441" s="23"/>
      <c r="RDY441" s="23"/>
      <c r="RDZ441" s="23"/>
      <c r="REA441" s="23"/>
      <c r="REB441" s="23"/>
      <c r="REC441" s="23"/>
      <c r="RED441" s="23"/>
      <c r="REE441" s="23"/>
      <c r="REF441" s="23"/>
      <c r="REG441" s="23"/>
      <c r="REH441" s="23"/>
      <c r="REI441" s="23"/>
      <c r="REJ441" s="23"/>
      <c r="REK441" s="23"/>
      <c r="REL441" s="23"/>
      <c r="REM441" s="23"/>
      <c r="REN441" s="23"/>
      <c r="REO441" s="23"/>
      <c r="REP441" s="23"/>
      <c r="REQ441" s="23"/>
      <c r="RER441" s="23"/>
      <c r="RES441" s="23"/>
      <c r="RET441" s="23"/>
      <c r="REU441" s="23"/>
      <c r="REV441" s="23"/>
      <c r="REW441" s="23"/>
      <c r="REX441" s="23"/>
      <c r="REY441" s="23"/>
      <c r="REZ441" s="23"/>
      <c r="RFA441" s="23"/>
      <c r="RFB441" s="23"/>
      <c r="RFC441" s="23"/>
      <c r="RFD441" s="23"/>
      <c r="RFE441" s="23"/>
      <c r="RFF441" s="23"/>
      <c r="RFG441" s="23"/>
      <c r="RFH441" s="23"/>
      <c r="RFI441" s="23"/>
      <c r="RFJ441" s="23"/>
      <c r="RFK441" s="23"/>
      <c r="RFL441" s="23"/>
      <c r="RFM441" s="23"/>
      <c r="RFN441" s="23"/>
      <c r="RFO441" s="23"/>
      <c r="RFP441" s="23"/>
      <c r="RFQ441" s="23"/>
      <c r="RFR441" s="23"/>
      <c r="RFS441" s="23"/>
      <c r="RFT441" s="23"/>
      <c r="RFU441" s="23"/>
      <c r="RFV441" s="23"/>
      <c r="RFW441" s="23"/>
      <c r="RFX441" s="23"/>
      <c r="RFY441" s="23"/>
      <c r="RFZ441" s="23"/>
      <c r="RGA441" s="23"/>
      <c r="RGB441" s="23"/>
      <c r="RGC441" s="23"/>
      <c r="RGD441" s="23"/>
      <c r="RGE441" s="23"/>
      <c r="RGF441" s="23"/>
      <c r="RGG441" s="23"/>
      <c r="RGH441" s="23"/>
      <c r="RGI441" s="23"/>
      <c r="RGJ441" s="23"/>
      <c r="RGK441" s="23"/>
      <c r="RGL441" s="23"/>
      <c r="RGM441" s="23"/>
      <c r="RGN441" s="23"/>
      <c r="RGO441" s="23"/>
      <c r="RGP441" s="23"/>
      <c r="RGQ441" s="23"/>
      <c r="RGR441" s="23"/>
      <c r="RGS441" s="23"/>
      <c r="RGT441" s="23"/>
      <c r="RGU441" s="23"/>
      <c r="RGV441" s="23"/>
      <c r="RGW441" s="23"/>
      <c r="RGX441" s="23"/>
      <c r="RGY441" s="23"/>
      <c r="RGZ441" s="23"/>
      <c r="RHA441" s="23"/>
      <c r="RHB441" s="23"/>
      <c r="RHC441" s="23"/>
      <c r="RHD441" s="23"/>
      <c r="RHE441" s="23"/>
      <c r="RHF441" s="23"/>
      <c r="RHG441" s="23"/>
      <c r="RHH441" s="23"/>
      <c r="RHI441" s="23"/>
      <c r="RHJ441" s="23"/>
      <c r="RHK441" s="23"/>
      <c r="RHL441" s="23"/>
      <c r="RHM441" s="23"/>
      <c r="RHN441" s="23"/>
      <c r="RHO441" s="23"/>
      <c r="RHP441" s="23"/>
      <c r="RHQ441" s="23"/>
      <c r="RHR441" s="23"/>
      <c r="RHS441" s="23"/>
      <c r="RHT441" s="23"/>
      <c r="RHU441" s="23"/>
      <c r="RHV441" s="23"/>
      <c r="RHW441" s="23"/>
      <c r="RHX441" s="23"/>
      <c r="RHY441" s="23"/>
      <c r="RHZ441" s="23"/>
      <c r="RIA441" s="23"/>
      <c r="RIB441" s="23"/>
      <c r="RIC441" s="23"/>
      <c r="RID441" s="23"/>
      <c r="RIE441" s="23"/>
      <c r="RIF441" s="23"/>
      <c r="RIG441" s="23"/>
      <c r="RIH441" s="23"/>
      <c r="RII441" s="23"/>
      <c r="RIJ441" s="23"/>
      <c r="RIK441" s="23"/>
      <c r="RIL441" s="23"/>
      <c r="RIM441" s="23"/>
      <c r="RIN441" s="23"/>
      <c r="RIO441" s="23"/>
      <c r="RIP441" s="23"/>
      <c r="RIQ441" s="23"/>
      <c r="RIR441" s="23"/>
      <c r="RIS441" s="23"/>
      <c r="RIT441" s="23"/>
      <c r="RIU441" s="23"/>
      <c r="RIV441" s="23"/>
      <c r="RIW441" s="23"/>
      <c r="RIX441" s="23"/>
      <c r="RIY441" s="23"/>
      <c r="RIZ441" s="23"/>
      <c r="RJA441" s="23"/>
      <c r="RJB441" s="23"/>
      <c r="RJC441" s="23"/>
      <c r="RJD441" s="23"/>
      <c r="RJE441" s="23"/>
      <c r="RJF441" s="23"/>
      <c r="RJG441" s="23"/>
      <c r="RJH441" s="23"/>
      <c r="RJI441" s="23"/>
      <c r="RJJ441" s="23"/>
      <c r="RJK441" s="23"/>
      <c r="RJL441" s="23"/>
      <c r="RJM441" s="23"/>
      <c r="RJN441" s="23"/>
      <c r="RJO441" s="23"/>
      <c r="RJP441" s="23"/>
      <c r="RJQ441" s="23"/>
      <c r="RJR441" s="23"/>
      <c r="RJS441" s="23"/>
      <c r="RJT441" s="23"/>
      <c r="RJU441" s="23"/>
      <c r="RJV441" s="23"/>
      <c r="RJW441" s="23"/>
      <c r="RJX441" s="23"/>
      <c r="RJY441" s="23"/>
      <c r="RJZ441" s="23"/>
      <c r="RKA441" s="23"/>
      <c r="RKB441" s="23"/>
      <c r="RKC441" s="23"/>
      <c r="RKD441" s="23"/>
      <c r="RKE441" s="23"/>
      <c r="RKF441" s="23"/>
      <c r="RKG441" s="23"/>
      <c r="RKH441" s="23"/>
      <c r="RKI441" s="23"/>
      <c r="RKJ441" s="23"/>
      <c r="RKK441" s="23"/>
      <c r="RKL441" s="23"/>
      <c r="RKM441" s="23"/>
      <c r="RKN441" s="23"/>
      <c r="RKO441" s="23"/>
      <c r="RKP441" s="23"/>
      <c r="RKQ441" s="23"/>
      <c r="RKR441" s="23"/>
      <c r="RKS441" s="23"/>
      <c r="RKT441" s="23"/>
      <c r="RKU441" s="23"/>
      <c r="RKV441" s="23"/>
      <c r="RKW441" s="23"/>
      <c r="RKX441" s="23"/>
      <c r="RKY441" s="23"/>
      <c r="RKZ441" s="23"/>
      <c r="RLA441" s="23"/>
      <c r="RLB441" s="23"/>
      <c r="RLC441" s="23"/>
      <c r="RLD441" s="23"/>
      <c r="RLE441" s="23"/>
      <c r="RLF441" s="23"/>
      <c r="RLG441" s="23"/>
      <c r="RLH441" s="23"/>
      <c r="RLI441" s="23"/>
      <c r="RLJ441" s="23"/>
      <c r="RLK441" s="23"/>
      <c r="RLL441" s="23"/>
      <c r="RLM441" s="23"/>
      <c r="RLN441" s="23"/>
      <c r="RLO441" s="23"/>
      <c r="RLP441" s="23"/>
      <c r="RLQ441" s="23"/>
      <c r="RLR441" s="23"/>
      <c r="RLS441" s="23"/>
      <c r="RLT441" s="23"/>
      <c r="RLU441" s="23"/>
      <c r="RLV441" s="23"/>
      <c r="RLW441" s="23"/>
      <c r="RLX441" s="23"/>
      <c r="RLY441" s="23"/>
      <c r="RLZ441" s="23"/>
      <c r="RMA441" s="23"/>
      <c r="RMB441" s="23"/>
      <c r="RMC441" s="23"/>
      <c r="RMD441" s="23"/>
      <c r="RME441" s="23"/>
      <c r="RMF441" s="23"/>
      <c r="RMG441" s="23"/>
      <c r="RMH441" s="23"/>
      <c r="RMI441" s="23"/>
      <c r="RMJ441" s="23"/>
      <c r="RMK441" s="23"/>
      <c r="RML441" s="23"/>
      <c r="RMM441" s="23"/>
      <c r="RMN441" s="23"/>
      <c r="RMO441" s="23"/>
      <c r="RMP441" s="23"/>
      <c r="RMQ441" s="23"/>
      <c r="RMR441" s="23"/>
      <c r="RMS441" s="23"/>
      <c r="RMT441" s="23"/>
      <c r="RMU441" s="23"/>
      <c r="RMV441" s="23"/>
      <c r="RMW441" s="23"/>
      <c r="RMX441" s="23"/>
      <c r="RMY441" s="23"/>
      <c r="RMZ441" s="23"/>
      <c r="RNA441" s="23"/>
      <c r="RNB441" s="23"/>
      <c r="RNC441" s="23"/>
      <c r="RND441" s="23"/>
      <c r="RNE441" s="23"/>
      <c r="RNF441" s="23"/>
      <c r="RNG441" s="23"/>
      <c r="RNH441" s="23"/>
      <c r="RNI441" s="23"/>
      <c r="RNJ441" s="23"/>
      <c r="RNK441" s="23"/>
      <c r="RNL441" s="23"/>
      <c r="RNM441" s="23"/>
      <c r="RNN441" s="23"/>
      <c r="RNO441" s="23"/>
      <c r="RNP441" s="23"/>
      <c r="RNQ441" s="23"/>
      <c r="RNR441" s="23"/>
      <c r="RNS441" s="23"/>
      <c r="RNT441" s="23"/>
      <c r="RNU441" s="23"/>
      <c r="RNV441" s="23"/>
      <c r="RNW441" s="23"/>
      <c r="RNX441" s="23"/>
      <c r="RNY441" s="23"/>
      <c r="RNZ441" s="23"/>
      <c r="ROA441" s="23"/>
      <c r="ROB441" s="23"/>
      <c r="ROC441" s="23"/>
      <c r="ROD441" s="23"/>
      <c r="ROE441" s="23"/>
      <c r="ROF441" s="23"/>
      <c r="ROG441" s="23"/>
      <c r="ROH441" s="23"/>
      <c r="ROI441" s="23"/>
      <c r="ROJ441" s="23"/>
      <c r="ROK441" s="23"/>
      <c r="ROL441" s="23"/>
      <c r="ROM441" s="23"/>
      <c r="RON441" s="23"/>
      <c r="ROO441" s="23"/>
      <c r="ROP441" s="23"/>
      <c r="ROQ441" s="23"/>
      <c r="ROR441" s="23"/>
      <c r="ROS441" s="23"/>
      <c r="ROT441" s="23"/>
      <c r="ROU441" s="23"/>
      <c r="ROV441" s="23"/>
      <c r="ROW441" s="23"/>
      <c r="ROX441" s="23"/>
      <c r="ROY441" s="23"/>
      <c r="ROZ441" s="23"/>
      <c r="RPA441" s="23"/>
      <c r="RPB441" s="23"/>
      <c r="RPC441" s="23"/>
      <c r="RPD441" s="23"/>
      <c r="RPE441" s="23"/>
      <c r="RPF441" s="23"/>
      <c r="RPG441" s="23"/>
      <c r="RPH441" s="23"/>
      <c r="RPI441" s="23"/>
      <c r="RPJ441" s="23"/>
      <c r="RPK441" s="23"/>
      <c r="RPL441" s="23"/>
      <c r="RPM441" s="23"/>
      <c r="RPN441" s="23"/>
      <c r="RPO441" s="23"/>
      <c r="RPP441" s="23"/>
      <c r="RPQ441" s="23"/>
      <c r="RPR441" s="23"/>
      <c r="RPS441" s="23"/>
      <c r="RPT441" s="23"/>
      <c r="RPU441" s="23"/>
      <c r="RPV441" s="23"/>
      <c r="RPW441" s="23"/>
      <c r="RPX441" s="23"/>
      <c r="RPY441" s="23"/>
      <c r="RPZ441" s="23"/>
      <c r="RQA441" s="23"/>
      <c r="RQB441" s="23"/>
      <c r="RQC441" s="23"/>
      <c r="RQD441" s="23"/>
      <c r="RQE441" s="23"/>
      <c r="RQF441" s="23"/>
      <c r="RQG441" s="23"/>
      <c r="RQH441" s="23"/>
      <c r="RQI441" s="23"/>
      <c r="RQJ441" s="23"/>
      <c r="RQK441" s="23"/>
      <c r="RQL441" s="23"/>
      <c r="RQM441" s="23"/>
      <c r="RQN441" s="23"/>
      <c r="RQO441" s="23"/>
      <c r="RQP441" s="23"/>
      <c r="RQQ441" s="23"/>
      <c r="RQR441" s="23"/>
      <c r="RQS441" s="23"/>
      <c r="RQT441" s="23"/>
      <c r="RQU441" s="23"/>
      <c r="RQV441" s="23"/>
      <c r="RQW441" s="23"/>
      <c r="RQX441" s="23"/>
      <c r="RQY441" s="23"/>
      <c r="RQZ441" s="23"/>
      <c r="RRA441" s="23"/>
      <c r="RRB441" s="23"/>
      <c r="RRC441" s="23"/>
      <c r="RRD441" s="23"/>
      <c r="RRE441" s="23"/>
      <c r="RRF441" s="23"/>
      <c r="RRG441" s="23"/>
      <c r="RRH441" s="23"/>
      <c r="RRI441" s="23"/>
      <c r="RRJ441" s="23"/>
      <c r="RRK441" s="23"/>
      <c r="RRL441" s="23"/>
      <c r="RRM441" s="23"/>
      <c r="RRN441" s="23"/>
      <c r="RRO441" s="23"/>
      <c r="RRP441" s="23"/>
      <c r="RRQ441" s="23"/>
      <c r="RRR441" s="23"/>
      <c r="RRS441" s="23"/>
      <c r="RRT441" s="23"/>
      <c r="RRU441" s="23"/>
      <c r="RRV441" s="23"/>
      <c r="RRW441" s="23"/>
      <c r="RRX441" s="23"/>
      <c r="RRY441" s="23"/>
      <c r="RRZ441" s="23"/>
      <c r="RSA441" s="23"/>
      <c r="RSB441" s="23"/>
      <c r="RSC441" s="23"/>
      <c r="RSD441" s="23"/>
      <c r="RSE441" s="23"/>
      <c r="RSF441" s="23"/>
      <c r="RSG441" s="23"/>
      <c r="RSH441" s="23"/>
      <c r="RSI441" s="23"/>
      <c r="RSJ441" s="23"/>
      <c r="RSK441" s="23"/>
      <c r="RSL441" s="23"/>
      <c r="RSM441" s="23"/>
      <c r="RSN441" s="23"/>
      <c r="RSO441" s="23"/>
      <c r="RSP441" s="23"/>
      <c r="RSQ441" s="23"/>
      <c r="RSR441" s="23"/>
      <c r="RSS441" s="23"/>
      <c r="RST441" s="23"/>
      <c r="RSU441" s="23"/>
      <c r="RSV441" s="23"/>
      <c r="RSW441" s="23"/>
      <c r="RSX441" s="23"/>
      <c r="RSY441" s="23"/>
      <c r="RSZ441" s="23"/>
      <c r="RTA441" s="23"/>
      <c r="RTB441" s="23"/>
      <c r="RTC441" s="23"/>
      <c r="RTD441" s="23"/>
      <c r="RTE441" s="23"/>
      <c r="RTF441" s="23"/>
      <c r="RTG441" s="23"/>
      <c r="RTH441" s="23"/>
      <c r="RTI441" s="23"/>
      <c r="RTJ441" s="23"/>
      <c r="RTK441" s="23"/>
      <c r="RTL441" s="23"/>
      <c r="RTM441" s="23"/>
      <c r="RTN441" s="23"/>
      <c r="RTO441" s="23"/>
      <c r="RTP441" s="23"/>
      <c r="RTQ441" s="23"/>
      <c r="RTR441" s="23"/>
      <c r="RTS441" s="23"/>
      <c r="RTT441" s="23"/>
      <c r="RTU441" s="23"/>
      <c r="RTV441" s="23"/>
      <c r="RTW441" s="23"/>
      <c r="RTX441" s="23"/>
      <c r="RTY441" s="23"/>
      <c r="RTZ441" s="23"/>
      <c r="RUA441" s="23"/>
      <c r="RUB441" s="23"/>
      <c r="RUC441" s="23"/>
      <c r="RUD441" s="23"/>
      <c r="RUE441" s="23"/>
      <c r="RUF441" s="23"/>
      <c r="RUG441" s="23"/>
      <c r="RUH441" s="23"/>
      <c r="RUI441" s="23"/>
      <c r="RUJ441" s="23"/>
      <c r="RUK441" s="23"/>
      <c r="RUL441" s="23"/>
      <c r="RUM441" s="23"/>
      <c r="RUN441" s="23"/>
      <c r="RUO441" s="23"/>
      <c r="RUP441" s="23"/>
      <c r="RUQ441" s="23"/>
      <c r="RUR441" s="23"/>
      <c r="RUS441" s="23"/>
      <c r="RUT441" s="23"/>
      <c r="RUU441" s="23"/>
      <c r="RUV441" s="23"/>
      <c r="RUW441" s="23"/>
      <c r="RUX441" s="23"/>
      <c r="RUY441" s="23"/>
      <c r="RUZ441" s="23"/>
      <c r="RVA441" s="23"/>
      <c r="RVB441" s="23"/>
      <c r="RVC441" s="23"/>
      <c r="RVD441" s="23"/>
      <c r="RVE441" s="23"/>
      <c r="RVF441" s="23"/>
      <c r="RVG441" s="23"/>
      <c r="RVH441" s="23"/>
      <c r="RVI441" s="23"/>
      <c r="RVJ441" s="23"/>
      <c r="RVK441" s="23"/>
      <c r="RVL441" s="23"/>
      <c r="RVM441" s="23"/>
      <c r="RVN441" s="23"/>
      <c r="RVO441" s="23"/>
      <c r="RVP441" s="23"/>
      <c r="RVQ441" s="23"/>
      <c r="RVR441" s="23"/>
      <c r="RVS441" s="23"/>
      <c r="RVT441" s="23"/>
      <c r="RVU441" s="23"/>
      <c r="RVV441" s="23"/>
      <c r="RVW441" s="23"/>
      <c r="RVX441" s="23"/>
      <c r="RVY441" s="23"/>
      <c r="RVZ441" s="23"/>
      <c r="RWA441" s="23"/>
      <c r="RWB441" s="23"/>
      <c r="RWC441" s="23"/>
      <c r="RWD441" s="23"/>
      <c r="RWE441" s="23"/>
      <c r="RWF441" s="23"/>
      <c r="RWG441" s="23"/>
      <c r="RWH441" s="23"/>
      <c r="RWI441" s="23"/>
      <c r="RWJ441" s="23"/>
      <c r="RWK441" s="23"/>
      <c r="RWL441" s="23"/>
      <c r="RWM441" s="23"/>
      <c r="RWN441" s="23"/>
      <c r="RWO441" s="23"/>
      <c r="RWP441" s="23"/>
      <c r="RWQ441" s="23"/>
      <c r="RWR441" s="23"/>
      <c r="RWS441" s="23"/>
      <c r="RWT441" s="23"/>
      <c r="RWU441" s="23"/>
      <c r="RWV441" s="23"/>
      <c r="RWW441" s="23"/>
      <c r="RWX441" s="23"/>
      <c r="RWY441" s="23"/>
      <c r="RWZ441" s="23"/>
      <c r="RXA441" s="23"/>
      <c r="RXB441" s="23"/>
      <c r="RXC441" s="23"/>
      <c r="RXD441" s="23"/>
      <c r="RXE441" s="23"/>
      <c r="RXF441" s="23"/>
      <c r="RXG441" s="23"/>
      <c r="RXH441" s="23"/>
      <c r="RXI441" s="23"/>
      <c r="RXJ441" s="23"/>
      <c r="RXK441" s="23"/>
      <c r="RXL441" s="23"/>
      <c r="RXM441" s="23"/>
      <c r="RXN441" s="23"/>
      <c r="RXO441" s="23"/>
      <c r="RXP441" s="23"/>
      <c r="RXQ441" s="23"/>
      <c r="RXR441" s="23"/>
      <c r="RXS441" s="23"/>
      <c r="RXT441" s="23"/>
      <c r="RXU441" s="23"/>
      <c r="RXV441" s="23"/>
      <c r="RXW441" s="23"/>
      <c r="RXX441" s="23"/>
      <c r="RXY441" s="23"/>
      <c r="RXZ441" s="23"/>
      <c r="RYA441" s="23"/>
      <c r="RYB441" s="23"/>
      <c r="RYC441" s="23"/>
      <c r="RYD441" s="23"/>
      <c r="RYE441" s="23"/>
      <c r="RYF441" s="23"/>
      <c r="RYG441" s="23"/>
      <c r="RYH441" s="23"/>
      <c r="RYI441" s="23"/>
      <c r="RYJ441" s="23"/>
      <c r="RYK441" s="23"/>
      <c r="RYL441" s="23"/>
      <c r="RYM441" s="23"/>
      <c r="RYN441" s="23"/>
      <c r="RYO441" s="23"/>
      <c r="RYP441" s="23"/>
      <c r="RYQ441" s="23"/>
      <c r="RYR441" s="23"/>
      <c r="RYS441" s="23"/>
      <c r="RYT441" s="23"/>
      <c r="RYU441" s="23"/>
      <c r="RYV441" s="23"/>
      <c r="RYW441" s="23"/>
      <c r="RYX441" s="23"/>
      <c r="RYY441" s="23"/>
      <c r="RYZ441" s="23"/>
      <c r="RZA441" s="23"/>
      <c r="RZB441" s="23"/>
      <c r="RZC441" s="23"/>
      <c r="RZD441" s="23"/>
      <c r="RZE441" s="23"/>
      <c r="RZF441" s="23"/>
      <c r="RZG441" s="23"/>
      <c r="RZH441" s="23"/>
      <c r="RZI441" s="23"/>
      <c r="RZJ441" s="23"/>
      <c r="RZK441" s="23"/>
      <c r="RZL441" s="23"/>
      <c r="RZM441" s="23"/>
      <c r="RZN441" s="23"/>
      <c r="RZO441" s="23"/>
      <c r="RZP441" s="23"/>
      <c r="RZQ441" s="23"/>
      <c r="RZR441" s="23"/>
      <c r="RZS441" s="23"/>
      <c r="RZT441" s="23"/>
      <c r="RZU441" s="23"/>
      <c r="RZV441" s="23"/>
      <c r="RZW441" s="23"/>
      <c r="RZX441" s="23"/>
      <c r="RZY441" s="23"/>
      <c r="RZZ441" s="23"/>
      <c r="SAA441" s="23"/>
      <c r="SAB441" s="23"/>
      <c r="SAC441" s="23"/>
      <c r="SAD441" s="23"/>
      <c r="SAE441" s="23"/>
      <c r="SAF441" s="23"/>
      <c r="SAG441" s="23"/>
      <c r="SAH441" s="23"/>
      <c r="SAI441" s="23"/>
      <c r="SAJ441" s="23"/>
      <c r="SAK441" s="23"/>
      <c r="SAL441" s="23"/>
      <c r="SAM441" s="23"/>
      <c r="SAN441" s="23"/>
      <c r="SAO441" s="23"/>
      <c r="SAP441" s="23"/>
      <c r="SAQ441" s="23"/>
      <c r="SAR441" s="23"/>
      <c r="SAS441" s="23"/>
      <c r="SAT441" s="23"/>
      <c r="SAU441" s="23"/>
      <c r="SAV441" s="23"/>
      <c r="SAW441" s="23"/>
      <c r="SAX441" s="23"/>
      <c r="SAY441" s="23"/>
      <c r="SAZ441" s="23"/>
      <c r="SBA441" s="23"/>
      <c r="SBB441" s="23"/>
      <c r="SBC441" s="23"/>
      <c r="SBD441" s="23"/>
      <c r="SBE441" s="23"/>
      <c r="SBF441" s="23"/>
      <c r="SBG441" s="23"/>
      <c r="SBH441" s="23"/>
      <c r="SBI441" s="23"/>
      <c r="SBJ441" s="23"/>
      <c r="SBK441" s="23"/>
      <c r="SBL441" s="23"/>
      <c r="SBM441" s="23"/>
      <c r="SBN441" s="23"/>
      <c r="SBO441" s="23"/>
      <c r="SBP441" s="23"/>
      <c r="SBQ441" s="23"/>
      <c r="SBR441" s="23"/>
      <c r="SBS441" s="23"/>
      <c r="SBT441" s="23"/>
      <c r="SBU441" s="23"/>
      <c r="SBV441" s="23"/>
      <c r="SBW441" s="23"/>
      <c r="SBX441" s="23"/>
      <c r="SBY441" s="23"/>
      <c r="SBZ441" s="23"/>
      <c r="SCA441" s="23"/>
      <c r="SCB441" s="23"/>
      <c r="SCC441" s="23"/>
      <c r="SCD441" s="23"/>
      <c r="SCE441" s="23"/>
      <c r="SCF441" s="23"/>
      <c r="SCG441" s="23"/>
      <c r="SCH441" s="23"/>
      <c r="SCI441" s="23"/>
      <c r="SCJ441" s="23"/>
      <c r="SCK441" s="23"/>
      <c r="SCL441" s="23"/>
      <c r="SCM441" s="23"/>
      <c r="SCN441" s="23"/>
      <c r="SCO441" s="23"/>
      <c r="SCP441" s="23"/>
      <c r="SCQ441" s="23"/>
      <c r="SCR441" s="23"/>
      <c r="SCS441" s="23"/>
      <c r="SCT441" s="23"/>
      <c r="SCU441" s="23"/>
      <c r="SCV441" s="23"/>
      <c r="SCW441" s="23"/>
      <c r="SCX441" s="23"/>
      <c r="SCY441" s="23"/>
      <c r="SCZ441" s="23"/>
      <c r="SDA441" s="23"/>
      <c r="SDB441" s="23"/>
      <c r="SDC441" s="23"/>
      <c r="SDD441" s="23"/>
      <c r="SDE441" s="23"/>
      <c r="SDF441" s="23"/>
      <c r="SDG441" s="23"/>
      <c r="SDH441" s="23"/>
      <c r="SDI441" s="23"/>
      <c r="SDJ441" s="23"/>
      <c r="SDK441" s="23"/>
      <c r="SDL441" s="23"/>
      <c r="SDM441" s="23"/>
      <c r="SDN441" s="23"/>
      <c r="SDO441" s="23"/>
      <c r="SDP441" s="23"/>
      <c r="SDQ441" s="23"/>
      <c r="SDR441" s="23"/>
      <c r="SDS441" s="23"/>
      <c r="SDT441" s="23"/>
      <c r="SDU441" s="23"/>
      <c r="SDV441" s="23"/>
      <c r="SDW441" s="23"/>
      <c r="SDX441" s="23"/>
      <c r="SDY441" s="23"/>
      <c r="SDZ441" s="23"/>
      <c r="SEA441" s="23"/>
      <c r="SEB441" s="23"/>
      <c r="SEC441" s="23"/>
      <c r="SED441" s="23"/>
      <c r="SEE441" s="23"/>
      <c r="SEF441" s="23"/>
      <c r="SEG441" s="23"/>
      <c r="SEH441" s="23"/>
      <c r="SEI441" s="23"/>
      <c r="SEJ441" s="23"/>
      <c r="SEK441" s="23"/>
      <c r="SEL441" s="23"/>
      <c r="SEM441" s="23"/>
      <c r="SEN441" s="23"/>
      <c r="SEO441" s="23"/>
      <c r="SEP441" s="23"/>
      <c r="SEQ441" s="23"/>
      <c r="SER441" s="23"/>
      <c r="SES441" s="23"/>
      <c r="SET441" s="23"/>
      <c r="SEU441" s="23"/>
      <c r="SEV441" s="23"/>
      <c r="SEW441" s="23"/>
      <c r="SEX441" s="23"/>
      <c r="SEY441" s="23"/>
      <c r="SEZ441" s="23"/>
      <c r="SFA441" s="23"/>
      <c r="SFB441" s="23"/>
      <c r="SFC441" s="23"/>
      <c r="SFD441" s="23"/>
      <c r="SFE441" s="23"/>
      <c r="SFF441" s="23"/>
      <c r="SFG441" s="23"/>
      <c r="SFH441" s="23"/>
      <c r="SFI441" s="23"/>
      <c r="SFJ441" s="23"/>
      <c r="SFK441" s="23"/>
      <c r="SFL441" s="23"/>
      <c r="SFM441" s="23"/>
      <c r="SFN441" s="23"/>
      <c r="SFO441" s="23"/>
      <c r="SFP441" s="23"/>
      <c r="SFQ441" s="23"/>
      <c r="SFR441" s="23"/>
      <c r="SFS441" s="23"/>
      <c r="SFT441" s="23"/>
      <c r="SFU441" s="23"/>
      <c r="SFV441" s="23"/>
      <c r="SFW441" s="23"/>
      <c r="SFX441" s="23"/>
      <c r="SFY441" s="23"/>
      <c r="SFZ441" s="23"/>
      <c r="SGA441" s="23"/>
      <c r="SGB441" s="23"/>
      <c r="SGC441" s="23"/>
      <c r="SGD441" s="23"/>
      <c r="SGE441" s="23"/>
      <c r="SGF441" s="23"/>
      <c r="SGG441" s="23"/>
      <c r="SGH441" s="23"/>
      <c r="SGI441" s="23"/>
      <c r="SGJ441" s="23"/>
      <c r="SGK441" s="23"/>
      <c r="SGL441" s="23"/>
      <c r="SGM441" s="23"/>
      <c r="SGN441" s="23"/>
      <c r="SGO441" s="23"/>
      <c r="SGP441" s="23"/>
      <c r="SGQ441" s="23"/>
      <c r="SGR441" s="23"/>
      <c r="SGS441" s="23"/>
      <c r="SGT441" s="23"/>
      <c r="SGU441" s="23"/>
      <c r="SGV441" s="23"/>
      <c r="SGW441" s="23"/>
      <c r="SGX441" s="23"/>
      <c r="SGY441" s="23"/>
      <c r="SGZ441" s="23"/>
      <c r="SHA441" s="23"/>
      <c r="SHB441" s="23"/>
      <c r="SHC441" s="23"/>
      <c r="SHD441" s="23"/>
      <c r="SHE441" s="23"/>
      <c r="SHF441" s="23"/>
      <c r="SHG441" s="23"/>
      <c r="SHH441" s="23"/>
      <c r="SHI441" s="23"/>
      <c r="SHJ441" s="23"/>
      <c r="SHK441" s="23"/>
      <c r="SHL441" s="23"/>
      <c r="SHM441" s="23"/>
      <c r="SHN441" s="23"/>
      <c r="SHO441" s="23"/>
      <c r="SHP441" s="23"/>
      <c r="SHQ441" s="23"/>
      <c r="SHR441" s="23"/>
      <c r="SHS441" s="23"/>
      <c r="SHT441" s="23"/>
      <c r="SHU441" s="23"/>
      <c r="SHV441" s="23"/>
      <c r="SHW441" s="23"/>
      <c r="SHX441" s="23"/>
      <c r="SHY441" s="23"/>
      <c r="SHZ441" s="23"/>
      <c r="SIA441" s="23"/>
      <c r="SIB441" s="23"/>
      <c r="SIC441" s="23"/>
      <c r="SID441" s="23"/>
      <c r="SIE441" s="23"/>
      <c r="SIF441" s="23"/>
      <c r="SIG441" s="23"/>
      <c r="SIH441" s="23"/>
      <c r="SII441" s="23"/>
      <c r="SIJ441" s="23"/>
      <c r="SIK441" s="23"/>
      <c r="SIL441" s="23"/>
      <c r="SIM441" s="23"/>
      <c r="SIN441" s="23"/>
      <c r="SIO441" s="23"/>
      <c r="SIP441" s="23"/>
      <c r="SIQ441" s="23"/>
      <c r="SIR441" s="23"/>
      <c r="SIS441" s="23"/>
      <c r="SIT441" s="23"/>
      <c r="SIU441" s="23"/>
      <c r="SIV441" s="23"/>
      <c r="SIW441" s="23"/>
      <c r="SIX441" s="23"/>
      <c r="SIY441" s="23"/>
      <c r="SIZ441" s="23"/>
      <c r="SJA441" s="23"/>
      <c r="SJB441" s="23"/>
      <c r="SJC441" s="23"/>
      <c r="SJD441" s="23"/>
      <c r="SJE441" s="23"/>
      <c r="SJF441" s="23"/>
      <c r="SJG441" s="23"/>
      <c r="SJH441" s="23"/>
      <c r="SJI441" s="23"/>
      <c r="SJJ441" s="23"/>
      <c r="SJK441" s="23"/>
      <c r="SJL441" s="23"/>
      <c r="SJM441" s="23"/>
      <c r="SJN441" s="23"/>
      <c r="SJO441" s="23"/>
      <c r="SJP441" s="23"/>
      <c r="SJQ441" s="23"/>
      <c r="SJR441" s="23"/>
      <c r="SJS441" s="23"/>
      <c r="SJT441" s="23"/>
      <c r="SJU441" s="23"/>
      <c r="SJV441" s="23"/>
      <c r="SJW441" s="23"/>
      <c r="SJX441" s="23"/>
      <c r="SJY441" s="23"/>
      <c r="SJZ441" s="23"/>
      <c r="SKA441" s="23"/>
      <c r="SKB441" s="23"/>
      <c r="SKC441" s="23"/>
      <c r="SKD441" s="23"/>
      <c r="SKE441" s="23"/>
      <c r="SKF441" s="23"/>
      <c r="SKG441" s="23"/>
      <c r="SKH441" s="23"/>
      <c r="SKI441" s="23"/>
      <c r="SKJ441" s="23"/>
      <c r="SKK441" s="23"/>
      <c r="SKL441" s="23"/>
      <c r="SKM441" s="23"/>
      <c r="SKN441" s="23"/>
      <c r="SKO441" s="23"/>
      <c r="SKP441" s="23"/>
      <c r="SKQ441" s="23"/>
      <c r="SKR441" s="23"/>
      <c r="SKS441" s="23"/>
      <c r="SKT441" s="23"/>
      <c r="SKU441" s="23"/>
      <c r="SKV441" s="23"/>
      <c r="SKW441" s="23"/>
      <c r="SKX441" s="23"/>
      <c r="SKY441" s="23"/>
      <c r="SKZ441" s="23"/>
      <c r="SLA441" s="23"/>
      <c r="SLB441" s="23"/>
      <c r="SLC441" s="23"/>
      <c r="SLD441" s="23"/>
      <c r="SLE441" s="23"/>
      <c r="SLF441" s="23"/>
      <c r="SLG441" s="23"/>
      <c r="SLH441" s="23"/>
      <c r="SLI441" s="23"/>
      <c r="SLJ441" s="23"/>
      <c r="SLK441" s="23"/>
      <c r="SLL441" s="23"/>
      <c r="SLM441" s="23"/>
      <c r="SLN441" s="23"/>
      <c r="SLO441" s="23"/>
      <c r="SLP441" s="23"/>
      <c r="SLQ441" s="23"/>
      <c r="SLR441" s="23"/>
      <c r="SLS441" s="23"/>
      <c r="SLT441" s="23"/>
      <c r="SLU441" s="23"/>
      <c r="SLV441" s="23"/>
      <c r="SLW441" s="23"/>
      <c r="SLX441" s="23"/>
      <c r="SLY441" s="23"/>
      <c r="SLZ441" s="23"/>
      <c r="SMA441" s="23"/>
      <c r="SMB441" s="23"/>
      <c r="SMC441" s="23"/>
      <c r="SMD441" s="23"/>
      <c r="SME441" s="23"/>
      <c r="SMF441" s="23"/>
      <c r="SMG441" s="23"/>
      <c r="SMH441" s="23"/>
      <c r="SMI441" s="23"/>
      <c r="SMJ441" s="23"/>
      <c r="SMK441" s="23"/>
      <c r="SML441" s="23"/>
      <c r="SMM441" s="23"/>
      <c r="SMN441" s="23"/>
      <c r="SMO441" s="23"/>
      <c r="SMP441" s="23"/>
      <c r="SMQ441" s="23"/>
      <c r="SMR441" s="23"/>
      <c r="SMS441" s="23"/>
      <c r="SMT441" s="23"/>
      <c r="SMU441" s="23"/>
      <c r="SMV441" s="23"/>
      <c r="SMW441" s="23"/>
      <c r="SMX441" s="23"/>
      <c r="SMY441" s="23"/>
      <c r="SMZ441" s="23"/>
      <c r="SNA441" s="23"/>
      <c r="SNB441" s="23"/>
      <c r="SNC441" s="23"/>
      <c r="SND441" s="23"/>
      <c r="SNE441" s="23"/>
      <c r="SNF441" s="23"/>
      <c r="SNG441" s="23"/>
      <c r="SNH441" s="23"/>
      <c r="SNI441" s="23"/>
      <c r="SNJ441" s="23"/>
      <c r="SNK441" s="23"/>
      <c r="SNL441" s="23"/>
      <c r="SNM441" s="23"/>
      <c r="SNN441" s="23"/>
      <c r="SNO441" s="23"/>
      <c r="SNP441" s="23"/>
      <c r="SNQ441" s="23"/>
      <c r="SNR441" s="23"/>
      <c r="SNS441" s="23"/>
      <c r="SNT441" s="23"/>
      <c r="SNU441" s="23"/>
      <c r="SNV441" s="23"/>
      <c r="SNW441" s="23"/>
      <c r="SNX441" s="23"/>
      <c r="SNY441" s="23"/>
      <c r="SNZ441" s="23"/>
      <c r="SOA441" s="23"/>
      <c r="SOB441" s="23"/>
      <c r="SOC441" s="23"/>
      <c r="SOD441" s="23"/>
      <c r="SOE441" s="23"/>
      <c r="SOF441" s="23"/>
      <c r="SOG441" s="23"/>
      <c r="SOH441" s="23"/>
      <c r="SOI441" s="23"/>
      <c r="SOJ441" s="23"/>
      <c r="SOK441" s="23"/>
      <c r="SOL441" s="23"/>
      <c r="SOM441" s="23"/>
      <c r="SON441" s="23"/>
      <c r="SOO441" s="23"/>
      <c r="SOP441" s="23"/>
      <c r="SOQ441" s="23"/>
      <c r="SOR441" s="23"/>
      <c r="SOS441" s="23"/>
      <c r="SOT441" s="23"/>
      <c r="SOU441" s="23"/>
      <c r="SOV441" s="23"/>
      <c r="SOW441" s="23"/>
      <c r="SOX441" s="23"/>
      <c r="SOY441" s="23"/>
      <c r="SOZ441" s="23"/>
      <c r="SPA441" s="23"/>
      <c r="SPB441" s="23"/>
      <c r="SPC441" s="23"/>
      <c r="SPD441" s="23"/>
      <c r="SPE441" s="23"/>
      <c r="SPF441" s="23"/>
      <c r="SPG441" s="23"/>
      <c r="SPH441" s="23"/>
      <c r="SPI441" s="23"/>
      <c r="SPJ441" s="23"/>
      <c r="SPK441" s="23"/>
      <c r="SPL441" s="23"/>
      <c r="SPM441" s="23"/>
      <c r="SPN441" s="23"/>
      <c r="SPO441" s="23"/>
      <c r="SPP441" s="23"/>
      <c r="SPQ441" s="23"/>
      <c r="SPR441" s="23"/>
      <c r="SPS441" s="23"/>
      <c r="SPT441" s="23"/>
      <c r="SPU441" s="23"/>
      <c r="SPV441" s="23"/>
      <c r="SPW441" s="23"/>
      <c r="SPX441" s="23"/>
      <c r="SPY441" s="23"/>
      <c r="SPZ441" s="23"/>
      <c r="SQA441" s="23"/>
      <c r="SQB441" s="23"/>
      <c r="SQC441" s="23"/>
      <c r="SQD441" s="23"/>
      <c r="SQE441" s="23"/>
      <c r="SQF441" s="23"/>
      <c r="SQG441" s="23"/>
      <c r="SQH441" s="23"/>
      <c r="SQI441" s="23"/>
      <c r="SQJ441" s="23"/>
      <c r="SQK441" s="23"/>
      <c r="SQL441" s="23"/>
      <c r="SQM441" s="23"/>
      <c r="SQN441" s="23"/>
      <c r="SQO441" s="23"/>
      <c r="SQP441" s="23"/>
      <c r="SQQ441" s="23"/>
      <c r="SQR441" s="23"/>
      <c r="SQS441" s="23"/>
      <c r="SQT441" s="23"/>
      <c r="SQU441" s="23"/>
      <c r="SQV441" s="23"/>
      <c r="SQW441" s="23"/>
      <c r="SQX441" s="23"/>
      <c r="SQY441" s="23"/>
      <c r="SQZ441" s="23"/>
      <c r="SRA441" s="23"/>
      <c r="SRB441" s="23"/>
      <c r="SRC441" s="23"/>
      <c r="SRD441" s="23"/>
      <c r="SRE441" s="23"/>
      <c r="SRF441" s="23"/>
      <c r="SRG441" s="23"/>
      <c r="SRH441" s="23"/>
      <c r="SRI441" s="23"/>
      <c r="SRJ441" s="23"/>
      <c r="SRK441" s="23"/>
      <c r="SRL441" s="23"/>
      <c r="SRM441" s="23"/>
      <c r="SRN441" s="23"/>
      <c r="SRO441" s="23"/>
      <c r="SRP441" s="23"/>
      <c r="SRQ441" s="23"/>
      <c r="SRR441" s="23"/>
      <c r="SRS441" s="23"/>
      <c r="SRT441" s="23"/>
      <c r="SRU441" s="23"/>
      <c r="SRV441" s="23"/>
      <c r="SRW441" s="23"/>
      <c r="SRX441" s="23"/>
      <c r="SRY441" s="23"/>
      <c r="SRZ441" s="23"/>
      <c r="SSA441" s="23"/>
      <c r="SSB441" s="23"/>
      <c r="SSC441" s="23"/>
      <c r="SSD441" s="23"/>
      <c r="SSE441" s="23"/>
      <c r="SSF441" s="23"/>
      <c r="SSG441" s="23"/>
      <c r="SSH441" s="23"/>
      <c r="SSI441" s="23"/>
      <c r="SSJ441" s="23"/>
      <c r="SSK441" s="23"/>
      <c r="SSL441" s="23"/>
      <c r="SSM441" s="23"/>
      <c r="SSN441" s="23"/>
      <c r="SSO441" s="23"/>
      <c r="SSP441" s="23"/>
      <c r="SSQ441" s="23"/>
      <c r="SSR441" s="23"/>
      <c r="SSS441" s="23"/>
      <c r="SST441" s="23"/>
      <c r="SSU441" s="23"/>
      <c r="SSV441" s="23"/>
      <c r="SSW441" s="23"/>
      <c r="SSX441" s="23"/>
      <c r="SSY441" s="23"/>
      <c r="SSZ441" s="23"/>
      <c r="STA441" s="23"/>
      <c r="STB441" s="23"/>
      <c r="STC441" s="23"/>
      <c r="STD441" s="23"/>
      <c r="STE441" s="23"/>
      <c r="STF441" s="23"/>
      <c r="STG441" s="23"/>
      <c r="STH441" s="23"/>
      <c r="STI441" s="23"/>
      <c r="STJ441" s="23"/>
      <c r="STK441" s="23"/>
      <c r="STL441" s="23"/>
      <c r="STM441" s="23"/>
      <c r="STN441" s="23"/>
      <c r="STO441" s="23"/>
      <c r="STP441" s="23"/>
      <c r="STQ441" s="23"/>
      <c r="STR441" s="23"/>
      <c r="STS441" s="23"/>
      <c r="STT441" s="23"/>
      <c r="STU441" s="23"/>
      <c r="STV441" s="23"/>
      <c r="STW441" s="23"/>
      <c r="STX441" s="23"/>
      <c r="STY441" s="23"/>
      <c r="STZ441" s="23"/>
      <c r="SUA441" s="23"/>
      <c r="SUB441" s="23"/>
      <c r="SUC441" s="23"/>
      <c r="SUD441" s="23"/>
      <c r="SUE441" s="23"/>
      <c r="SUF441" s="23"/>
      <c r="SUG441" s="23"/>
      <c r="SUH441" s="23"/>
      <c r="SUI441" s="23"/>
      <c r="SUJ441" s="23"/>
      <c r="SUK441" s="23"/>
      <c r="SUL441" s="23"/>
      <c r="SUM441" s="23"/>
      <c r="SUN441" s="23"/>
      <c r="SUO441" s="23"/>
      <c r="SUP441" s="23"/>
      <c r="SUQ441" s="23"/>
      <c r="SUR441" s="23"/>
      <c r="SUS441" s="23"/>
      <c r="SUT441" s="23"/>
      <c r="SUU441" s="23"/>
      <c r="SUV441" s="23"/>
      <c r="SUW441" s="23"/>
      <c r="SUX441" s="23"/>
      <c r="SUY441" s="23"/>
      <c r="SUZ441" s="23"/>
      <c r="SVA441" s="23"/>
      <c r="SVB441" s="23"/>
      <c r="SVC441" s="23"/>
      <c r="SVD441" s="23"/>
      <c r="SVE441" s="23"/>
      <c r="SVF441" s="23"/>
      <c r="SVG441" s="23"/>
      <c r="SVH441" s="23"/>
      <c r="SVI441" s="23"/>
      <c r="SVJ441" s="23"/>
      <c r="SVK441" s="23"/>
      <c r="SVL441" s="23"/>
      <c r="SVM441" s="23"/>
      <c r="SVN441" s="23"/>
      <c r="SVO441" s="23"/>
      <c r="SVP441" s="23"/>
      <c r="SVQ441" s="23"/>
      <c r="SVR441" s="23"/>
      <c r="SVS441" s="23"/>
      <c r="SVT441" s="23"/>
      <c r="SVU441" s="23"/>
      <c r="SVV441" s="23"/>
      <c r="SVW441" s="23"/>
      <c r="SVX441" s="23"/>
      <c r="SVY441" s="23"/>
      <c r="SVZ441" s="23"/>
      <c r="SWA441" s="23"/>
      <c r="SWB441" s="23"/>
      <c r="SWC441" s="23"/>
      <c r="SWD441" s="23"/>
      <c r="SWE441" s="23"/>
      <c r="SWF441" s="23"/>
      <c r="SWG441" s="23"/>
      <c r="SWH441" s="23"/>
      <c r="SWI441" s="23"/>
      <c r="SWJ441" s="23"/>
      <c r="SWK441" s="23"/>
      <c r="SWL441" s="23"/>
      <c r="SWM441" s="23"/>
      <c r="SWN441" s="23"/>
      <c r="SWO441" s="23"/>
      <c r="SWP441" s="23"/>
      <c r="SWQ441" s="23"/>
      <c r="SWR441" s="23"/>
      <c r="SWS441" s="23"/>
      <c r="SWT441" s="23"/>
      <c r="SWU441" s="23"/>
      <c r="SWV441" s="23"/>
      <c r="SWW441" s="23"/>
      <c r="SWX441" s="23"/>
      <c r="SWY441" s="23"/>
      <c r="SWZ441" s="23"/>
      <c r="SXA441" s="23"/>
      <c r="SXB441" s="23"/>
      <c r="SXC441" s="23"/>
      <c r="SXD441" s="23"/>
      <c r="SXE441" s="23"/>
      <c r="SXF441" s="23"/>
      <c r="SXG441" s="23"/>
      <c r="SXH441" s="23"/>
      <c r="SXI441" s="23"/>
      <c r="SXJ441" s="23"/>
      <c r="SXK441" s="23"/>
      <c r="SXL441" s="23"/>
      <c r="SXM441" s="23"/>
      <c r="SXN441" s="23"/>
      <c r="SXO441" s="23"/>
      <c r="SXP441" s="23"/>
      <c r="SXQ441" s="23"/>
      <c r="SXR441" s="23"/>
      <c r="SXS441" s="23"/>
      <c r="SXT441" s="23"/>
      <c r="SXU441" s="23"/>
      <c r="SXV441" s="23"/>
      <c r="SXW441" s="23"/>
      <c r="SXX441" s="23"/>
      <c r="SXY441" s="23"/>
      <c r="SXZ441" s="23"/>
      <c r="SYA441" s="23"/>
      <c r="SYB441" s="23"/>
      <c r="SYC441" s="23"/>
      <c r="SYD441" s="23"/>
      <c r="SYE441" s="23"/>
      <c r="SYF441" s="23"/>
      <c r="SYG441" s="23"/>
      <c r="SYH441" s="23"/>
      <c r="SYI441" s="23"/>
      <c r="SYJ441" s="23"/>
      <c r="SYK441" s="23"/>
      <c r="SYL441" s="23"/>
      <c r="SYM441" s="23"/>
      <c r="SYN441" s="23"/>
      <c r="SYO441" s="23"/>
      <c r="SYP441" s="23"/>
      <c r="SYQ441" s="23"/>
      <c r="SYR441" s="23"/>
      <c r="SYS441" s="23"/>
      <c r="SYT441" s="23"/>
      <c r="SYU441" s="23"/>
      <c r="SYV441" s="23"/>
      <c r="SYW441" s="23"/>
      <c r="SYX441" s="23"/>
      <c r="SYY441" s="23"/>
      <c r="SYZ441" s="23"/>
      <c r="SZA441" s="23"/>
      <c r="SZB441" s="23"/>
      <c r="SZC441" s="23"/>
      <c r="SZD441" s="23"/>
      <c r="SZE441" s="23"/>
      <c r="SZF441" s="23"/>
      <c r="SZG441" s="23"/>
      <c r="SZH441" s="23"/>
      <c r="SZI441" s="23"/>
      <c r="SZJ441" s="23"/>
      <c r="SZK441" s="23"/>
      <c r="SZL441" s="23"/>
      <c r="SZM441" s="23"/>
      <c r="SZN441" s="23"/>
      <c r="SZO441" s="23"/>
      <c r="SZP441" s="23"/>
      <c r="SZQ441" s="23"/>
      <c r="SZR441" s="23"/>
      <c r="SZS441" s="23"/>
      <c r="SZT441" s="23"/>
      <c r="SZU441" s="23"/>
      <c r="SZV441" s="23"/>
      <c r="SZW441" s="23"/>
      <c r="SZX441" s="23"/>
      <c r="SZY441" s="23"/>
      <c r="SZZ441" s="23"/>
      <c r="TAA441" s="23"/>
      <c r="TAB441" s="23"/>
      <c r="TAC441" s="23"/>
      <c r="TAD441" s="23"/>
      <c r="TAE441" s="23"/>
      <c r="TAF441" s="23"/>
      <c r="TAG441" s="23"/>
      <c r="TAH441" s="23"/>
      <c r="TAI441" s="23"/>
      <c r="TAJ441" s="23"/>
      <c r="TAK441" s="23"/>
      <c r="TAL441" s="23"/>
      <c r="TAM441" s="23"/>
      <c r="TAN441" s="23"/>
      <c r="TAO441" s="23"/>
      <c r="TAP441" s="23"/>
      <c r="TAQ441" s="23"/>
      <c r="TAR441" s="23"/>
      <c r="TAS441" s="23"/>
      <c r="TAT441" s="23"/>
      <c r="TAU441" s="23"/>
      <c r="TAV441" s="23"/>
      <c r="TAW441" s="23"/>
      <c r="TAX441" s="23"/>
      <c r="TAY441" s="23"/>
      <c r="TAZ441" s="23"/>
      <c r="TBA441" s="23"/>
      <c r="TBB441" s="23"/>
      <c r="TBC441" s="23"/>
      <c r="TBD441" s="23"/>
      <c r="TBE441" s="23"/>
      <c r="TBF441" s="23"/>
      <c r="TBG441" s="23"/>
      <c r="TBH441" s="23"/>
      <c r="TBI441" s="23"/>
      <c r="TBJ441" s="23"/>
      <c r="TBK441" s="23"/>
      <c r="TBL441" s="23"/>
      <c r="TBM441" s="23"/>
      <c r="TBN441" s="23"/>
      <c r="TBO441" s="23"/>
      <c r="TBP441" s="23"/>
      <c r="TBQ441" s="23"/>
      <c r="TBR441" s="23"/>
      <c r="TBS441" s="23"/>
      <c r="TBT441" s="23"/>
      <c r="TBU441" s="23"/>
      <c r="TBV441" s="23"/>
      <c r="TBW441" s="23"/>
      <c r="TBX441" s="23"/>
      <c r="TBY441" s="23"/>
      <c r="TBZ441" s="23"/>
      <c r="TCA441" s="23"/>
      <c r="TCB441" s="23"/>
      <c r="TCC441" s="23"/>
      <c r="TCD441" s="23"/>
      <c r="TCE441" s="23"/>
      <c r="TCF441" s="23"/>
      <c r="TCG441" s="23"/>
      <c r="TCH441" s="23"/>
      <c r="TCI441" s="23"/>
      <c r="TCJ441" s="23"/>
      <c r="TCK441" s="23"/>
      <c r="TCL441" s="23"/>
      <c r="TCM441" s="23"/>
      <c r="TCN441" s="23"/>
      <c r="TCO441" s="23"/>
      <c r="TCP441" s="23"/>
      <c r="TCQ441" s="23"/>
      <c r="TCR441" s="23"/>
      <c r="TCS441" s="23"/>
      <c r="TCT441" s="23"/>
      <c r="TCU441" s="23"/>
      <c r="TCV441" s="23"/>
      <c r="TCW441" s="23"/>
      <c r="TCX441" s="23"/>
      <c r="TCY441" s="23"/>
      <c r="TCZ441" s="23"/>
      <c r="TDA441" s="23"/>
      <c r="TDB441" s="23"/>
      <c r="TDC441" s="23"/>
      <c r="TDD441" s="23"/>
      <c r="TDE441" s="23"/>
      <c r="TDF441" s="23"/>
      <c r="TDG441" s="23"/>
      <c r="TDH441" s="23"/>
      <c r="TDI441" s="23"/>
      <c r="TDJ441" s="23"/>
      <c r="TDK441" s="23"/>
      <c r="TDL441" s="23"/>
      <c r="TDM441" s="23"/>
      <c r="TDN441" s="23"/>
      <c r="TDO441" s="23"/>
      <c r="TDP441" s="23"/>
      <c r="TDQ441" s="23"/>
      <c r="TDR441" s="23"/>
      <c r="TDS441" s="23"/>
      <c r="TDT441" s="23"/>
      <c r="TDU441" s="23"/>
      <c r="TDV441" s="23"/>
      <c r="TDW441" s="23"/>
      <c r="TDX441" s="23"/>
      <c r="TDY441" s="23"/>
      <c r="TDZ441" s="23"/>
      <c r="TEA441" s="23"/>
      <c r="TEB441" s="23"/>
      <c r="TEC441" s="23"/>
      <c r="TED441" s="23"/>
      <c r="TEE441" s="23"/>
      <c r="TEF441" s="23"/>
      <c r="TEG441" s="23"/>
      <c r="TEH441" s="23"/>
      <c r="TEI441" s="23"/>
      <c r="TEJ441" s="23"/>
      <c r="TEK441" s="23"/>
      <c r="TEL441" s="23"/>
      <c r="TEM441" s="23"/>
      <c r="TEN441" s="23"/>
      <c r="TEO441" s="23"/>
      <c r="TEP441" s="23"/>
      <c r="TEQ441" s="23"/>
      <c r="TER441" s="23"/>
      <c r="TES441" s="23"/>
      <c r="TET441" s="23"/>
      <c r="TEU441" s="23"/>
      <c r="TEV441" s="23"/>
      <c r="TEW441" s="23"/>
      <c r="TEX441" s="23"/>
      <c r="TEY441" s="23"/>
      <c r="TEZ441" s="23"/>
      <c r="TFA441" s="23"/>
      <c r="TFB441" s="23"/>
      <c r="TFC441" s="23"/>
      <c r="TFD441" s="23"/>
      <c r="TFE441" s="23"/>
      <c r="TFF441" s="23"/>
      <c r="TFG441" s="23"/>
      <c r="TFH441" s="23"/>
      <c r="TFI441" s="23"/>
      <c r="TFJ441" s="23"/>
      <c r="TFK441" s="23"/>
      <c r="TFL441" s="23"/>
      <c r="TFM441" s="23"/>
      <c r="TFN441" s="23"/>
      <c r="TFO441" s="23"/>
      <c r="TFP441" s="23"/>
      <c r="TFQ441" s="23"/>
      <c r="TFR441" s="23"/>
      <c r="TFS441" s="23"/>
      <c r="TFT441" s="23"/>
      <c r="TFU441" s="23"/>
      <c r="TFV441" s="23"/>
      <c r="TFW441" s="23"/>
      <c r="TFX441" s="23"/>
      <c r="TFY441" s="23"/>
      <c r="TFZ441" s="23"/>
      <c r="TGA441" s="23"/>
      <c r="TGB441" s="23"/>
      <c r="TGC441" s="23"/>
      <c r="TGD441" s="23"/>
      <c r="TGE441" s="23"/>
      <c r="TGF441" s="23"/>
      <c r="TGG441" s="23"/>
      <c r="TGH441" s="23"/>
      <c r="TGI441" s="23"/>
      <c r="TGJ441" s="23"/>
      <c r="TGK441" s="23"/>
      <c r="TGL441" s="23"/>
      <c r="TGM441" s="23"/>
      <c r="TGN441" s="23"/>
      <c r="TGO441" s="23"/>
      <c r="TGP441" s="23"/>
      <c r="TGQ441" s="23"/>
      <c r="TGR441" s="23"/>
      <c r="TGS441" s="23"/>
      <c r="TGT441" s="23"/>
      <c r="TGU441" s="23"/>
      <c r="TGV441" s="23"/>
      <c r="TGW441" s="23"/>
      <c r="TGX441" s="23"/>
      <c r="TGY441" s="23"/>
      <c r="TGZ441" s="23"/>
      <c r="THA441" s="23"/>
      <c r="THB441" s="23"/>
      <c r="THC441" s="23"/>
      <c r="THD441" s="23"/>
      <c r="THE441" s="23"/>
      <c r="THF441" s="23"/>
      <c r="THG441" s="23"/>
      <c r="THH441" s="23"/>
      <c r="THI441" s="23"/>
      <c r="THJ441" s="23"/>
      <c r="THK441" s="23"/>
      <c r="THL441" s="23"/>
      <c r="THM441" s="23"/>
      <c r="THN441" s="23"/>
      <c r="THO441" s="23"/>
      <c r="THP441" s="23"/>
      <c r="THQ441" s="23"/>
      <c r="THR441" s="23"/>
      <c r="THS441" s="23"/>
      <c r="THT441" s="23"/>
      <c r="THU441" s="23"/>
      <c r="THV441" s="23"/>
      <c r="THW441" s="23"/>
      <c r="THX441" s="23"/>
      <c r="THY441" s="23"/>
      <c r="THZ441" s="23"/>
      <c r="TIA441" s="23"/>
      <c r="TIB441" s="23"/>
      <c r="TIC441" s="23"/>
      <c r="TID441" s="23"/>
      <c r="TIE441" s="23"/>
      <c r="TIF441" s="23"/>
      <c r="TIG441" s="23"/>
      <c r="TIH441" s="23"/>
      <c r="TII441" s="23"/>
      <c r="TIJ441" s="23"/>
      <c r="TIK441" s="23"/>
      <c r="TIL441" s="23"/>
      <c r="TIM441" s="23"/>
      <c r="TIN441" s="23"/>
      <c r="TIO441" s="23"/>
      <c r="TIP441" s="23"/>
      <c r="TIQ441" s="23"/>
      <c r="TIR441" s="23"/>
      <c r="TIS441" s="23"/>
      <c r="TIT441" s="23"/>
      <c r="TIU441" s="23"/>
      <c r="TIV441" s="23"/>
      <c r="TIW441" s="23"/>
      <c r="TIX441" s="23"/>
      <c r="TIY441" s="23"/>
      <c r="TIZ441" s="23"/>
      <c r="TJA441" s="23"/>
      <c r="TJB441" s="23"/>
      <c r="TJC441" s="23"/>
      <c r="TJD441" s="23"/>
      <c r="TJE441" s="23"/>
      <c r="TJF441" s="23"/>
      <c r="TJG441" s="23"/>
      <c r="TJH441" s="23"/>
      <c r="TJI441" s="23"/>
      <c r="TJJ441" s="23"/>
      <c r="TJK441" s="23"/>
      <c r="TJL441" s="23"/>
      <c r="TJM441" s="23"/>
      <c r="TJN441" s="23"/>
      <c r="TJO441" s="23"/>
      <c r="TJP441" s="23"/>
      <c r="TJQ441" s="23"/>
      <c r="TJR441" s="23"/>
      <c r="TJS441" s="23"/>
      <c r="TJT441" s="23"/>
      <c r="TJU441" s="23"/>
      <c r="TJV441" s="23"/>
      <c r="TJW441" s="23"/>
      <c r="TJX441" s="23"/>
      <c r="TJY441" s="23"/>
      <c r="TJZ441" s="23"/>
      <c r="TKA441" s="23"/>
      <c r="TKB441" s="23"/>
      <c r="TKC441" s="23"/>
      <c r="TKD441" s="23"/>
      <c r="TKE441" s="23"/>
      <c r="TKF441" s="23"/>
      <c r="TKG441" s="23"/>
      <c r="TKH441" s="23"/>
      <c r="TKI441" s="23"/>
      <c r="TKJ441" s="23"/>
      <c r="TKK441" s="23"/>
      <c r="TKL441" s="23"/>
      <c r="TKM441" s="23"/>
      <c r="TKN441" s="23"/>
      <c r="TKO441" s="23"/>
      <c r="TKP441" s="23"/>
      <c r="TKQ441" s="23"/>
      <c r="TKR441" s="23"/>
      <c r="TKS441" s="23"/>
      <c r="TKT441" s="23"/>
      <c r="TKU441" s="23"/>
      <c r="TKV441" s="23"/>
      <c r="TKW441" s="23"/>
      <c r="TKX441" s="23"/>
      <c r="TKY441" s="23"/>
      <c r="TKZ441" s="23"/>
      <c r="TLA441" s="23"/>
      <c r="TLB441" s="23"/>
      <c r="TLC441" s="23"/>
      <c r="TLD441" s="23"/>
      <c r="TLE441" s="23"/>
      <c r="TLF441" s="23"/>
      <c r="TLG441" s="23"/>
      <c r="TLH441" s="23"/>
      <c r="TLI441" s="23"/>
      <c r="TLJ441" s="23"/>
      <c r="TLK441" s="23"/>
      <c r="TLL441" s="23"/>
      <c r="TLM441" s="23"/>
      <c r="TLN441" s="23"/>
      <c r="TLO441" s="23"/>
      <c r="TLP441" s="23"/>
      <c r="TLQ441" s="23"/>
      <c r="TLR441" s="23"/>
      <c r="TLS441" s="23"/>
      <c r="TLT441" s="23"/>
      <c r="TLU441" s="23"/>
      <c r="TLV441" s="23"/>
      <c r="TLW441" s="23"/>
      <c r="TLX441" s="23"/>
      <c r="TLY441" s="23"/>
      <c r="TLZ441" s="23"/>
      <c r="TMA441" s="23"/>
      <c r="TMB441" s="23"/>
      <c r="TMC441" s="23"/>
      <c r="TMD441" s="23"/>
      <c r="TME441" s="23"/>
      <c r="TMF441" s="23"/>
      <c r="TMG441" s="23"/>
      <c r="TMH441" s="23"/>
      <c r="TMI441" s="23"/>
      <c r="TMJ441" s="23"/>
      <c r="TMK441" s="23"/>
      <c r="TML441" s="23"/>
      <c r="TMM441" s="23"/>
      <c r="TMN441" s="23"/>
      <c r="TMO441" s="23"/>
      <c r="TMP441" s="23"/>
      <c r="TMQ441" s="23"/>
      <c r="TMR441" s="23"/>
      <c r="TMS441" s="23"/>
      <c r="TMT441" s="23"/>
      <c r="TMU441" s="23"/>
      <c r="TMV441" s="23"/>
      <c r="TMW441" s="23"/>
      <c r="TMX441" s="23"/>
      <c r="TMY441" s="23"/>
      <c r="TMZ441" s="23"/>
      <c r="TNA441" s="23"/>
      <c r="TNB441" s="23"/>
      <c r="TNC441" s="23"/>
      <c r="TND441" s="23"/>
      <c r="TNE441" s="23"/>
      <c r="TNF441" s="23"/>
      <c r="TNG441" s="23"/>
      <c r="TNH441" s="23"/>
      <c r="TNI441" s="23"/>
      <c r="TNJ441" s="23"/>
      <c r="TNK441" s="23"/>
      <c r="TNL441" s="23"/>
      <c r="TNM441" s="23"/>
      <c r="TNN441" s="23"/>
      <c r="TNO441" s="23"/>
      <c r="TNP441" s="23"/>
      <c r="TNQ441" s="23"/>
      <c r="TNR441" s="23"/>
      <c r="TNS441" s="23"/>
      <c r="TNT441" s="23"/>
      <c r="TNU441" s="23"/>
      <c r="TNV441" s="23"/>
      <c r="TNW441" s="23"/>
      <c r="TNX441" s="23"/>
      <c r="TNY441" s="23"/>
      <c r="TNZ441" s="23"/>
      <c r="TOA441" s="23"/>
      <c r="TOB441" s="23"/>
      <c r="TOC441" s="23"/>
      <c r="TOD441" s="23"/>
      <c r="TOE441" s="23"/>
      <c r="TOF441" s="23"/>
      <c r="TOG441" s="23"/>
      <c r="TOH441" s="23"/>
      <c r="TOI441" s="23"/>
      <c r="TOJ441" s="23"/>
      <c r="TOK441" s="23"/>
      <c r="TOL441" s="23"/>
      <c r="TOM441" s="23"/>
      <c r="TON441" s="23"/>
      <c r="TOO441" s="23"/>
      <c r="TOP441" s="23"/>
      <c r="TOQ441" s="23"/>
      <c r="TOR441" s="23"/>
      <c r="TOS441" s="23"/>
      <c r="TOT441" s="23"/>
      <c r="TOU441" s="23"/>
      <c r="TOV441" s="23"/>
      <c r="TOW441" s="23"/>
      <c r="TOX441" s="23"/>
      <c r="TOY441" s="23"/>
      <c r="TOZ441" s="23"/>
      <c r="TPA441" s="23"/>
      <c r="TPB441" s="23"/>
      <c r="TPC441" s="23"/>
      <c r="TPD441" s="23"/>
      <c r="TPE441" s="23"/>
      <c r="TPF441" s="23"/>
      <c r="TPG441" s="23"/>
      <c r="TPH441" s="23"/>
      <c r="TPI441" s="23"/>
      <c r="TPJ441" s="23"/>
      <c r="TPK441" s="23"/>
      <c r="TPL441" s="23"/>
      <c r="TPM441" s="23"/>
      <c r="TPN441" s="23"/>
      <c r="TPO441" s="23"/>
      <c r="TPP441" s="23"/>
      <c r="TPQ441" s="23"/>
      <c r="TPR441" s="23"/>
      <c r="TPS441" s="23"/>
      <c r="TPT441" s="23"/>
      <c r="TPU441" s="23"/>
      <c r="TPV441" s="23"/>
      <c r="TPW441" s="23"/>
      <c r="TPX441" s="23"/>
      <c r="TPY441" s="23"/>
      <c r="TPZ441" s="23"/>
      <c r="TQA441" s="23"/>
      <c r="TQB441" s="23"/>
      <c r="TQC441" s="23"/>
      <c r="TQD441" s="23"/>
      <c r="TQE441" s="23"/>
      <c r="TQF441" s="23"/>
      <c r="TQG441" s="23"/>
      <c r="TQH441" s="23"/>
      <c r="TQI441" s="23"/>
      <c r="TQJ441" s="23"/>
      <c r="TQK441" s="23"/>
      <c r="TQL441" s="23"/>
      <c r="TQM441" s="23"/>
      <c r="TQN441" s="23"/>
      <c r="TQO441" s="23"/>
      <c r="TQP441" s="23"/>
      <c r="TQQ441" s="23"/>
      <c r="TQR441" s="23"/>
      <c r="TQS441" s="23"/>
      <c r="TQT441" s="23"/>
      <c r="TQU441" s="23"/>
      <c r="TQV441" s="23"/>
      <c r="TQW441" s="23"/>
      <c r="TQX441" s="23"/>
      <c r="TQY441" s="23"/>
      <c r="TQZ441" s="23"/>
      <c r="TRA441" s="23"/>
      <c r="TRB441" s="23"/>
      <c r="TRC441" s="23"/>
      <c r="TRD441" s="23"/>
      <c r="TRE441" s="23"/>
      <c r="TRF441" s="23"/>
      <c r="TRG441" s="23"/>
      <c r="TRH441" s="23"/>
      <c r="TRI441" s="23"/>
      <c r="TRJ441" s="23"/>
      <c r="TRK441" s="23"/>
      <c r="TRL441" s="23"/>
      <c r="TRM441" s="23"/>
      <c r="TRN441" s="23"/>
      <c r="TRO441" s="23"/>
      <c r="TRP441" s="23"/>
      <c r="TRQ441" s="23"/>
      <c r="TRR441" s="23"/>
      <c r="TRS441" s="23"/>
      <c r="TRT441" s="23"/>
      <c r="TRU441" s="23"/>
      <c r="TRV441" s="23"/>
      <c r="TRW441" s="23"/>
      <c r="TRX441" s="23"/>
      <c r="TRY441" s="23"/>
      <c r="TRZ441" s="23"/>
      <c r="TSA441" s="23"/>
      <c r="TSB441" s="23"/>
      <c r="TSC441" s="23"/>
      <c r="TSD441" s="23"/>
      <c r="TSE441" s="23"/>
      <c r="TSF441" s="23"/>
      <c r="TSG441" s="23"/>
      <c r="TSH441" s="23"/>
      <c r="TSI441" s="23"/>
      <c r="TSJ441" s="23"/>
      <c r="TSK441" s="23"/>
      <c r="TSL441" s="23"/>
      <c r="TSM441" s="23"/>
      <c r="TSN441" s="23"/>
      <c r="TSO441" s="23"/>
      <c r="TSP441" s="23"/>
      <c r="TSQ441" s="23"/>
      <c r="TSR441" s="23"/>
      <c r="TSS441" s="23"/>
      <c r="TST441" s="23"/>
      <c r="TSU441" s="23"/>
      <c r="TSV441" s="23"/>
      <c r="TSW441" s="23"/>
      <c r="TSX441" s="23"/>
      <c r="TSY441" s="23"/>
      <c r="TSZ441" s="23"/>
      <c r="TTA441" s="23"/>
      <c r="TTB441" s="23"/>
      <c r="TTC441" s="23"/>
      <c r="TTD441" s="23"/>
      <c r="TTE441" s="23"/>
      <c r="TTF441" s="23"/>
      <c r="TTG441" s="23"/>
      <c r="TTH441" s="23"/>
      <c r="TTI441" s="23"/>
      <c r="TTJ441" s="23"/>
      <c r="TTK441" s="23"/>
      <c r="TTL441" s="23"/>
      <c r="TTM441" s="23"/>
      <c r="TTN441" s="23"/>
      <c r="TTO441" s="23"/>
      <c r="TTP441" s="23"/>
      <c r="TTQ441" s="23"/>
      <c r="TTR441" s="23"/>
      <c r="TTS441" s="23"/>
      <c r="TTT441" s="23"/>
      <c r="TTU441" s="23"/>
      <c r="TTV441" s="23"/>
      <c r="TTW441" s="23"/>
      <c r="TTX441" s="23"/>
      <c r="TTY441" s="23"/>
      <c r="TTZ441" s="23"/>
      <c r="TUA441" s="23"/>
      <c r="TUB441" s="23"/>
      <c r="TUC441" s="23"/>
      <c r="TUD441" s="23"/>
      <c r="TUE441" s="23"/>
      <c r="TUF441" s="23"/>
      <c r="TUG441" s="23"/>
      <c r="TUH441" s="23"/>
      <c r="TUI441" s="23"/>
      <c r="TUJ441" s="23"/>
      <c r="TUK441" s="23"/>
      <c r="TUL441" s="23"/>
      <c r="TUM441" s="23"/>
      <c r="TUN441" s="23"/>
      <c r="TUO441" s="23"/>
      <c r="TUP441" s="23"/>
      <c r="TUQ441" s="23"/>
      <c r="TUR441" s="23"/>
      <c r="TUS441" s="23"/>
      <c r="TUT441" s="23"/>
      <c r="TUU441" s="23"/>
      <c r="TUV441" s="23"/>
      <c r="TUW441" s="23"/>
      <c r="TUX441" s="23"/>
      <c r="TUY441" s="23"/>
      <c r="TUZ441" s="23"/>
      <c r="TVA441" s="23"/>
      <c r="TVB441" s="23"/>
      <c r="TVC441" s="23"/>
      <c r="TVD441" s="23"/>
      <c r="TVE441" s="23"/>
      <c r="TVF441" s="23"/>
      <c r="TVG441" s="23"/>
      <c r="TVH441" s="23"/>
      <c r="TVI441" s="23"/>
      <c r="TVJ441" s="23"/>
      <c r="TVK441" s="23"/>
      <c r="TVL441" s="23"/>
      <c r="TVM441" s="23"/>
      <c r="TVN441" s="23"/>
      <c r="TVO441" s="23"/>
      <c r="TVP441" s="23"/>
      <c r="TVQ441" s="23"/>
      <c r="TVR441" s="23"/>
      <c r="TVS441" s="23"/>
      <c r="TVT441" s="23"/>
      <c r="TVU441" s="23"/>
      <c r="TVV441" s="23"/>
      <c r="TVW441" s="23"/>
      <c r="TVX441" s="23"/>
      <c r="TVY441" s="23"/>
      <c r="TVZ441" s="23"/>
      <c r="TWA441" s="23"/>
      <c r="TWB441" s="23"/>
      <c r="TWC441" s="23"/>
      <c r="TWD441" s="23"/>
      <c r="TWE441" s="23"/>
      <c r="TWF441" s="23"/>
      <c r="TWG441" s="23"/>
      <c r="TWH441" s="23"/>
      <c r="TWI441" s="23"/>
      <c r="TWJ441" s="23"/>
      <c r="TWK441" s="23"/>
      <c r="TWL441" s="23"/>
      <c r="TWM441" s="23"/>
      <c r="TWN441" s="23"/>
      <c r="TWO441" s="23"/>
      <c r="TWP441" s="23"/>
      <c r="TWQ441" s="23"/>
      <c r="TWR441" s="23"/>
      <c r="TWS441" s="23"/>
      <c r="TWT441" s="23"/>
      <c r="TWU441" s="23"/>
      <c r="TWV441" s="23"/>
      <c r="TWW441" s="23"/>
      <c r="TWX441" s="23"/>
      <c r="TWY441" s="23"/>
      <c r="TWZ441" s="23"/>
      <c r="TXA441" s="23"/>
      <c r="TXB441" s="23"/>
      <c r="TXC441" s="23"/>
      <c r="TXD441" s="23"/>
      <c r="TXE441" s="23"/>
      <c r="TXF441" s="23"/>
      <c r="TXG441" s="23"/>
      <c r="TXH441" s="23"/>
      <c r="TXI441" s="23"/>
      <c r="TXJ441" s="23"/>
      <c r="TXK441" s="23"/>
      <c r="TXL441" s="23"/>
      <c r="TXM441" s="23"/>
      <c r="TXN441" s="23"/>
      <c r="TXO441" s="23"/>
      <c r="TXP441" s="23"/>
      <c r="TXQ441" s="23"/>
      <c r="TXR441" s="23"/>
      <c r="TXS441" s="23"/>
      <c r="TXT441" s="23"/>
      <c r="TXU441" s="23"/>
      <c r="TXV441" s="23"/>
      <c r="TXW441" s="23"/>
      <c r="TXX441" s="23"/>
      <c r="TXY441" s="23"/>
      <c r="TXZ441" s="23"/>
      <c r="TYA441" s="23"/>
      <c r="TYB441" s="23"/>
      <c r="TYC441" s="23"/>
      <c r="TYD441" s="23"/>
      <c r="TYE441" s="23"/>
      <c r="TYF441" s="23"/>
      <c r="TYG441" s="23"/>
      <c r="TYH441" s="23"/>
      <c r="TYI441" s="23"/>
      <c r="TYJ441" s="23"/>
      <c r="TYK441" s="23"/>
      <c r="TYL441" s="23"/>
      <c r="TYM441" s="23"/>
      <c r="TYN441" s="23"/>
      <c r="TYO441" s="23"/>
      <c r="TYP441" s="23"/>
      <c r="TYQ441" s="23"/>
      <c r="TYR441" s="23"/>
      <c r="TYS441" s="23"/>
      <c r="TYT441" s="23"/>
      <c r="TYU441" s="23"/>
      <c r="TYV441" s="23"/>
      <c r="TYW441" s="23"/>
      <c r="TYX441" s="23"/>
      <c r="TYY441" s="23"/>
      <c r="TYZ441" s="23"/>
      <c r="TZA441" s="23"/>
      <c r="TZB441" s="23"/>
      <c r="TZC441" s="23"/>
      <c r="TZD441" s="23"/>
      <c r="TZE441" s="23"/>
      <c r="TZF441" s="23"/>
      <c r="TZG441" s="23"/>
      <c r="TZH441" s="23"/>
      <c r="TZI441" s="23"/>
      <c r="TZJ441" s="23"/>
      <c r="TZK441" s="23"/>
      <c r="TZL441" s="23"/>
      <c r="TZM441" s="23"/>
      <c r="TZN441" s="23"/>
      <c r="TZO441" s="23"/>
      <c r="TZP441" s="23"/>
      <c r="TZQ441" s="23"/>
      <c r="TZR441" s="23"/>
      <c r="TZS441" s="23"/>
      <c r="TZT441" s="23"/>
      <c r="TZU441" s="23"/>
      <c r="TZV441" s="23"/>
      <c r="TZW441" s="23"/>
      <c r="TZX441" s="23"/>
      <c r="TZY441" s="23"/>
      <c r="TZZ441" s="23"/>
      <c r="UAA441" s="23"/>
      <c r="UAB441" s="23"/>
      <c r="UAC441" s="23"/>
      <c r="UAD441" s="23"/>
      <c r="UAE441" s="23"/>
      <c r="UAF441" s="23"/>
      <c r="UAG441" s="23"/>
      <c r="UAH441" s="23"/>
      <c r="UAI441" s="23"/>
      <c r="UAJ441" s="23"/>
      <c r="UAK441" s="23"/>
      <c r="UAL441" s="23"/>
      <c r="UAM441" s="23"/>
      <c r="UAN441" s="23"/>
      <c r="UAO441" s="23"/>
      <c r="UAP441" s="23"/>
      <c r="UAQ441" s="23"/>
      <c r="UAR441" s="23"/>
      <c r="UAS441" s="23"/>
      <c r="UAT441" s="23"/>
      <c r="UAU441" s="23"/>
      <c r="UAV441" s="23"/>
      <c r="UAW441" s="23"/>
      <c r="UAX441" s="23"/>
      <c r="UAY441" s="23"/>
      <c r="UAZ441" s="23"/>
      <c r="UBA441" s="23"/>
      <c r="UBB441" s="23"/>
      <c r="UBC441" s="23"/>
      <c r="UBD441" s="23"/>
      <c r="UBE441" s="23"/>
      <c r="UBF441" s="23"/>
      <c r="UBG441" s="23"/>
      <c r="UBH441" s="23"/>
      <c r="UBI441" s="23"/>
      <c r="UBJ441" s="23"/>
      <c r="UBK441" s="23"/>
      <c r="UBL441" s="23"/>
      <c r="UBM441" s="23"/>
      <c r="UBN441" s="23"/>
      <c r="UBO441" s="23"/>
      <c r="UBP441" s="23"/>
      <c r="UBQ441" s="23"/>
      <c r="UBR441" s="23"/>
      <c r="UBS441" s="23"/>
      <c r="UBT441" s="23"/>
      <c r="UBU441" s="23"/>
      <c r="UBV441" s="23"/>
      <c r="UBW441" s="23"/>
      <c r="UBX441" s="23"/>
      <c r="UBY441" s="23"/>
      <c r="UBZ441" s="23"/>
      <c r="UCA441" s="23"/>
      <c r="UCB441" s="23"/>
      <c r="UCC441" s="23"/>
      <c r="UCD441" s="23"/>
      <c r="UCE441" s="23"/>
      <c r="UCF441" s="23"/>
      <c r="UCG441" s="23"/>
      <c r="UCH441" s="23"/>
      <c r="UCI441" s="23"/>
      <c r="UCJ441" s="23"/>
      <c r="UCK441" s="23"/>
      <c r="UCL441" s="23"/>
      <c r="UCM441" s="23"/>
      <c r="UCN441" s="23"/>
      <c r="UCO441" s="23"/>
      <c r="UCP441" s="23"/>
      <c r="UCQ441" s="23"/>
      <c r="UCR441" s="23"/>
      <c r="UCS441" s="23"/>
      <c r="UCT441" s="23"/>
      <c r="UCU441" s="23"/>
      <c r="UCV441" s="23"/>
      <c r="UCW441" s="23"/>
      <c r="UCX441" s="23"/>
      <c r="UCY441" s="23"/>
      <c r="UCZ441" s="23"/>
      <c r="UDA441" s="23"/>
      <c r="UDB441" s="23"/>
      <c r="UDC441" s="23"/>
      <c r="UDD441" s="23"/>
      <c r="UDE441" s="23"/>
      <c r="UDF441" s="23"/>
      <c r="UDG441" s="23"/>
      <c r="UDH441" s="23"/>
      <c r="UDI441" s="23"/>
      <c r="UDJ441" s="23"/>
      <c r="UDK441" s="23"/>
      <c r="UDL441" s="23"/>
      <c r="UDM441" s="23"/>
      <c r="UDN441" s="23"/>
      <c r="UDO441" s="23"/>
      <c r="UDP441" s="23"/>
      <c r="UDQ441" s="23"/>
      <c r="UDR441" s="23"/>
      <c r="UDS441" s="23"/>
      <c r="UDT441" s="23"/>
      <c r="UDU441" s="23"/>
      <c r="UDV441" s="23"/>
      <c r="UDW441" s="23"/>
      <c r="UDX441" s="23"/>
      <c r="UDY441" s="23"/>
      <c r="UDZ441" s="23"/>
      <c r="UEA441" s="23"/>
      <c r="UEB441" s="23"/>
      <c r="UEC441" s="23"/>
      <c r="UED441" s="23"/>
      <c r="UEE441" s="23"/>
      <c r="UEF441" s="23"/>
      <c r="UEG441" s="23"/>
      <c r="UEH441" s="23"/>
      <c r="UEI441" s="23"/>
      <c r="UEJ441" s="23"/>
      <c r="UEK441" s="23"/>
      <c r="UEL441" s="23"/>
      <c r="UEM441" s="23"/>
      <c r="UEN441" s="23"/>
      <c r="UEO441" s="23"/>
      <c r="UEP441" s="23"/>
      <c r="UEQ441" s="23"/>
      <c r="UER441" s="23"/>
      <c r="UES441" s="23"/>
      <c r="UET441" s="23"/>
      <c r="UEU441" s="23"/>
      <c r="UEV441" s="23"/>
      <c r="UEW441" s="23"/>
      <c r="UEX441" s="23"/>
      <c r="UEY441" s="23"/>
      <c r="UEZ441" s="23"/>
      <c r="UFA441" s="23"/>
      <c r="UFB441" s="23"/>
      <c r="UFC441" s="23"/>
      <c r="UFD441" s="23"/>
      <c r="UFE441" s="23"/>
      <c r="UFF441" s="23"/>
      <c r="UFG441" s="23"/>
      <c r="UFH441" s="23"/>
      <c r="UFI441" s="23"/>
      <c r="UFJ441" s="23"/>
      <c r="UFK441" s="23"/>
      <c r="UFL441" s="23"/>
      <c r="UFM441" s="23"/>
      <c r="UFN441" s="23"/>
      <c r="UFO441" s="23"/>
      <c r="UFP441" s="23"/>
      <c r="UFQ441" s="23"/>
      <c r="UFR441" s="23"/>
      <c r="UFS441" s="23"/>
      <c r="UFT441" s="23"/>
      <c r="UFU441" s="23"/>
      <c r="UFV441" s="23"/>
      <c r="UFW441" s="23"/>
      <c r="UFX441" s="23"/>
      <c r="UFY441" s="23"/>
      <c r="UFZ441" s="23"/>
      <c r="UGA441" s="23"/>
      <c r="UGB441" s="23"/>
      <c r="UGC441" s="23"/>
      <c r="UGD441" s="23"/>
      <c r="UGE441" s="23"/>
      <c r="UGF441" s="23"/>
      <c r="UGG441" s="23"/>
      <c r="UGH441" s="23"/>
      <c r="UGI441" s="23"/>
      <c r="UGJ441" s="23"/>
      <c r="UGK441" s="23"/>
      <c r="UGL441" s="23"/>
      <c r="UGM441" s="23"/>
      <c r="UGN441" s="23"/>
      <c r="UGO441" s="23"/>
      <c r="UGP441" s="23"/>
      <c r="UGQ441" s="23"/>
      <c r="UGR441" s="23"/>
      <c r="UGS441" s="23"/>
      <c r="UGT441" s="23"/>
      <c r="UGU441" s="23"/>
      <c r="UGV441" s="23"/>
      <c r="UGW441" s="23"/>
      <c r="UGX441" s="23"/>
      <c r="UGY441" s="23"/>
      <c r="UGZ441" s="23"/>
      <c r="UHA441" s="23"/>
      <c r="UHB441" s="23"/>
      <c r="UHC441" s="23"/>
      <c r="UHD441" s="23"/>
      <c r="UHE441" s="23"/>
      <c r="UHF441" s="23"/>
      <c r="UHG441" s="23"/>
      <c r="UHH441" s="23"/>
      <c r="UHI441" s="23"/>
      <c r="UHJ441" s="23"/>
      <c r="UHK441" s="23"/>
      <c r="UHL441" s="23"/>
      <c r="UHM441" s="23"/>
      <c r="UHN441" s="23"/>
      <c r="UHO441" s="23"/>
      <c r="UHP441" s="23"/>
      <c r="UHQ441" s="23"/>
      <c r="UHR441" s="23"/>
      <c r="UHS441" s="23"/>
      <c r="UHT441" s="23"/>
      <c r="UHU441" s="23"/>
      <c r="UHV441" s="23"/>
      <c r="UHW441" s="23"/>
      <c r="UHX441" s="23"/>
      <c r="UHY441" s="23"/>
      <c r="UHZ441" s="23"/>
      <c r="UIA441" s="23"/>
      <c r="UIB441" s="23"/>
      <c r="UIC441" s="23"/>
      <c r="UID441" s="23"/>
      <c r="UIE441" s="23"/>
      <c r="UIF441" s="23"/>
      <c r="UIG441" s="23"/>
      <c r="UIH441" s="23"/>
      <c r="UII441" s="23"/>
      <c r="UIJ441" s="23"/>
      <c r="UIK441" s="23"/>
      <c r="UIL441" s="23"/>
      <c r="UIM441" s="23"/>
      <c r="UIN441" s="23"/>
      <c r="UIO441" s="23"/>
      <c r="UIP441" s="23"/>
      <c r="UIQ441" s="23"/>
      <c r="UIR441" s="23"/>
      <c r="UIS441" s="23"/>
      <c r="UIT441" s="23"/>
      <c r="UIU441" s="23"/>
      <c r="UIV441" s="23"/>
      <c r="UIW441" s="23"/>
      <c r="UIX441" s="23"/>
      <c r="UIY441" s="23"/>
      <c r="UIZ441" s="23"/>
      <c r="UJA441" s="23"/>
      <c r="UJB441" s="23"/>
      <c r="UJC441" s="23"/>
      <c r="UJD441" s="23"/>
      <c r="UJE441" s="23"/>
      <c r="UJF441" s="23"/>
      <c r="UJG441" s="23"/>
      <c r="UJH441" s="23"/>
      <c r="UJI441" s="23"/>
      <c r="UJJ441" s="23"/>
      <c r="UJK441" s="23"/>
      <c r="UJL441" s="23"/>
      <c r="UJM441" s="23"/>
      <c r="UJN441" s="23"/>
      <c r="UJO441" s="23"/>
      <c r="UJP441" s="23"/>
      <c r="UJQ441" s="23"/>
      <c r="UJR441" s="23"/>
      <c r="UJS441" s="23"/>
      <c r="UJT441" s="23"/>
      <c r="UJU441" s="23"/>
      <c r="UJV441" s="23"/>
      <c r="UJW441" s="23"/>
      <c r="UJX441" s="23"/>
      <c r="UJY441" s="23"/>
      <c r="UJZ441" s="23"/>
      <c r="UKA441" s="23"/>
      <c r="UKB441" s="23"/>
      <c r="UKC441" s="23"/>
      <c r="UKD441" s="23"/>
      <c r="UKE441" s="23"/>
      <c r="UKF441" s="23"/>
      <c r="UKG441" s="23"/>
      <c r="UKH441" s="23"/>
      <c r="UKI441" s="23"/>
      <c r="UKJ441" s="23"/>
      <c r="UKK441" s="23"/>
      <c r="UKL441" s="23"/>
      <c r="UKM441" s="23"/>
      <c r="UKN441" s="23"/>
      <c r="UKO441" s="23"/>
      <c r="UKP441" s="23"/>
      <c r="UKQ441" s="23"/>
      <c r="UKR441" s="23"/>
      <c r="UKS441" s="23"/>
      <c r="UKT441" s="23"/>
      <c r="UKU441" s="23"/>
      <c r="UKV441" s="23"/>
      <c r="UKW441" s="23"/>
      <c r="UKX441" s="23"/>
      <c r="UKY441" s="23"/>
      <c r="UKZ441" s="23"/>
      <c r="ULA441" s="23"/>
      <c r="ULB441" s="23"/>
      <c r="ULC441" s="23"/>
      <c r="ULD441" s="23"/>
      <c r="ULE441" s="23"/>
      <c r="ULF441" s="23"/>
      <c r="ULG441" s="23"/>
      <c r="ULH441" s="23"/>
      <c r="ULI441" s="23"/>
      <c r="ULJ441" s="23"/>
      <c r="ULK441" s="23"/>
      <c r="ULL441" s="23"/>
      <c r="ULM441" s="23"/>
      <c r="ULN441" s="23"/>
      <c r="ULO441" s="23"/>
      <c r="ULP441" s="23"/>
      <c r="ULQ441" s="23"/>
      <c r="ULR441" s="23"/>
      <c r="ULS441" s="23"/>
      <c r="ULT441" s="23"/>
      <c r="ULU441" s="23"/>
      <c r="ULV441" s="23"/>
      <c r="ULW441" s="23"/>
      <c r="ULX441" s="23"/>
      <c r="ULY441" s="23"/>
      <c r="ULZ441" s="23"/>
      <c r="UMA441" s="23"/>
      <c r="UMB441" s="23"/>
      <c r="UMC441" s="23"/>
      <c r="UMD441" s="23"/>
      <c r="UME441" s="23"/>
      <c r="UMF441" s="23"/>
      <c r="UMG441" s="23"/>
      <c r="UMH441" s="23"/>
      <c r="UMI441" s="23"/>
      <c r="UMJ441" s="23"/>
      <c r="UMK441" s="23"/>
      <c r="UML441" s="23"/>
      <c r="UMM441" s="23"/>
      <c r="UMN441" s="23"/>
      <c r="UMO441" s="23"/>
      <c r="UMP441" s="23"/>
      <c r="UMQ441" s="23"/>
      <c r="UMR441" s="23"/>
      <c r="UMS441" s="23"/>
      <c r="UMT441" s="23"/>
      <c r="UMU441" s="23"/>
      <c r="UMV441" s="23"/>
      <c r="UMW441" s="23"/>
      <c r="UMX441" s="23"/>
      <c r="UMY441" s="23"/>
      <c r="UMZ441" s="23"/>
      <c r="UNA441" s="23"/>
      <c r="UNB441" s="23"/>
      <c r="UNC441" s="23"/>
      <c r="UND441" s="23"/>
      <c r="UNE441" s="23"/>
      <c r="UNF441" s="23"/>
      <c r="UNG441" s="23"/>
      <c r="UNH441" s="23"/>
      <c r="UNI441" s="23"/>
      <c r="UNJ441" s="23"/>
      <c r="UNK441" s="23"/>
      <c r="UNL441" s="23"/>
      <c r="UNM441" s="23"/>
      <c r="UNN441" s="23"/>
      <c r="UNO441" s="23"/>
      <c r="UNP441" s="23"/>
      <c r="UNQ441" s="23"/>
      <c r="UNR441" s="23"/>
      <c r="UNS441" s="23"/>
      <c r="UNT441" s="23"/>
      <c r="UNU441" s="23"/>
      <c r="UNV441" s="23"/>
      <c r="UNW441" s="23"/>
      <c r="UNX441" s="23"/>
      <c r="UNY441" s="23"/>
      <c r="UNZ441" s="23"/>
      <c r="UOA441" s="23"/>
      <c r="UOB441" s="23"/>
      <c r="UOC441" s="23"/>
      <c r="UOD441" s="23"/>
      <c r="UOE441" s="23"/>
      <c r="UOF441" s="23"/>
      <c r="UOG441" s="23"/>
      <c r="UOH441" s="23"/>
      <c r="UOI441" s="23"/>
      <c r="UOJ441" s="23"/>
      <c r="UOK441" s="23"/>
      <c r="UOL441" s="23"/>
      <c r="UOM441" s="23"/>
      <c r="UON441" s="23"/>
      <c r="UOO441" s="23"/>
      <c r="UOP441" s="23"/>
      <c r="UOQ441" s="23"/>
      <c r="UOR441" s="23"/>
      <c r="UOS441" s="23"/>
      <c r="UOT441" s="23"/>
      <c r="UOU441" s="23"/>
      <c r="UOV441" s="23"/>
      <c r="UOW441" s="23"/>
      <c r="UOX441" s="23"/>
      <c r="UOY441" s="23"/>
      <c r="UOZ441" s="23"/>
      <c r="UPA441" s="23"/>
      <c r="UPB441" s="23"/>
      <c r="UPC441" s="23"/>
      <c r="UPD441" s="23"/>
      <c r="UPE441" s="23"/>
      <c r="UPF441" s="23"/>
      <c r="UPG441" s="23"/>
      <c r="UPH441" s="23"/>
      <c r="UPI441" s="23"/>
      <c r="UPJ441" s="23"/>
      <c r="UPK441" s="23"/>
      <c r="UPL441" s="23"/>
      <c r="UPM441" s="23"/>
      <c r="UPN441" s="23"/>
      <c r="UPO441" s="23"/>
      <c r="UPP441" s="23"/>
      <c r="UPQ441" s="23"/>
      <c r="UPR441" s="23"/>
      <c r="UPS441" s="23"/>
      <c r="UPT441" s="23"/>
      <c r="UPU441" s="23"/>
      <c r="UPV441" s="23"/>
      <c r="UPW441" s="23"/>
      <c r="UPX441" s="23"/>
      <c r="UPY441" s="23"/>
      <c r="UPZ441" s="23"/>
      <c r="UQA441" s="23"/>
      <c r="UQB441" s="23"/>
      <c r="UQC441" s="23"/>
      <c r="UQD441" s="23"/>
      <c r="UQE441" s="23"/>
      <c r="UQF441" s="23"/>
      <c r="UQG441" s="23"/>
      <c r="UQH441" s="23"/>
      <c r="UQI441" s="23"/>
      <c r="UQJ441" s="23"/>
      <c r="UQK441" s="23"/>
      <c r="UQL441" s="23"/>
      <c r="UQM441" s="23"/>
      <c r="UQN441" s="23"/>
      <c r="UQO441" s="23"/>
      <c r="UQP441" s="23"/>
      <c r="UQQ441" s="23"/>
      <c r="UQR441" s="23"/>
      <c r="UQS441" s="23"/>
      <c r="UQT441" s="23"/>
      <c r="UQU441" s="23"/>
      <c r="UQV441" s="23"/>
      <c r="UQW441" s="23"/>
      <c r="UQX441" s="23"/>
      <c r="UQY441" s="23"/>
      <c r="UQZ441" s="23"/>
      <c r="URA441" s="23"/>
      <c r="URB441" s="23"/>
      <c r="URC441" s="23"/>
      <c r="URD441" s="23"/>
      <c r="URE441" s="23"/>
      <c r="URF441" s="23"/>
      <c r="URG441" s="23"/>
      <c r="URH441" s="23"/>
      <c r="URI441" s="23"/>
      <c r="URJ441" s="23"/>
      <c r="URK441" s="23"/>
      <c r="URL441" s="23"/>
      <c r="URM441" s="23"/>
      <c r="URN441" s="23"/>
      <c r="URO441" s="23"/>
      <c r="URP441" s="23"/>
      <c r="URQ441" s="23"/>
      <c r="URR441" s="23"/>
      <c r="URS441" s="23"/>
      <c r="URT441" s="23"/>
      <c r="URU441" s="23"/>
      <c r="URV441" s="23"/>
      <c r="URW441" s="23"/>
      <c r="URX441" s="23"/>
      <c r="URY441" s="23"/>
      <c r="URZ441" s="23"/>
      <c r="USA441" s="23"/>
      <c r="USB441" s="23"/>
      <c r="USC441" s="23"/>
      <c r="USD441" s="23"/>
      <c r="USE441" s="23"/>
      <c r="USF441" s="23"/>
      <c r="USG441" s="23"/>
      <c r="USH441" s="23"/>
      <c r="USI441" s="23"/>
      <c r="USJ441" s="23"/>
      <c r="USK441" s="23"/>
      <c r="USL441" s="23"/>
      <c r="USM441" s="23"/>
      <c r="USN441" s="23"/>
      <c r="USO441" s="23"/>
      <c r="USP441" s="23"/>
      <c r="USQ441" s="23"/>
      <c r="USR441" s="23"/>
      <c r="USS441" s="23"/>
      <c r="UST441" s="23"/>
      <c r="USU441" s="23"/>
      <c r="USV441" s="23"/>
      <c r="USW441" s="23"/>
      <c r="USX441" s="23"/>
      <c r="USY441" s="23"/>
      <c r="USZ441" s="23"/>
      <c r="UTA441" s="23"/>
      <c r="UTB441" s="23"/>
      <c r="UTC441" s="23"/>
      <c r="UTD441" s="23"/>
      <c r="UTE441" s="23"/>
      <c r="UTF441" s="23"/>
      <c r="UTG441" s="23"/>
      <c r="UTH441" s="23"/>
      <c r="UTI441" s="23"/>
      <c r="UTJ441" s="23"/>
      <c r="UTK441" s="23"/>
      <c r="UTL441" s="23"/>
      <c r="UTM441" s="23"/>
      <c r="UTN441" s="23"/>
      <c r="UTO441" s="23"/>
      <c r="UTP441" s="23"/>
      <c r="UTQ441" s="23"/>
      <c r="UTR441" s="23"/>
      <c r="UTS441" s="23"/>
      <c r="UTT441" s="23"/>
      <c r="UTU441" s="23"/>
      <c r="UTV441" s="23"/>
      <c r="UTW441" s="23"/>
      <c r="UTX441" s="23"/>
      <c r="UTY441" s="23"/>
      <c r="UTZ441" s="23"/>
      <c r="UUA441" s="23"/>
      <c r="UUB441" s="23"/>
      <c r="UUC441" s="23"/>
      <c r="UUD441" s="23"/>
      <c r="UUE441" s="23"/>
      <c r="UUF441" s="23"/>
      <c r="UUG441" s="23"/>
      <c r="UUH441" s="23"/>
      <c r="UUI441" s="23"/>
      <c r="UUJ441" s="23"/>
      <c r="UUK441" s="23"/>
      <c r="UUL441" s="23"/>
      <c r="UUM441" s="23"/>
      <c r="UUN441" s="23"/>
      <c r="UUO441" s="23"/>
      <c r="UUP441" s="23"/>
      <c r="UUQ441" s="23"/>
      <c r="UUR441" s="23"/>
      <c r="UUS441" s="23"/>
      <c r="UUT441" s="23"/>
      <c r="UUU441" s="23"/>
      <c r="UUV441" s="23"/>
      <c r="UUW441" s="23"/>
      <c r="UUX441" s="23"/>
      <c r="UUY441" s="23"/>
      <c r="UUZ441" s="23"/>
      <c r="UVA441" s="23"/>
      <c r="UVB441" s="23"/>
      <c r="UVC441" s="23"/>
      <c r="UVD441" s="23"/>
      <c r="UVE441" s="23"/>
      <c r="UVF441" s="23"/>
      <c r="UVG441" s="23"/>
      <c r="UVH441" s="23"/>
      <c r="UVI441" s="23"/>
      <c r="UVJ441" s="23"/>
      <c r="UVK441" s="23"/>
      <c r="UVL441" s="23"/>
      <c r="UVM441" s="23"/>
      <c r="UVN441" s="23"/>
      <c r="UVO441" s="23"/>
      <c r="UVP441" s="23"/>
      <c r="UVQ441" s="23"/>
      <c r="UVR441" s="23"/>
      <c r="UVS441" s="23"/>
      <c r="UVT441" s="23"/>
      <c r="UVU441" s="23"/>
      <c r="UVV441" s="23"/>
      <c r="UVW441" s="23"/>
      <c r="UVX441" s="23"/>
      <c r="UVY441" s="23"/>
      <c r="UVZ441" s="23"/>
      <c r="UWA441" s="23"/>
      <c r="UWB441" s="23"/>
      <c r="UWC441" s="23"/>
      <c r="UWD441" s="23"/>
      <c r="UWE441" s="23"/>
      <c r="UWF441" s="23"/>
      <c r="UWG441" s="23"/>
      <c r="UWH441" s="23"/>
      <c r="UWI441" s="23"/>
      <c r="UWJ441" s="23"/>
      <c r="UWK441" s="23"/>
      <c r="UWL441" s="23"/>
      <c r="UWM441" s="23"/>
      <c r="UWN441" s="23"/>
      <c r="UWO441" s="23"/>
      <c r="UWP441" s="23"/>
      <c r="UWQ441" s="23"/>
      <c r="UWR441" s="23"/>
      <c r="UWS441" s="23"/>
      <c r="UWT441" s="23"/>
      <c r="UWU441" s="23"/>
      <c r="UWV441" s="23"/>
      <c r="UWW441" s="23"/>
      <c r="UWX441" s="23"/>
      <c r="UWY441" s="23"/>
      <c r="UWZ441" s="23"/>
      <c r="UXA441" s="23"/>
      <c r="UXB441" s="23"/>
      <c r="UXC441" s="23"/>
      <c r="UXD441" s="23"/>
      <c r="UXE441" s="23"/>
      <c r="UXF441" s="23"/>
      <c r="UXG441" s="23"/>
      <c r="UXH441" s="23"/>
      <c r="UXI441" s="23"/>
      <c r="UXJ441" s="23"/>
      <c r="UXK441" s="23"/>
      <c r="UXL441" s="23"/>
      <c r="UXM441" s="23"/>
      <c r="UXN441" s="23"/>
      <c r="UXO441" s="23"/>
      <c r="UXP441" s="23"/>
      <c r="UXQ441" s="23"/>
      <c r="UXR441" s="23"/>
      <c r="UXS441" s="23"/>
      <c r="UXT441" s="23"/>
      <c r="UXU441" s="23"/>
      <c r="UXV441" s="23"/>
      <c r="UXW441" s="23"/>
      <c r="UXX441" s="23"/>
      <c r="UXY441" s="23"/>
      <c r="UXZ441" s="23"/>
      <c r="UYA441" s="23"/>
      <c r="UYB441" s="23"/>
      <c r="UYC441" s="23"/>
      <c r="UYD441" s="23"/>
      <c r="UYE441" s="23"/>
      <c r="UYF441" s="23"/>
      <c r="UYG441" s="23"/>
      <c r="UYH441" s="23"/>
      <c r="UYI441" s="23"/>
      <c r="UYJ441" s="23"/>
      <c r="UYK441" s="23"/>
      <c r="UYL441" s="23"/>
      <c r="UYM441" s="23"/>
      <c r="UYN441" s="23"/>
      <c r="UYO441" s="23"/>
      <c r="UYP441" s="23"/>
      <c r="UYQ441" s="23"/>
      <c r="UYR441" s="23"/>
      <c r="UYS441" s="23"/>
      <c r="UYT441" s="23"/>
      <c r="UYU441" s="23"/>
      <c r="UYV441" s="23"/>
      <c r="UYW441" s="23"/>
      <c r="UYX441" s="23"/>
      <c r="UYY441" s="23"/>
      <c r="UYZ441" s="23"/>
      <c r="UZA441" s="23"/>
      <c r="UZB441" s="23"/>
      <c r="UZC441" s="23"/>
      <c r="UZD441" s="23"/>
      <c r="UZE441" s="23"/>
      <c r="UZF441" s="23"/>
      <c r="UZG441" s="23"/>
      <c r="UZH441" s="23"/>
      <c r="UZI441" s="23"/>
      <c r="UZJ441" s="23"/>
      <c r="UZK441" s="23"/>
      <c r="UZL441" s="23"/>
      <c r="UZM441" s="23"/>
      <c r="UZN441" s="23"/>
      <c r="UZO441" s="23"/>
      <c r="UZP441" s="23"/>
      <c r="UZQ441" s="23"/>
      <c r="UZR441" s="23"/>
      <c r="UZS441" s="23"/>
      <c r="UZT441" s="23"/>
      <c r="UZU441" s="23"/>
      <c r="UZV441" s="23"/>
      <c r="UZW441" s="23"/>
      <c r="UZX441" s="23"/>
      <c r="UZY441" s="23"/>
      <c r="UZZ441" s="23"/>
      <c r="VAA441" s="23"/>
      <c r="VAB441" s="23"/>
      <c r="VAC441" s="23"/>
      <c r="VAD441" s="23"/>
      <c r="VAE441" s="23"/>
      <c r="VAF441" s="23"/>
      <c r="VAG441" s="23"/>
      <c r="VAH441" s="23"/>
      <c r="VAI441" s="23"/>
      <c r="VAJ441" s="23"/>
      <c r="VAK441" s="23"/>
      <c r="VAL441" s="23"/>
      <c r="VAM441" s="23"/>
      <c r="VAN441" s="23"/>
      <c r="VAO441" s="23"/>
      <c r="VAP441" s="23"/>
      <c r="VAQ441" s="23"/>
      <c r="VAR441" s="23"/>
      <c r="VAS441" s="23"/>
      <c r="VAT441" s="23"/>
      <c r="VAU441" s="23"/>
      <c r="VAV441" s="23"/>
      <c r="VAW441" s="23"/>
      <c r="VAX441" s="23"/>
      <c r="VAY441" s="23"/>
      <c r="VAZ441" s="23"/>
      <c r="VBA441" s="23"/>
      <c r="VBB441" s="23"/>
      <c r="VBC441" s="23"/>
      <c r="VBD441" s="23"/>
      <c r="VBE441" s="23"/>
      <c r="VBF441" s="23"/>
      <c r="VBG441" s="23"/>
      <c r="VBH441" s="23"/>
      <c r="VBI441" s="23"/>
      <c r="VBJ441" s="23"/>
      <c r="VBK441" s="23"/>
      <c r="VBL441" s="23"/>
      <c r="VBM441" s="23"/>
      <c r="VBN441" s="23"/>
      <c r="VBO441" s="23"/>
      <c r="VBP441" s="23"/>
      <c r="VBQ441" s="23"/>
      <c r="VBR441" s="23"/>
      <c r="VBS441" s="23"/>
      <c r="VBT441" s="23"/>
      <c r="VBU441" s="23"/>
      <c r="VBV441" s="23"/>
      <c r="VBW441" s="23"/>
      <c r="VBX441" s="23"/>
      <c r="VBY441" s="23"/>
      <c r="VBZ441" s="23"/>
      <c r="VCA441" s="23"/>
      <c r="VCB441" s="23"/>
      <c r="VCC441" s="23"/>
      <c r="VCD441" s="23"/>
      <c r="VCE441" s="23"/>
      <c r="VCF441" s="23"/>
      <c r="VCG441" s="23"/>
      <c r="VCH441" s="23"/>
      <c r="VCI441" s="23"/>
      <c r="VCJ441" s="23"/>
      <c r="VCK441" s="23"/>
      <c r="VCL441" s="23"/>
      <c r="VCM441" s="23"/>
      <c r="VCN441" s="23"/>
      <c r="VCO441" s="23"/>
      <c r="VCP441" s="23"/>
      <c r="VCQ441" s="23"/>
      <c r="VCR441" s="23"/>
      <c r="VCS441" s="23"/>
      <c r="VCT441" s="23"/>
      <c r="VCU441" s="23"/>
      <c r="VCV441" s="23"/>
      <c r="VCW441" s="23"/>
      <c r="VCX441" s="23"/>
      <c r="VCY441" s="23"/>
      <c r="VCZ441" s="23"/>
      <c r="VDA441" s="23"/>
      <c r="VDB441" s="23"/>
      <c r="VDC441" s="23"/>
      <c r="VDD441" s="23"/>
      <c r="VDE441" s="23"/>
      <c r="VDF441" s="23"/>
      <c r="VDG441" s="23"/>
      <c r="VDH441" s="23"/>
      <c r="VDI441" s="23"/>
      <c r="VDJ441" s="23"/>
      <c r="VDK441" s="23"/>
      <c r="VDL441" s="23"/>
      <c r="VDM441" s="23"/>
      <c r="VDN441" s="23"/>
      <c r="VDO441" s="23"/>
      <c r="VDP441" s="23"/>
      <c r="VDQ441" s="23"/>
      <c r="VDR441" s="23"/>
      <c r="VDS441" s="23"/>
      <c r="VDT441" s="23"/>
      <c r="VDU441" s="23"/>
      <c r="VDV441" s="23"/>
      <c r="VDW441" s="23"/>
      <c r="VDX441" s="23"/>
      <c r="VDY441" s="23"/>
      <c r="VDZ441" s="23"/>
      <c r="VEA441" s="23"/>
      <c r="VEB441" s="23"/>
      <c r="VEC441" s="23"/>
      <c r="VED441" s="23"/>
      <c r="VEE441" s="23"/>
      <c r="VEF441" s="23"/>
      <c r="VEG441" s="23"/>
      <c r="VEH441" s="23"/>
      <c r="VEI441" s="23"/>
      <c r="VEJ441" s="23"/>
      <c r="VEK441" s="23"/>
      <c r="VEL441" s="23"/>
      <c r="VEM441" s="23"/>
      <c r="VEN441" s="23"/>
      <c r="VEO441" s="23"/>
      <c r="VEP441" s="23"/>
      <c r="VEQ441" s="23"/>
      <c r="VER441" s="23"/>
      <c r="VES441" s="23"/>
      <c r="VET441" s="23"/>
      <c r="VEU441" s="23"/>
      <c r="VEV441" s="23"/>
      <c r="VEW441" s="23"/>
      <c r="VEX441" s="23"/>
      <c r="VEY441" s="23"/>
      <c r="VEZ441" s="23"/>
      <c r="VFA441" s="23"/>
      <c r="VFB441" s="23"/>
      <c r="VFC441" s="23"/>
      <c r="VFD441" s="23"/>
      <c r="VFE441" s="23"/>
      <c r="VFF441" s="23"/>
      <c r="VFG441" s="23"/>
      <c r="VFH441" s="23"/>
      <c r="VFI441" s="23"/>
      <c r="VFJ441" s="23"/>
      <c r="VFK441" s="23"/>
      <c r="VFL441" s="23"/>
      <c r="VFM441" s="23"/>
      <c r="VFN441" s="23"/>
      <c r="VFO441" s="23"/>
      <c r="VFP441" s="23"/>
      <c r="VFQ441" s="23"/>
      <c r="VFR441" s="23"/>
      <c r="VFS441" s="23"/>
      <c r="VFT441" s="23"/>
      <c r="VFU441" s="23"/>
      <c r="VFV441" s="23"/>
      <c r="VFW441" s="23"/>
      <c r="VFX441" s="23"/>
      <c r="VFY441" s="23"/>
      <c r="VFZ441" s="23"/>
      <c r="VGA441" s="23"/>
      <c r="VGB441" s="23"/>
      <c r="VGC441" s="23"/>
      <c r="VGD441" s="23"/>
      <c r="VGE441" s="23"/>
      <c r="VGF441" s="23"/>
      <c r="VGG441" s="23"/>
      <c r="VGH441" s="23"/>
      <c r="VGI441" s="23"/>
      <c r="VGJ441" s="23"/>
      <c r="VGK441" s="23"/>
      <c r="VGL441" s="23"/>
      <c r="VGM441" s="23"/>
      <c r="VGN441" s="23"/>
      <c r="VGO441" s="23"/>
      <c r="VGP441" s="23"/>
      <c r="VGQ441" s="23"/>
      <c r="VGR441" s="23"/>
      <c r="VGS441" s="23"/>
      <c r="VGT441" s="23"/>
      <c r="VGU441" s="23"/>
      <c r="VGV441" s="23"/>
      <c r="VGW441" s="23"/>
      <c r="VGX441" s="23"/>
      <c r="VGY441" s="23"/>
      <c r="VGZ441" s="23"/>
      <c r="VHA441" s="23"/>
      <c r="VHB441" s="23"/>
      <c r="VHC441" s="23"/>
      <c r="VHD441" s="23"/>
      <c r="VHE441" s="23"/>
      <c r="VHF441" s="23"/>
      <c r="VHG441" s="23"/>
      <c r="VHH441" s="23"/>
      <c r="VHI441" s="23"/>
      <c r="VHJ441" s="23"/>
      <c r="VHK441" s="23"/>
      <c r="VHL441" s="23"/>
      <c r="VHM441" s="23"/>
      <c r="VHN441" s="23"/>
      <c r="VHO441" s="23"/>
      <c r="VHP441" s="23"/>
      <c r="VHQ441" s="23"/>
      <c r="VHR441" s="23"/>
      <c r="VHS441" s="23"/>
      <c r="VHT441" s="23"/>
      <c r="VHU441" s="23"/>
      <c r="VHV441" s="23"/>
      <c r="VHW441" s="23"/>
      <c r="VHX441" s="23"/>
      <c r="VHY441" s="23"/>
      <c r="VHZ441" s="23"/>
      <c r="VIA441" s="23"/>
      <c r="VIB441" s="23"/>
      <c r="VIC441" s="23"/>
      <c r="VID441" s="23"/>
      <c r="VIE441" s="23"/>
      <c r="VIF441" s="23"/>
      <c r="VIG441" s="23"/>
      <c r="VIH441" s="23"/>
      <c r="VII441" s="23"/>
      <c r="VIJ441" s="23"/>
      <c r="VIK441" s="23"/>
      <c r="VIL441" s="23"/>
      <c r="VIM441" s="23"/>
      <c r="VIN441" s="23"/>
      <c r="VIO441" s="23"/>
      <c r="VIP441" s="23"/>
      <c r="VIQ441" s="23"/>
      <c r="VIR441" s="23"/>
      <c r="VIS441" s="23"/>
      <c r="VIT441" s="23"/>
      <c r="VIU441" s="23"/>
      <c r="VIV441" s="23"/>
      <c r="VIW441" s="23"/>
      <c r="VIX441" s="23"/>
      <c r="VIY441" s="23"/>
      <c r="VIZ441" s="23"/>
      <c r="VJA441" s="23"/>
      <c r="VJB441" s="23"/>
      <c r="VJC441" s="23"/>
      <c r="VJD441" s="23"/>
      <c r="VJE441" s="23"/>
      <c r="VJF441" s="23"/>
      <c r="VJG441" s="23"/>
      <c r="VJH441" s="23"/>
      <c r="VJI441" s="23"/>
      <c r="VJJ441" s="23"/>
      <c r="VJK441" s="23"/>
      <c r="VJL441" s="23"/>
      <c r="VJM441" s="23"/>
      <c r="VJN441" s="23"/>
      <c r="VJO441" s="23"/>
      <c r="VJP441" s="23"/>
      <c r="VJQ441" s="23"/>
      <c r="VJR441" s="23"/>
      <c r="VJS441" s="23"/>
      <c r="VJT441" s="23"/>
      <c r="VJU441" s="23"/>
      <c r="VJV441" s="23"/>
      <c r="VJW441" s="23"/>
      <c r="VJX441" s="23"/>
      <c r="VJY441" s="23"/>
      <c r="VJZ441" s="23"/>
      <c r="VKA441" s="23"/>
      <c r="VKB441" s="23"/>
      <c r="VKC441" s="23"/>
      <c r="VKD441" s="23"/>
      <c r="VKE441" s="23"/>
      <c r="VKF441" s="23"/>
      <c r="VKG441" s="23"/>
      <c r="VKH441" s="23"/>
      <c r="VKI441" s="23"/>
      <c r="VKJ441" s="23"/>
      <c r="VKK441" s="23"/>
      <c r="VKL441" s="23"/>
      <c r="VKM441" s="23"/>
      <c r="VKN441" s="23"/>
      <c r="VKO441" s="23"/>
      <c r="VKP441" s="23"/>
      <c r="VKQ441" s="23"/>
      <c r="VKR441" s="23"/>
      <c r="VKS441" s="23"/>
      <c r="VKT441" s="23"/>
      <c r="VKU441" s="23"/>
      <c r="VKV441" s="23"/>
      <c r="VKW441" s="23"/>
      <c r="VKX441" s="23"/>
      <c r="VKY441" s="23"/>
      <c r="VKZ441" s="23"/>
      <c r="VLA441" s="23"/>
      <c r="VLB441" s="23"/>
      <c r="VLC441" s="23"/>
      <c r="VLD441" s="23"/>
      <c r="VLE441" s="23"/>
      <c r="VLF441" s="23"/>
      <c r="VLG441" s="23"/>
      <c r="VLH441" s="23"/>
      <c r="VLI441" s="23"/>
      <c r="VLJ441" s="23"/>
      <c r="VLK441" s="23"/>
      <c r="VLL441" s="23"/>
      <c r="VLM441" s="23"/>
      <c r="VLN441" s="23"/>
      <c r="VLO441" s="23"/>
      <c r="VLP441" s="23"/>
      <c r="VLQ441" s="23"/>
      <c r="VLR441" s="23"/>
      <c r="VLS441" s="23"/>
      <c r="VLT441" s="23"/>
      <c r="VLU441" s="23"/>
      <c r="VLV441" s="23"/>
      <c r="VLW441" s="23"/>
      <c r="VLX441" s="23"/>
      <c r="VLY441" s="23"/>
      <c r="VLZ441" s="23"/>
      <c r="VMA441" s="23"/>
      <c r="VMB441" s="23"/>
      <c r="VMC441" s="23"/>
      <c r="VMD441" s="23"/>
      <c r="VME441" s="23"/>
      <c r="VMF441" s="23"/>
      <c r="VMG441" s="23"/>
      <c r="VMH441" s="23"/>
      <c r="VMI441" s="23"/>
      <c r="VMJ441" s="23"/>
      <c r="VMK441" s="23"/>
      <c r="VML441" s="23"/>
      <c r="VMM441" s="23"/>
      <c r="VMN441" s="23"/>
      <c r="VMO441" s="23"/>
      <c r="VMP441" s="23"/>
      <c r="VMQ441" s="23"/>
      <c r="VMR441" s="23"/>
      <c r="VMS441" s="23"/>
      <c r="VMT441" s="23"/>
      <c r="VMU441" s="23"/>
      <c r="VMV441" s="23"/>
      <c r="VMW441" s="23"/>
      <c r="VMX441" s="23"/>
      <c r="VMY441" s="23"/>
      <c r="VMZ441" s="23"/>
      <c r="VNA441" s="23"/>
      <c r="VNB441" s="23"/>
      <c r="VNC441" s="23"/>
      <c r="VND441" s="23"/>
      <c r="VNE441" s="23"/>
      <c r="VNF441" s="23"/>
      <c r="VNG441" s="23"/>
      <c r="VNH441" s="23"/>
      <c r="VNI441" s="23"/>
      <c r="VNJ441" s="23"/>
      <c r="VNK441" s="23"/>
      <c r="VNL441" s="23"/>
      <c r="VNM441" s="23"/>
      <c r="VNN441" s="23"/>
      <c r="VNO441" s="23"/>
      <c r="VNP441" s="23"/>
      <c r="VNQ441" s="23"/>
      <c r="VNR441" s="23"/>
      <c r="VNS441" s="23"/>
      <c r="VNT441" s="23"/>
      <c r="VNU441" s="23"/>
      <c r="VNV441" s="23"/>
      <c r="VNW441" s="23"/>
      <c r="VNX441" s="23"/>
      <c r="VNY441" s="23"/>
      <c r="VNZ441" s="23"/>
      <c r="VOA441" s="23"/>
      <c r="VOB441" s="23"/>
      <c r="VOC441" s="23"/>
      <c r="VOD441" s="23"/>
      <c r="VOE441" s="23"/>
      <c r="VOF441" s="23"/>
      <c r="VOG441" s="23"/>
      <c r="VOH441" s="23"/>
      <c r="VOI441" s="23"/>
      <c r="VOJ441" s="23"/>
      <c r="VOK441" s="23"/>
      <c r="VOL441" s="23"/>
      <c r="VOM441" s="23"/>
      <c r="VON441" s="23"/>
      <c r="VOO441" s="23"/>
      <c r="VOP441" s="23"/>
      <c r="VOQ441" s="23"/>
      <c r="VOR441" s="23"/>
      <c r="VOS441" s="23"/>
      <c r="VOT441" s="23"/>
      <c r="VOU441" s="23"/>
      <c r="VOV441" s="23"/>
      <c r="VOW441" s="23"/>
      <c r="VOX441" s="23"/>
      <c r="VOY441" s="23"/>
      <c r="VOZ441" s="23"/>
      <c r="VPA441" s="23"/>
      <c r="VPB441" s="23"/>
      <c r="VPC441" s="23"/>
      <c r="VPD441" s="23"/>
      <c r="VPE441" s="23"/>
      <c r="VPF441" s="23"/>
      <c r="VPG441" s="23"/>
      <c r="VPH441" s="23"/>
      <c r="VPI441" s="23"/>
      <c r="VPJ441" s="23"/>
      <c r="VPK441" s="23"/>
      <c r="VPL441" s="23"/>
      <c r="VPM441" s="23"/>
      <c r="VPN441" s="23"/>
      <c r="VPO441" s="23"/>
      <c r="VPP441" s="23"/>
      <c r="VPQ441" s="23"/>
      <c r="VPR441" s="23"/>
      <c r="VPS441" s="23"/>
      <c r="VPT441" s="23"/>
      <c r="VPU441" s="23"/>
      <c r="VPV441" s="23"/>
      <c r="VPW441" s="23"/>
      <c r="VPX441" s="23"/>
      <c r="VPY441" s="23"/>
      <c r="VPZ441" s="23"/>
      <c r="VQA441" s="23"/>
      <c r="VQB441" s="23"/>
      <c r="VQC441" s="23"/>
      <c r="VQD441" s="23"/>
      <c r="VQE441" s="23"/>
      <c r="VQF441" s="23"/>
      <c r="VQG441" s="23"/>
      <c r="VQH441" s="23"/>
      <c r="VQI441" s="23"/>
      <c r="VQJ441" s="23"/>
      <c r="VQK441" s="23"/>
      <c r="VQL441" s="23"/>
      <c r="VQM441" s="23"/>
      <c r="VQN441" s="23"/>
      <c r="VQO441" s="23"/>
      <c r="VQP441" s="23"/>
      <c r="VQQ441" s="23"/>
      <c r="VQR441" s="23"/>
      <c r="VQS441" s="23"/>
      <c r="VQT441" s="23"/>
      <c r="VQU441" s="23"/>
      <c r="VQV441" s="23"/>
      <c r="VQW441" s="23"/>
      <c r="VQX441" s="23"/>
      <c r="VQY441" s="23"/>
      <c r="VQZ441" s="23"/>
      <c r="VRA441" s="23"/>
      <c r="VRB441" s="23"/>
      <c r="VRC441" s="23"/>
      <c r="VRD441" s="23"/>
      <c r="VRE441" s="23"/>
      <c r="VRF441" s="23"/>
      <c r="VRG441" s="23"/>
      <c r="VRH441" s="23"/>
      <c r="VRI441" s="23"/>
      <c r="VRJ441" s="23"/>
      <c r="VRK441" s="23"/>
      <c r="VRL441" s="23"/>
      <c r="VRM441" s="23"/>
      <c r="VRN441" s="23"/>
      <c r="VRO441" s="23"/>
      <c r="VRP441" s="23"/>
      <c r="VRQ441" s="23"/>
      <c r="VRR441" s="23"/>
      <c r="VRS441" s="23"/>
      <c r="VRT441" s="23"/>
      <c r="VRU441" s="23"/>
      <c r="VRV441" s="23"/>
      <c r="VRW441" s="23"/>
      <c r="VRX441" s="23"/>
      <c r="VRY441" s="23"/>
      <c r="VRZ441" s="23"/>
      <c r="VSA441" s="23"/>
      <c r="VSB441" s="23"/>
      <c r="VSC441" s="23"/>
      <c r="VSD441" s="23"/>
      <c r="VSE441" s="23"/>
      <c r="VSF441" s="23"/>
      <c r="VSG441" s="23"/>
      <c r="VSH441" s="23"/>
      <c r="VSI441" s="23"/>
      <c r="VSJ441" s="23"/>
      <c r="VSK441" s="23"/>
      <c r="VSL441" s="23"/>
      <c r="VSM441" s="23"/>
      <c r="VSN441" s="23"/>
      <c r="VSO441" s="23"/>
      <c r="VSP441" s="23"/>
      <c r="VSQ441" s="23"/>
      <c r="VSR441" s="23"/>
      <c r="VSS441" s="23"/>
      <c r="VST441" s="23"/>
      <c r="VSU441" s="23"/>
      <c r="VSV441" s="23"/>
      <c r="VSW441" s="23"/>
      <c r="VSX441" s="23"/>
      <c r="VSY441" s="23"/>
      <c r="VSZ441" s="23"/>
      <c r="VTA441" s="23"/>
      <c r="VTB441" s="23"/>
      <c r="VTC441" s="23"/>
      <c r="VTD441" s="23"/>
      <c r="VTE441" s="23"/>
      <c r="VTF441" s="23"/>
      <c r="VTG441" s="23"/>
      <c r="VTH441" s="23"/>
      <c r="VTI441" s="23"/>
      <c r="VTJ441" s="23"/>
      <c r="VTK441" s="23"/>
      <c r="VTL441" s="23"/>
      <c r="VTM441" s="23"/>
      <c r="VTN441" s="23"/>
      <c r="VTO441" s="23"/>
      <c r="VTP441" s="23"/>
      <c r="VTQ441" s="23"/>
      <c r="VTR441" s="23"/>
      <c r="VTS441" s="23"/>
      <c r="VTT441" s="23"/>
      <c r="VTU441" s="23"/>
      <c r="VTV441" s="23"/>
      <c r="VTW441" s="23"/>
      <c r="VTX441" s="23"/>
      <c r="VTY441" s="23"/>
      <c r="VTZ441" s="23"/>
      <c r="VUA441" s="23"/>
      <c r="VUB441" s="23"/>
      <c r="VUC441" s="23"/>
      <c r="VUD441" s="23"/>
      <c r="VUE441" s="23"/>
      <c r="VUF441" s="23"/>
      <c r="VUG441" s="23"/>
      <c r="VUH441" s="23"/>
      <c r="VUI441" s="23"/>
      <c r="VUJ441" s="23"/>
      <c r="VUK441" s="23"/>
      <c r="VUL441" s="23"/>
      <c r="VUM441" s="23"/>
      <c r="VUN441" s="23"/>
      <c r="VUO441" s="23"/>
      <c r="VUP441" s="23"/>
      <c r="VUQ441" s="23"/>
      <c r="VUR441" s="23"/>
      <c r="VUS441" s="23"/>
      <c r="VUT441" s="23"/>
      <c r="VUU441" s="23"/>
      <c r="VUV441" s="23"/>
      <c r="VUW441" s="23"/>
      <c r="VUX441" s="23"/>
      <c r="VUY441" s="23"/>
      <c r="VUZ441" s="23"/>
      <c r="VVA441" s="23"/>
      <c r="VVB441" s="23"/>
      <c r="VVC441" s="23"/>
      <c r="VVD441" s="23"/>
      <c r="VVE441" s="23"/>
      <c r="VVF441" s="23"/>
      <c r="VVG441" s="23"/>
      <c r="VVH441" s="23"/>
      <c r="VVI441" s="23"/>
      <c r="VVJ441" s="23"/>
      <c r="VVK441" s="23"/>
      <c r="VVL441" s="23"/>
      <c r="VVM441" s="23"/>
      <c r="VVN441" s="23"/>
      <c r="VVO441" s="23"/>
      <c r="VVP441" s="23"/>
      <c r="VVQ441" s="23"/>
      <c r="VVR441" s="23"/>
      <c r="VVS441" s="23"/>
      <c r="VVT441" s="23"/>
      <c r="VVU441" s="23"/>
      <c r="VVV441" s="23"/>
      <c r="VVW441" s="23"/>
      <c r="VVX441" s="23"/>
      <c r="VVY441" s="23"/>
      <c r="VVZ441" s="23"/>
      <c r="VWA441" s="23"/>
      <c r="VWB441" s="23"/>
      <c r="VWC441" s="23"/>
      <c r="VWD441" s="23"/>
      <c r="VWE441" s="23"/>
      <c r="VWF441" s="23"/>
      <c r="VWG441" s="23"/>
      <c r="VWH441" s="23"/>
      <c r="VWI441" s="23"/>
      <c r="VWJ441" s="23"/>
      <c r="VWK441" s="23"/>
      <c r="VWL441" s="23"/>
      <c r="VWM441" s="23"/>
      <c r="VWN441" s="23"/>
      <c r="VWO441" s="23"/>
      <c r="VWP441" s="23"/>
      <c r="VWQ441" s="23"/>
      <c r="VWR441" s="23"/>
      <c r="VWS441" s="23"/>
      <c r="VWT441" s="23"/>
      <c r="VWU441" s="23"/>
      <c r="VWV441" s="23"/>
      <c r="VWW441" s="23"/>
      <c r="VWX441" s="23"/>
      <c r="VWY441" s="23"/>
      <c r="VWZ441" s="23"/>
      <c r="VXA441" s="23"/>
      <c r="VXB441" s="23"/>
      <c r="VXC441" s="23"/>
      <c r="VXD441" s="23"/>
      <c r="VXE441" s="23"/>
      <c r="VXF441" s="23"/>
      <c r="VXG441" s="23"/>
      <c r="VXH441" s="23"/>
      <c r="VXI441" s="23"/>
      <c r="VXJ441" s="23"/>
      <c r="VXK441" s="23"/>
      <c r="VXL441" s="23"/>
      <c r="VXM441" s="23"/>
      <c r="VXN441" s="23"/>
      <c r="VXO441" s="23"/>
      <c r="VXP441" s="23"/>
      <c r="VXQ441" s="23"/>
      <c r="VXR441" s="23"/>
      <c r="VXS441" s="23"/>
      <c r="VXT441" s="23"/>
      <c r="VXU441" s="23"/>
      <c r="VXV441" s="23"/>
      <c r="VXW441" s="23"/>
      <c r="VXX441" s="23"/>
      <c r="VXY441" s="23"/>
      <c r="VXZ441" s="23"/>
      <c r="VYA441" s="23"/>
      <c r="VYB441" s="23"/>
      <c r="VYC441" s="23"/>
      <c r="VYD441" s="23"/>
      <c r="VYE441" s="23"/>
      <c r="VYF441" s="23"/>
      <c r="VYG441" s="23"/>
      <c r="VYH441" s="23"/>
      <c r="VYI441" s="23"/>
      <c r="VYJ441" s="23"/>
      <c r="VYK441" s="23"/>
      <c r="VYL441" s="23"/>
      <c r="VYM441" s="23"/>
      <c r="VYN441" s="23"/>
      <c r="VYO441" s="23"/>
      <c r="VYP441" s="23"/>
      <c r="VYQ441" s="23"/>
      <c r="VYR441" s="23"/>
      <c r="VYS441" s="23"/>
      <c r="VYT441" s="23"/>
      <c r="VYU441" s="23"/>
      <c r="VYV441" s="23"/>
      <c r="VYW441" s="23"/>
      <c r="VYX441" s="23"/>
      <c r="VYY441" s="23"/>
      <c r="VYZ441" s="23"/>
      <c r="VZA441" s="23"/>
      <c r="VZB441" s="23"/>
      <c r="VZC441" s="23"/>
      <c r="VZD441" s="23"/>
      <c r="VZE441" s="23"/>
      <c r="VZF441" s="23"/>
      <c r="VZG441" s="23"/>
      <c r="VZH441" s="23"/>
      <c r="VZI441" s="23"/>
      <c r="VZJ441" s="23"/>
      <c r="VZK441" s="23"/>
      <c r="VZL441" s="23"/>
      <c r="VZM441" s="23"/>
      <c r="VZN441" s="23"/>
      <c r="VZO441" s="23"/>
      <c r="VZP441" s="23"/>
      <c r="VZQ441" s="23"/>
      <c r="VZR441" s="23"/>
      <c r="VZS441" s="23"/>
      <c r="VZT441" s="23"/>
      <c r="VZU441" s="23"/>
      <c r="VZV441" s="23"/>
      <c r="VZW441" s="23"/>
      <c r="VZX441" s="23"/>
      <c r="VZY441" s="23"/>
      <c r="VZZ441" s="23"/>
      <c r="WAA441" s="23"/>
      <c r="WAB441" s="23"/>
      <c r="WAC441" s="23"/>
      <c r="WAD441" s="23"/>
      <c r="WAE441" s="23"/>
      <c r="WAF441" s="23"/>
      <c r="WAG441" s="23"/>
      <c r="WAH441" s="23"/>
      <c r="WAI441" s="23"/>
      <c r="WAJ441" s="23"/>
      <c r="WAK441" s="23"/>
      <c r="WAL441" s="23"/>
      <c r="WAM441" s="23"/>
      <c r="WAN441" s="23"/>
      <c r="WAO441" s="23"/>
      <c r="WAP441" s="23"/>
      <c r="WAQ441" s="23"/>
      <c r="WAR441" s="23"/>
      <c r="WAS441" s="23"/>
      <c r="WAT441" s="23"/>
      <c r="WAU441" s="23"/>
      <c r="WAV441" s="23"/>
      <c r="WAW441" s="23"/>
      <c r="WAX441" s="23"/>
      <c r="WAY441" s="23"/>
      <c r="WAZ441" s="23"/>
      <c r="WBA441" s="23"/>
      <c r="WBB441" s="23"/>
      <c r="WBC441" s="23"/>
      <c r="WBD441" s="23"/>
      <c r="WBE441" s="23"/>
      <c r="WBF441" s="23"/>
      <c r="WBG441" s="23"/>
      <c r="WBH441" s="23"/>
      <c r="WBI441" s="23"/>
      <c r="WBJ441" s="23"/>
      <c r="WBK441" s="23"/>
      <c r="WBL441" s="23"/>
      <c r="WBM441" s="23"/>
      <c r="WBN441" s="23"/>
      <c r="WBO441" s="23"/>
      <c r="WBP441" s="23"/>
      <c r="WBQ441" s="23"/>
      <c r="WBR441" s="23"/>
      <c r="WBS441" s="23"/>
      <c r="WBT441" s="23"/>
      <c r="WBU441" s="23"/>
      <c r="WBV441" s="23"/>
      <c r="WBW441" s="23"/>
      <c r="WBX441" s="23"/>
      <c r="WBY441" s="23"/>
      <c r="WBZ441" s="23"/>
      <c r="WCA441" s="23"/>
      <c r="WCB441" s="23"/>
      <c r="WCC441" s="23"/>
      <c r="WCD441" s="23"/>
      <c r="WCE441" s="23"/>
      <c r="WCF441" s="23"/>
      <c r="WCG441" s="23"/>
      <c r="WCH441" s="23"/>
      <c r="WCI441" s="23"/>
      <c r="WCJ441" s="23"/>
      <c r="WCK441" s="23"/>
      <c r="WCL441" s="23"/>
      <c r="WCM441" s="23"/>
      <c r="WCN441" s="23"/>
      <c r="WCO441" s="23"/>
      <c r="WCP441" s="23"/>
      <c r="WCQ441" s="23"/>
      <c r="WCR441" s="23"/>
      <c r="WCS441" s="23"/>
      <c r="WCT441" s="23"/>
      <c r="WCU441" s="23"/>
      <c r="WCV441" s="23"/>
      <c r="WCW441" s="23"/>
      <c r="WCX441" s="23"/>
      <c r="WCY441" s="23"/>
      <c r="WCZ441" s="23"/>
      <c r="WDA441" s="23"/>
      <c r="WDB441" s="23"/>
      <c r="WDC441" s="23"/>
      <c r="WDD441" s="23"/>
      <c r="WDE441" s="23"/>
      <c r="WDF441" s="23"/>
      <c r="WDG441" s="23"/>
      <c r="WDH441" s="23"/>
      <c r="WDI441" s="23"/>
      <c r="WDJ441" s="23"/>
      <c r="WDK441" s="23"/>
      <c r="WDL441" s="23"/>
      <c r="WDM441" s="23"/>
      <c r="WDN441" s="23"/>
      <c r="WDO441" s="23"/>
      <c r="WDP441" s="23"/>
      <c r="WDQ441" s="23"/>
      <c r="WDR441" s="23"/>
      <c r="WDS441" s="23"/>
      <c r="WDT441" s="23"/>
      <c r="WDU441" s="23"/>
      <c r="WDV441" s="23"/>
      <c r="WDW441" s="23"/>
      <c r="WDX441" s="23"/>
      <c r="WDY441" s="23"/>
      <c r="WDZ441" s="23"/>
      <c r="WEA441" s="23"/>
      <c r="WEB441" s="23"/>
      <c r="WEC441" s="23"/>
      <c r="WED441" s="23"/>
      <c r="WEE441" s="23"/>
      <c r="WEF441" s="23"/>
      <c r="WEG441" s="23"/>
      <c r="WEH441" s="23"/>
      <c r="WEI441" s="23"/>
      <c r="WEJ441" s="23"/>
      <c r="WEK441" s="23"/>
      <c r="WEL441" s="23"/>
      <c r="WEM441" s="23"/>
      <c r="WEN441" s="23"/>
      <c r="WEO441" s="23"/>
      <c r="WEP441" s="23"/>
      <c r="WEQ441" s="23"/>
      <c r="WER441" s="23"/>
      <c r="WES441" s="23"/>
      <c r="WET441" s="23"/>
      <c r="WEU441" s="23"/>
      <c r="WEV441" s="23"/>
      <c r="WEW441" s="23"/>
      <c r="WEX441" s="23"/>
      <c r="WEY441" s="23"/>
      <c r="WEZ441" s="23"/>
      <c r="WFA441" s="23"/>
      <c r="WFB441" s="23"/>
      <c r="WFC441" s="23"/>
      <c r="WFD441" s="23"/>
      <c r="WFE441" s="23"/>
      <c r="WFF441" s="23"/>
      <c r="WFG441" s="23"/>
      <c r="WFH441" s="23"/>
      <c r="WFI441" s="23"/>
      <c r="WFJ441" s="23"/>
      <c r="WFK441" s="23"/>
      <c r="WFL441" s="23"/>
      <c r="WFM441" s="23"/>
      <c r="WFN441" s="23"/>
      <c r="WFO441" s="23"/>
      <c r="WFP441" s="23"/>
      <c r="WFQ441" s="23"/>
      <c r="WFR441" s="23"/>
      <c r="WFS441" s="23"/>
      <c r="WFT441" s="23"/>
      <c r="WFU441" s="23"/>
      <c r="WFV441" s="23"/>
      <c r="WFW441" s="23"/>
      <c r="WFX441" s="23"/>
      <c r="WFY441" s="23"/>
      <c r="WFZ441" s="23"/>
      <c r="WGA441" s="23"/>
      <c r="WGB441" s="23"/>
      <c r="WGC441" s="23"/>
      <c r="WGD441" s="23"/>
      <c r="WGE441" s="23"/>
      <c r="WGF441" s="23"/>
      <c r="WGG441" s="23"/>
      <c r="WGH441" s="23"/>
      <c r="WGI441" s="23"/>
      <c r="WGJ441" s="23"/>
      <c r="WGK441" s="23"/>
      <c r="WGL441" s="23"/>
      <c r="WGM441" s="23"/>
      <c r="WGN441" s="23"/>
      <c r="WGO441" s="23"/>
      <c r="WGP441" s="23"/>
      <c r="WGQ441" s="23"/>
      <c r="WGR441" s="23"/>
      <c r="WGS441" s="23"/>
      <c r="WGT441" s="23"/>
      <c r="WGU441" s="23"/>
      <c r="WGV441" s="23"/>
      <c r="WGW441" s="23"/>
      <c r="WGX441" s="23"/>
      <c r="WGY441" s="23"/>
      <c r="WGZ441" s="23"/>
      <c r="WHA441" s="23"/>
      <c r="WHB441" s="23"/>
      <c r="WHC441" s="23"/>
      <c r="WHD441" s="23"/>
      <c r="WHE441" s="23"/>
      <c r="WHF441" s="23"/>
      <c r="WHG441" s="23"/>
      <c r="WHH441" s="23"/>
      <c r="WHI441" s="23"/>
      <c r="WHJ441" s="23"/>
      <c r="WHK441" s="23"/>
      <c r="WHL441" s="23"/>
      <c r="WHM441" s="23"/>
      <c r="WHN441" s="23"/>
      <c r="WHO441" s="23"/>
      <c r="WHP441" s="23"/>
      <c r="WHQ441" s="23"/>
      <c r="WHR441" s="23"/>
      <c r="WHS441" s="23"/>
      <c r="WHT441" s="23"/>
      <c r="WHU441" s="23"/>
      <c r="WHV441" s="23"/>
      <c r="WHW441" s="23"/>
      <c r="WHX441" s="23"/>
      <c r="WHY441" s="23"/>
      <c r="WHZ441" s="23"/>
      <c r="WIA441" s="23"/>
      <c r="WIB441" s="23"/>
      <c r="WIC441" s="23"/>
      <c r="WID441" s="23"/>
      <c r="WIE441" s="23"/>
      <c r="WIF441" s="23"/>
      <c r="WIG441" s="23"/>
      <c r="WIH441" s="23"/>
      <c r="WII441" s="23"/>
      <c r="WIJ441" s="23"/>
      <c r="WIK441" s="23"/>
      <c r="WIL441" s="23"/>
      <c r="WIM441" s="23"/>
      <c r="WIN441" s="23"/>
      <c r="WIO441" s="23"/>
      <c r="WIP441" s="23"/>
      <c r="WIQ441" s="23"/>
      <c r="WIR441" s="23"/>
      <c r="WIS441" s="23"/>
      <c r="WIT441" s="23"/>
      <c r="WIU441" s="23"/>
      <c r="WIV441" s="23"/>
      <c r="WIW441" s="23"/>
      <c r="WIX441" s="23"/>
      <c r="WIY441" s="23"/>
      <c r="WIZ441" s="23"/>
      <c r="WJA441" s="23"/>
      <c r="WJB441" s="23"/>
      <c r="WJC441" s="23"/>
      <c r="WJD441" s="23"/>
      <c r="WJE441" s="23"/>
      <c r="WJF441" s="23"/>
      <c r="WJG441" s="23"/>
      <c r="WJH441" s="23"/>
      <c r="WJI441" s="23"/>
      <c r="WJJ441" s="23"/>
      <c r="WJK441" s="23"/>
      <c r="WJL441" s="23"/>
      <c r="WJM441" s="23"/>
      <c r="WJN441" s="23"/>
      <c r="WJO441" s="23"/>
      <c r="WJP441" s="23"/>
      <c r="WJQ441" s="23"/>
      <c r="WJR441" s="23"/>
      <c r="WJS441" s="23"/>
      <c r="WJT441" s="23"/>
      <c r="WJU441" s="23"/>
      <c r="WJV441" s="23"/>
      <c r="WJW441" s="23"/>
      <c r="WJX441" s="23"/>
      <c r="WJY441" s="23"/>
      <c r="WJZ441" s="23"/>
      <c r="WKA441" s="23"/>
      <c r="WKB441" s="23"/>
      <c r="WKC441" s="23"/>
      <c r="WKD441" s="23"/>
      <c r="WKE441" s="23"/>
      <c r="WKF441" s="23"/>
      <c r="WKG441" s="23"/>
      <c r="WKH441" s="23"/>
      <c r="WKI441" s="23"/>
      <c r="WKJ441" s="23"/>
      <c r="WKK441" s="23"/>
      <c r="WKL441" s="23"/>
      <c r="WKM441" s="23"/>
      <c r="WKN441" s="23"/>
      <c r="WKO441" s="23"/>
      <c r="WKP441" s="23"/>
      <c r="WKQ441" s="23"/>
      <c r="WKR441" s="23"/>
      <c r="WKS441" s="23"/>
      <c r="WKT441" s="23"/>
      <c r="WKU441" s="23"/>
      <c r="WKV441" s="23"/>
      <c r="WKW441" s="23"/>
      <c r="WKX441" s="23"/>
      <c r="WKY441" s="23"/>
      <c r="WKZ441" s="23"/>
      <c r="WLA441" s="23"/>
      <c r="WLB441" s="23"/>
      <c r="WLC441" s="23"/>
      <c r="WLD441" s="23"/>
      <c r="WLE441" s="23"/>
      <c r="WLF441" s="23"/>
      <c r="WLG441" s="23"/>
      <c r="WLH441" s="23"/>
      <c r="WLI441" s="23"/>
      <c r="WLJ441" s="23"/>
      <c r="WLK441" s="23"/>
      <c r="WLL441" s="23"/>
      <c r="WLM441" s="23"/>
      <c r="WLN441" s="23"/>
      <c r="WLO441" s="23"/>
      <c r="WLP441" s="23"/>
      <c r="WLQ441" s="23"/>
      <c r="WLR441" s="23"/>
      <c r="WLS441" s="23"/>
      <c r="WLT441" s="23"/>
      <c r="WLU441" s="23"/>
      <c r="WLV441" s="23"/>
      <c r="WLW441" s="23"/>
      <c r="WLX441" s="23"/>
      <c r="WLY441" s="23"/>
      <c r="WLZ441" s="23"/>
      <c r="WMA441" s="23"/>
      <c r="WMB441" s="23"/>
      <c r="WMC441" s="23"/>
      <c r="WMD441" s="23"/>
      <c r="WME441" s="23"/>
      <c r="WMF441" s="23"/>
      <c r="WMG441" s="23"/>
      <c r="WMH441" s="23"/>
      <c r="WMI441" s="23"/>
      <c r="WMJ441" s="23"/>
      <c r="WMK441" s="23"/>
      <c r="WML441" s="23"/>
      <c r="WMM441" s="23"/>
      <c r="WMN441" s="23"/>
      <c r="WMO441" s="23"/>
      <c r="WMP441" s="23"/>
      <c r="WMQ441" s="23"/>
      <c r="WMR441" s="23"/>
      <c r="WMS441" s="23"/>
      <c r="WMT441" s="23"/>
      <c r="WMU441" s="23"/>
      <c r="WMV441" s="23"/>
      <c r="WMW441" s="23"/>
      <c r="WMX441" s="23"/>
      <c r="WMY441" s="23"/>
      <c r="WMZ441" s="23"/>
      <c r="WNA441" s="23"/>
      <c r="WNB441" s="23"/>
      <c r="WNC441" s="23"/>
      <c r="WND441" s="23"/>
      <c r="WNE441" s="23"/>
      <c r="WNF441" s="23"/>
      <c r="WNG441" s="23"/>
      <c r="WNH441" s="23"/>
      <c r="WNI441" s="23"/>
      <c r="WNJ441" s="23"/>
      <c r="WNK441" s="23"/>
      <c r="WNL441" s="23"/>
      <c r="WNM441" s="23"/>
      <c r="WNN441" s="23"/>
      <c r="WNO441" s="23"/>
      <c r="WNP441" s="23"/>
      <c r="WNQ441" s="23"/>
      <c r="WNR441" s="23"/>
      <c r="WNS441" s="23"/>
      <c r="WNT441" s="23"/>
      <c r="WNU441" s="23"/>
      <c r="WNV441" s="23"/>
      <c r="WNW441" s="23"/>
      <c r="WNX441" s="23"/>
      <c r="WNY441" s="23"/>
      <c r="WNZ441" s="23"/>
      <c r="WOA441" s="23"/>
      <c r="WOB441" s="23"/>
      <c r="WOC441" s="23"/>
      <c r="WOD441" s="23"/>
      <c r="WOE441" s="23"/>
      <c r="WOF441" s="23"/>
      <c r="WOG441" s="23"/>
      <c r="WOH441" s="23"/>
      <c r="WOI441" s="23"/>
      <c r="WOJ441" s="23"/>
      <c r="WOK441" s="23"/>
      <c r="WOL441" s="23"/>
      <c r="WOM441" s="23"/>
      <c r="WON441" s="23"/>
      <c r="WOO441" s="23"/>
      <c r="WOP441" s="23"/>
      <c r="WOQ441" s="23"/>
      <c r="WOR441" s="23"/>
      <c r="WOS441" s="23"/>
      <c r="WOT441" s="23"/>
      <c r="WOU441" s="23"/>
      <c r="WOV441" s="23"/>
      <c r="WOW441" s="23"/>
      <c r="WOX441" s="23"/>
      <c r="WOY441" s="23"/>
      <c r="WOZ441" s="23"/>
      <c r="WPA441" s="23"/>
      <c r="WPB441" s="23"/>
      <c r="WPC441" s="23"/>
      <c r="WPD441" s="23"/>
      <c r="WPE441" s="23"/>
      <c r="WPF441" s="23"/>
      <c r="WPG441" s="23"/>
      <c r="WPH441" s="23"/>
      <c r="WPI441" s="23"/>
      <c r="WPJ441" s="23"/>
      <c r="WPK441" s="23"/>
      <c r="WPL441" s="23"/>
      <c r="WPM441" s="23"/>
      <c r="WPN441" s="23"/>
      <c r="WPO441" s="23"/>
      <c r="WPP441" s="23"/>
      <c r="WPQ441" s="23"/>
      <c r="WPR441" s="23"/>
      <c r="WPS441" s="23"/>
      <c r="WPT441" s="23"/>
      <c r="WPU441" s="23"/>
      <c r="WPV441" s="23"/>
      <c r="WPW441" s="23"/>
      <c r="WPX441" s="23"/>
      <c r="WPY441" s="23"/>
      <c r="WPZ441" s="23"/>
      <c r="WQA441" s="23"/>
      <c r="WQB441" s="23"/>
      <c r="WQC441" s="23"/>
      <c r="WQD441" s="23"/>
      <c r="WQE441" s="23"/>
      <c r="WQF441" s="23"/>
      <c r="WQG441" s="23"/>
      <c r="WQH441" s="23"/>
      <c r="WQI441" s="23"/>
      <c r="WQJ441" s="23"/>
      <c r="WQK441" s="23"/>
      <c r="WQL441" s="23"/>
      <c r="WQM441" s="23"/>
      <c r="WQN441" s="23"/>
      <c r="WQO441" s="23"/>
      <c r="WQP441" s="23"/>
      <c r="WQQ441" s="23"/>
      <c r="WQR441" s="23"/>
      <c r="WQS441" s="23"/>
      <c r="WQT441" s="23"/>
      <c r="WQU441" s="23"/>
      <c r="WQV441" s="23"/>
      <c r="WQW441" s="23"/>
      <c r="WQX441" s="23"/>
      <c r="WQY441" s="23"/>
      <c r="WQZ441" s="23"/>
      <c r="WRA441" s="23"/>
      <c r="WRB441" s="23"/>
      <c r="WRC441" s="23"/>
      <c r="WRD441" s="23"/>
      <c r="WRE441" s="23"/>
      <c r="WRF441" s="23"/>
      <c r="WRG441" s="23"/>
      <c r="WRH441" s="23"/>
      <c r="WRI441" s="23"/>
      <c r="WRJ441" s="23"/>
      <c r="WRK441" s="23"/>
      <c r="WRL441" s="23"/>
      <c r="WRM441" s="23"/>
      <c r="WRN441" s="23"/>
      <c r="WRO441" s="23"/>
      <c r="WRP441" s="23"/>
      <c r="WRQ441" s="23"/>
      <c r="WRR441" s="23"/>
      <c r="WRS441" s="23"/>
      <c r="WRT441" s="23"/>
      <c r="WRU441" s="23"/>
      <c r="WRV441" s="23"/>
      <c r="WRW441" s="23"/>
      <c r="WRX441" s="23"/>
      <c r="WRY441" s="23"/>
      <c r="WRZ441" s="23"/>
      <c r="WSA441" s="23"/>
      <c r="WSB441" s="23"/>
      <c r="WSC441" s="23"/>
      <c r="WSD441" s="23"/>
      <c r="WSE441" s="23"/>
      <c r="WSF441" s="23"/>
      <c r="WSG441" s="23"/>
      <c r="WSH441" s="23"/>
      <c r="WSI441" s="23"/>
      <c r="WSJ441" s="23"/>
      <c r="WSK441" s="23"/>
      <c r="WSL441" s="23"/>
      <c r="WSM441" s="23"/>
      <c r="WSN441" s="23"/>
      <c r="WSO441" s="23"/>
      <c r="WSP441" s="23"/>
      <c r="WSQ441" s="23"/>
      <c r="WSR441" s="23"/>
      <c r="WSS441" s="23"/>
      <c r="WST441" s="23"/>
      <c r="WSU441" s="23"/>
      <c r="WSV441" s="23"/>
      <c r="WSW441" s="23"/>
      <c r="WSX441" s="23"/>
      <c r="WSY441" s="23"/>
      <c r="WSZ441" s="23"/>
      <c r="WTA441" s="23"/>
      <c r="WTB441" s="23"/>
      <c r="WTC441" s="23"/>
      <c r="WTD441" s="23"/>
      <c r="WTE441" s="23"/>
      <c r="WTF441" s="23"/>
      <c r="WTG441" s="23"/>
      <c r="WTH441" s="23"/>
      <c r="WTI441" s="23"/>
      <c r="WTJ441" s="23"/>
      <c r="WTK441" s="23"/>
      <c r="WTL441" s="23"/>
      <c r="WTM441" s="23"/>
      <c r="WTN441" s="23"/>
      <c r="WTO441" s="23"/>
      <c r="WTP441" s="23"/>
      <c r="WTQ441" s="23"/>
      <c r="WTR441" s="23"/>
      <c r="WTS441" s="23"/>
      <c r="WTT441" s="23"/>
      <c r="WTU441" s="23"/>
      <c r="WTV441" s="23"/>
      <c r="WTW441" s="23"/>
      <c r="WTX441" s="23"/>
      <c r="WTY441" s="23"/>
      <c r="WTZ441" s="23"/>
      <c r="WUA441" s="23"/>
      <c r="WUB441" s="23"/>
      <c r="WUC441" s="23"/>
      <c r="WUD441" s="23"/>
      <c r="WUE441" s="23"/>
      <c r="WUF441" s="23"/>
      <c r="WUG441" s="23"/>
      <c r="WUH441" s="23"/>
      <c r="WUI441" s="23"/>
      <c r="WUJ441" s="23"/>
      <c r="WUK441" s="23"/>
      <c r="WUL441" s="23"/>
      <c r="WUM441" s="23"/>
      <c r="WUN441" s="23"/>
      <c r="WUO441" s="23"/>
      <c r="WUP441" s="23"/>
      <c r="WUQ441" s="23"/>
      <c r="WUR441" s="23"/>
      <c r="WUS441" s="23"/>
      <c r="WUT441" s="23"/>
      <c r="WUU441" s="23"/>
      <c r="WUV441" s="23"/>
      <c r="WUW441" s="23"/>
      <c r="WUX441" s="23"/>
      <c r="WUY441" s="23"/>
      <c r="WUZ441" s="23"/>
      <c r="WVA441" s="23"/>
      <c r="WVB441" s="23"/>
      <c r="WVC441" s="23"/>
      <c r="WVD441" s="23"/>
      <c r="WVE441" s="23"/>
      <c r="WVF441" s="23"/>
      <c r="WVG441" s="23"/>
      <c r="WVH441" s="23"/>
      <c r="WVI441" s="23"/>
      <c r="WVJ441" s="23"/>
      <c r="WVK441" s="23"/>
      <c r="WVL441" s="23"/>
      <c r="WVM441" s="23"/>
      <c r="WVN441" s="23"/>
      <c r="WVO441" s="23"/>
      <c r="WVP441" s="23"/>
      <c r="WVQ441" s="23"/>
      <c r="WVR441" s="23"/>
      <c r="WVS441" s="23"/>
      <c r="WVT441" s="23"/>
      <c r="WVU441" s="23"/>
      <c r="WVV441" s="23"/>
      <c r="WVW441" s="23"/>
      <c r="WVX441" s="23"/>
      <c r="WVY441" s="23"/>
      <c r="WVZ441" s="23"/>
      <c r="WWA441" s="23"/>
      <c r="WWB441" s="23"/>
      <c r="WWC441" s="23"/>
      <c r="WWD441" s="23"/>
      <c r="WWE441" s="23"/>
      <c r="WWF441" s="23"/>
      <c r="WWG441" s="23"/>
      <c r="WWH441" s="23"/>
      <c r="WWI441" s="23"/>
      <c r="WWJ441" s="23"/>
      <c r="WWK441" s="23"/>
      <c r="WWL441" s="23"/>
      <c r="WWM441" s="23"/>
      <c r="WWN441" s="23"/>
      <c r="WWO441" s="23"/>
      <c r="WWP441" s="23"/>
      <c r="WWQ441" s="23"/>
      <c r="WWR441" s="23"/>
      <c r="WWS441" s="23"/>
      <c r="WWT441" s="23"/>
      <c r="WWU441" s="23"/>
      <c r="WWV441" s="23"/>
      <c r="WWW441" s="23"/>
      <c r="WWX441" s="23"/>
      <c r="WWY441" s="23"/>
      <c r="WWZ441" s="23"/>
      <c r="WXA441" s="23"/>
      <c r="WXB441" s="23"/>
      <c r="WXC441" s="23"/>
      <c r="WXD441" s="23"/>
      <c r="WXE441" s="23"/>
      <c r="WXF441" s="23"/>
      <c r="WXG441" s="23"/>
      <c r="WXH441" s="23"/>
      <c r="WXI441" s="23"/>
      <c r="WXJ441" s="23"/>
      <c r="WXK441" s="23"/>
      <c r="WXL441" s="23"/>
      <c r="WXM441" s="23"/>
      <c r="WXN441" s="23"/>
      <c r="WXO441" s="23"/>
      <c r="WXP441" s="23"/>
      <c r="WXQ441" s="23"/>
      <c r="WXR441" s="23"/>
      <c r="WXS441" s="23"/>
      <c r="WXT441" s="23"/>
      <c r="WXU441" s="23"/>
      <c r="WXV441" s="23"/>
      <c r="WXW441" s="23"/>
      <c r="WXX441" s="23"/>
      <c r="WXY441" s="23"/>
      <c r="WXZ441" s="23"/>
      <c r="WYA441" s="23"/>
      <c r="WYB441" s="23"/>
      <c r="WYC441" s="23"/>
      <c r="WYD441" s="23"/>
      <c r="WYE441" s="23"/>
      <c r="WYF441" s="23"/>
      <c r="WYG441" s="23"/>
      <c r="WYH441" s="23"/>
      <c r="WYI441" s="23"/>
      <c r="WYJ441" s="23"/>
      <c r="WYK441" s="23"/>
      <c r="WYL441" s="23"/>
      <c r="WYM441" s="23"/>
      <c r="WYN441" s="23"/>
      <c r="WYO441" s="23"/>
      <c r="WYP441" s="23"/>
      <c r="WYQ441" s="23"/>
      <c r="WYR441" s="23"/>
      <c r="WYS441" s="23"/>
      <c r="WYT441" s="23"/>
      <c r="WYU441" s="23"/>
      <c r="WYV441" s="23"/>
      <c r="WYW441" s="23"/>
      <c r="WYX441" s="23"/>
      <c r="WYY441" s="23"/>
      <c r="WYZ441" s="23"/>
      <c r="WZA441" s="23"/>
      <c r="WZB441" s="23"/>
      <c r="WZC441" s="23"/>
      <c r="WZD441" s="23"/>
      <c r="WZE441" s="23"/>
      <c r="WZF441" s="23"/>
      <c r="WZG441" s="23"/>
      <c r="WZH441" s="23"/>
      <c r="WZI441" s="23"/>
      <c r="WZJ441" s="23"/>
      <c r="WZK441" s="23"/>
      <c r="WZL441" s="23"/>
      <c r="WZM441" s="23"/>
      <c r="WZN441" s="23"/>
      <c r="WZO441" s="23"/>
      <c r="WZP441" s="23"/>
      <c r="WZQ441" s="23"/>
      <c r="WZR441" s="23"/>
      <c r="WZS441" s="23"/>
      <c r="WZT441" s="23"/>
      <c r="WZU441" s="23"/>
      <c r="WZV441" s="23"/>
      <c r="WZW441" s="23"/>
      <c r="WZX441" s="23"/>
      <c r="WZY441" s="23"/>
      <c r="WZZ441" s="23"/>
      <c r="XAA441" s="23"/>
      <c r="XAB441" s="23"/>
      <c r="XAC441" s="23"/>
      <c r="XAD441" s="23"/>
      <c r="XAE441" s="23"/>
      <c r="XAF441" s="23"/>
      <c r="XAG441" s="23"/>
      <c r="XAH441" s="23"/>
      <c r="XAI441" s="23"/>
      <c r="XAJ441" s="23"/>
      <c r="XAK441" s="23"/>
      <c r="XAL441" s="23"/>
      <c r="XAM441" s="23"/>
      <c r="XAN441" s="23"/>
      <c r="XAO441" s="23"/>
      <c r="XAP441" s="23"/>
      <c r="XAQ441" s="23"/>
      <c r="XAR441" s="23"/>
      <c r="XAS441" s="23"/>
      <c r="XAT441" s="23"/>
      <c r="XAU441" s="23"/>
      <c r="XAV441" s="23"/>
      <c r="XAW441" s="23"/>
      <c r="XAX441" s="23"/>
      <c r="XAY441" s="23"/>
      <c r="XAZ441" s="23"/>
      <c r="XBA441" s="23"/>
      <c r="XBB441" s="23"/>
      <c r="XBC441" s="23"/>
      <c r="XBD441" s="23"/>
      <c r="XBE441" s="23"/>
      <c r="XBF441" s="23"/>
      <c r="XBG441" s="23"/>
      <c r="XBH441" s="23"/>
      <c r="XBI441" s="23"/>
      <c r="XBJ441" s="23"/>
      <c r="XBK441" s="23"/>
      <c r="XBL441" s="23"/>
      <c r="XBM441" s="23"/>
      <c r="XBN441" s="23"/>
      <c r="XBO441" s="23"/>
      <c r="XBP441" s="23"/>
      <c r="XBQ441" s="23"/>
      <c r="XBR441" s="23"/>
      <c r="XBS441" s="23"/>
      <c r="XBT441" s="23"/>
      <c r="XBU441" s="23"/>
      <c r="XBV441" s="23"/>
      <c r="XBW441" s="23"/>
      <c r="XBX441" s="23"/>
      <c r="XBY441" s="23"/>
      <c r="XBZ441" s="23"/>
      <c r="XCA441" s="23"/>
      <c r="XCB441" s="23"/>
      <c r="XCC441" s="23"/>
      <c r="XCD441" s="23"/>
      <c r="XCE441" s="23"/>
      <c r="XCF441" s="23"/>
      <c r="XCG441" s="23"/>
      <c r="XCH441" s="23"/>
      <c r="XCI441" s="23"/>
      <c r="XCJ441" s="23"/>
      <c r="XCK441" s="23"/>
      <c r="XCL441" s="23"/>
      <c r="XCM441" s="23"/>
      <c r="XCN441" s="23"/>
      <c r="XCO441" s="23"/>
      <c r="XCP441" s="23"/>
      <c r="XCQ441" s="23"/>
      <c r="XCR441" s="23"/>
      <c r="XCS441" s="23"/>
      <c r="XCT441" s="23"/>
      <c r="XCU441" s="23"/>
      <c r="XCV441" s="23"/>
      <c r="XCW441" s="23"/>
      <c r="XCX441" s="23"/>
      <c r="XCY441" s="23"/>
      <c r="XCZ441" s="23"/>
      <c r="XDA441" s="23"/>
      <c r="XDB441" s="23"/>
      <c r="XDC441" s="23"/>
      <c r="XDD441" s="23"/>
      <c r="XDE441" s="23"/>
      <c r="XDF441" s="23"/>
      <c r="XDG441" s="23"/>
      <c r="XDH441" s="23"/>
      <c r="XDI441" s="23"/>
      <c r="XDJ441" s="23"/>
      <c r="XDK441" s="23"/>
      <c r="XDL441" s="23"/>
      <c r="XDM441" s="23"/>
      <c r="XDN441" s="23"/>
      <c r="XDO441" s="23"/>
      <c r="XDP441" s="23"/>
      <c r="XDQ441" s="23"/>
      <c r="XDR441" s="23"/>
      <c r="XDS441" s="23"/>
      <c r="XDT441" s="23"/>
      <c r="XDU441" s="23"/>
      <c r="XDV441" s="23"/>
      <c r="XDW441" s="23"/>
      <c r="XDX441" s="23"/>
      <c r="XDY441" s="23"/>
      <c r="XDZ441" s="23"/>
      <c r="XEA441" s="23"/>
      <c r="XEB441" s="23"/>
      <c r="XEC441" s="23"/>
      <c r="XED441" s="23"/>
      <c r="XEE441" s="23"/>
      <c r="XEF441" s="23"/>
      <c r="XEG441" s="23"/>
      <c r="XEH441" s="23"/>
      <c r="XEI441" s="23"/>
      <c r="XEJ441" s="23"/>
      <c r="XEK441" s="23"/>
      <c r="XEL441" s="23"/>
      <c r="XEM441" s="23"/>
      <c r="XEN441" s="23"/>
      <c r="XEO441" s="23"/>
      <c r="XEP441" s="23"/>
      <c r="XEQ441" s="23"/>
      <c r="XER441" s="23"/>
      <c r="XES441" s="23"/>
      <c r="XET441" s="23"/>
      <c r="XEU441" s="23"/>
      <c r="XEV441" s="23"/>
      <c r="XEW441" s="23"/>
      <c r="XEX441" s="23"/>
      <c r="XEY441" s="23"/>
      <c r="XEZ441" s="23"/>
      <c r="XFA441" s="23"/>
      <c r="XFB441" s="23"/>
      <c r="XFC441" s="23"/>
      <c r="XFD441" s="22"/>
    </row>
  </sheetData>
  <sortState xmlns:xlrd2="http://schemas.microsoft.com/office/spreadsheetml/2017/richdata2" ref="Y418:Z425">
    <sortCondition descending="1" ref="Z418"/>
  </sortState>
  <mergeCells count="16">
    <mergeCell ref="M19:M20"/>
    <mergeCell ref="N19:N20"/>
    <mergeCell ref="O19:O20"/>
    <mergeCell ref="P19:P20"/>
    <mergeCell ref="G19:G20"/>
    <mergeCell ref="H19:H20"/>
    <mergeCell ref="I19:I20"/>
    <mergeCell ref="J19:J20"/>
    <mergeCell ref="K19:K20"/>
    <mergeCell ref="L19:L20"/>
    <mergeCell ref="F19:F20"/>
    <mergeCell ref="A19:A20"/>
    <mergeCell ref="B19:B20"/>
    <mergeCell ref="C19:C20"/>
    <mergeCell ref="D19:D20"/>
    <mergeCell ref="E19:E20"/>
  </mergeCells>
  <dataValidations count="1">
    <dataValidation type="list" allowBlank="1" showInputMessage="1" showErrorMessage="1" sqref="F418:F428 F430:F434 F21 F33:F356 F436:F439 F23:F31 F391:F416 F358:F389" xr:uid="{8B53307A-BE44-7240-9DA5-C884628D8464}">
      <formula1>$XFD$1:$XFD$8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DD44A-FE7B-EA49-982F-CA40A951CFDF}">
  <dimension ref="A1:XFD31"/>
  <sheetViews>
    <sheetView workbookViewId="0"/>
  </sheetViews>
  <sheetFormatPr baseColWidth="10" defaultRowHeight="15"/>
  <cols>
    <col min="1" max="1" width="10.5" style="22" customWidth="1"/>
    <col min="2" max="2" width="31.375" style="23" customWidth="1"/>
    <col min="3" max="3" width="25.625" style="23" customWidth="1"/>
    <col min="4" max="4" width="13.125" style="23" customWidth="1"/>
    <col min="5" max="5" width="12.625" style="23" bestFit="1" customWidth="1"/>
    <col min="6" max="6" width="20.625" style="23" customWidth="1"/>
    <col min="7" max="7" width="11" style="26" bestFit="1" customWidth="1"/>
    <col min="8" max="16383" width="10.875" style="23"/>
    <col min="16384" max="16384" width="45.125" style="23" customWidth="1"/>
  </cols>
  <sheetData>
    <row r="1" spans="1:7 16384:16384">
      <c r="C1" s="24" t="s">
        <v>1061</v>
      </c>
      <c r="XFD1" s="27" t="s">
        <v>507</v>
      </c>
    </row>
    <row r="2" spans="1:7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XFD2" s="27" t="s">
        <v>508</v>
      </c>
    </row>
    <row r="3" spans="1:7 16384:16384">
      <c r="A3" s="22">
        <v>26100500</v>
      </c>
      <c r="B3" s="23" t="s">
        <v>51</v>
      </c>
      <c r="C3" s="23">
        <v>141210757</v>
      </c>
      <c r="D3" s="23">
        <f ca="1">SUMIF($A$11:$D$14,A3,$D$11:$D$14)-C3</f>
        <v>0</v>
      </c>
      <c r="E3" s="23">
        <f>C3+'HW PYMES'!I80</f>
        <v>0</v>
      </c>
      <c r="XFD3" s="27" t="s">
        <v>509</v>
      </c>
    </row>
    <row r="4" spans="1:7 16384:16384">
      <c r="A4" s="22">
        <v>26101500</v>
      </c>
      <c r="B4" s="23" t="s">
        <v>52</v>
      </c>
      <c r="C4" s="23">
        <v>92825470.689999998</v>
      </c>
      <c r="D4" s="23">
        <f ca="1">SUMIF($A$11:$D$14,A4,$D$11:$D$14)-C4</f>
        <v>0</v>
      </c>
      <c r="E4" s="23">
        <f>C4+'HW PYMES'!I81</f>
        <v>0</v>
      </c>
      <c r="XFD4" s="27" t="s">
        <v>510</v>
      </c>
    </row>
    <row r="5" spans="1:7 16384:16384">
      <c r="A5" s="22">
        <v>26109500</v>
      </c>
      <c r="B5" s="23" t="s">
        <v>54</v>
      </c>
      <c r="C5" s="23">
        <v>489844</v>
      </c>
      <c r="D5" s="23">
        <f ca="1">SUMIF($A$11:$D$14,A5,$D$11:$D$14)-C5</f>
        <v>0</v>
      </c>
      <c r="E5" s="23">
        <f>C5+'HW PYMES'!I83</f>
        <v>0</v>
      </c>
      <c r="XFD5" s="27" t="s">
        <v>511</v>
      </c>
    </row>
    <row r="6" spans="1:7 16384:16384">
      <c r="C6" s="29">
        <f>SUM(C3:C5)</f>
        <v>234526071.69</v>
      </c>
    </row>
    <row r="7" spans="1:7 16384:16384">
      <c r="B7" s="30" t="s">
        <v>206</v>
      </c>
      <c r="C7" s="30">
        <f>C6-D15</f>
        <v>0</v>
      </c>
    </row>
    <row r="9" spans="1:7 16384:16384" ht="45" customHeight="1">
      <c r="A9" s="474" t="s">
        <v>209</v>
      </c>
      <c r="B9" s="476" t="s">
        <v>210</v>
      </c>
      <c r="C9" s="478" t="s">
        <v>290</v>
      </c>
      <c r="D9" s="513" t="s">
        <v>1064</v>
      </c>
      <c r="E9" s="493" t="s">
        <v>512</v>
      </c>
      <c r="F9" s="472" t="s">
        <v>513</v>
      </c>
      <c r="G9" s="485" t="s">
        <v>221</v>
      </c>
    </row>
    <row r="10" spans="1:7 16384:16384">
      <c r="A10" s="475"/>
      <c r="B10" s="477"/>
      <c r="C10" s="472"/>
      <c r="D10" s="514"/>
      <c r="E10" s="479"/>
      <c r="F10" s="473"/>
      <c r="G10" s="486"/>
    </row>
    <row r="11" spans="1:7 16384:16384">
      <c r="A11" s="22">
        <v>26100500</v>
      </c>
      <c r="B11" s="23" t="s">
        <v>51</v>
      </c>
      <c r="C11" s="52" t="s">
        <v>508</v>
      </c>
      <c r="D11" s="23">
        <v>141210757</v>
      </c>
      <c r="E11" s="43">
        <v>141210757</v>
      </c>
      <c r="F11" s="22">
        <v>2021</v>
      </c>
      <c r="G11" s="38">
        <f t="shared" ref="G11:G13" si="0">E11-D11</f>
        <v>0</v>
      </c>
    </row>
    <row r="12" spans="1:7 16384:16384">
      <c r="A12" s="22">
        <v>26101500</v>
      </c>
      <c r="B12" s="23" t="s">
        <v>52</v>
      </c>
      <c r="C12" s="52" t="s">
        <v>511</v>
      </c>
      <c r="D12" s="23">
        <v>92825470.689999998</v>
      </c>
      <c r="E12" s="43">
        <v>92825470.689999998</v>
      </c>
      <c r="F12" s="22">
        <v>2021</v>
      </c>
      <c r="G12" s="38">
        <f t="shared" si="0"/>
        <v>0</v>
      </c>
    </row>
    <row r="13" spans="1:7 16384:16384">
      <c r="A13" s="22">
        <v>26109500</v>
      </c>
      <c r="B13" s="23" t="s">
        <v>54</v>
      </c>
      <c r="C13" s="52" t="s">
        <v>507</v>
      </c>
      <c r="D13" s="23">
        <v>489844</v>
      </c>
      <c r="E13" s="43">
        <v>489844</v>
      </c>
      <c r="F13" s="22">
        <v>2021</v>
      </c>
      <c r="G13" s="38">
        <f t="shared" si="0"/>
        <v>0</v>
      </c>
    </row>
    <row r="15" spans="1:7 16384:16384">
      <c r="B15" s="34"/>
      <c r="D15" s="40">
        <f>SUM(D11:D14)</f>
        <v>234526071.69</v>
      </c>
    </row>
    <row r="16" spans="1:7 16384:16384">
      <c r="A16" s="41"/>
      <c r="B16" s="43"/>
      <c r="C16" s="43"/>
      <c r="D16" s="43"/>
      <c r="E16" s="43"/>
      <c r="F16" s="43"/>
      <c r="G16" s="45"/>
    </row>
    <row r="17" spans="1:7">
      <c r="C17" s="24" t="s">
        <v>1061</v>
      </c>
    </row>
    <row r="18" spans="1:7">
      <c r="A18" s="337" t="s">
        <v>201</v>
      </c>
      <c r="B18" s="24" t="s">
        <v>202</v>
      </c>
      <c r="C18" s="24" t="s">
        <v>1030</v>
      </c>
      <c r="D18" s="24" t="s">
        <v>203</v>
      </c>
      <c r="E18" s="24" t="s">
        <v>261</v>
      </c>
    </row>
    <row r="19" spans="1:7">
      <c r="A19" s="22">
        <v>26100500</v>
      </c>
      <c r="B19" s="23" t="s">
        <v>51</v>
      </c>
      <c r="C19" s="23">
        <v>189295658</v>
      </c>
      <c r="D19" s="23">
        <f ca="1">SUMIF($A$27:$D$30,A19,$D$27:$D$30)-C19</f>
        <v>0</v>
      </c>
      <c r="E19" s="23">
        <f>C19+'HW PYMES'!I96</f>
        <v>189295658</v>
      </c>
    </row>
    <row r="20" spans="1:7">
      <c r="A20" s="22">
        <v>26101500</v>
      </c>
      <c r="B20" s="23" t="s">
        <v>52</v>
      </c>
      <c r="C20" s="23">
        <v>126185390.69</v>
      </c>
      <c r="D20" s="23">
        <f t="shared" ref="D20:D21" ca="1" si="1">SUMIF($A$27:$D$30,A20,$D$27:$D$30)-C20</f>
        <v>0</v>
      </c>
      <c r="E20" s="23">
        <f>C20+'HW PYMES'!I97</f>
        <v>124180632.94</v>
      </c>
    </row>
    <row r="21" spans="1:7">
      <c r="A21" s="22">
        <v>26109500</v>
      </c>
      <c r="B21" s="23" t="s">
        <v>54</v>
      </c>
      <c r="C21" s="23">
        <v>1654120</v>
      </c>
      <c r="D21" s="23">
        <f t="shared" ca="1" si="1"/>
        <v>0</v>
      </c>
      <c r="E21" s="23">
        <f>C21+'HW PYMES'!I99</f>
        <v>1654120</v>
      </c>
    </row>
    <row r="22" spans="1:7">
      <c r="C22" s="29">
        <f>SUM(C19:C21)</f>
        <v>317135168.69</v>
      </c>
    </row>
    <row r="23" spans="1:7">
      <c r="B23" s="30" t="s">
        <v>206</v>
      </c>
      <c r="C23" s="30">
        <f>C22-D31</f>
        <v>0</v>
      </c>
    </row>
    <row r="25" spans="1:7" ht="45" customHeight="1">
      <c r="A25" s="474" t="s">
        <v>209</v>
      </c>
      <c r="B25" s="476" t="s">
        <v>210</v>
      </c>
      <c r="C25" s="478" t="s">
        <v>290</v>
      </c>
      <c r="D25" s="513" t="s">
        <v>1064</v>
      </c>
      <c r="E25" s="493" t="s">
        <v>512</v>
      </c>
      <c r="F25" s="472" t="s">
        <v>513</v>
      </c>
      <c r="G25" s="485" t="s">
        <v>221</v>
      </c>
    </row>
    <row r="26" spans="1:7">
      <c r="A26" s="475"/>
      <c r="B26" s="477"/>
      <c r="C26" s="472"/>
      <c r="D26" s="514"/>
      <c r="E26" s="479"/>
      <c r="F26" s="473"/>
      <c r="G26" s="486"/>
    </row>
    <row r="27" spans="1:7">
      <c r="A27" s="22">
        <v>26100500</v>
      </c>
      <c r="B27" s="23" t="s">
        <v>51</v>
      </c>
      <c r="C27" s="52" t="s">
        <v>508</v>
      </c>
      <c r="D27" s="23">
        <v>189295658</v>
      </c>
      <c r="E27" s="43">
        <v>189295658</v>
      </c>
      <c r="F27" s="22">
        <v>2022</v>
      </c>
      <c r="G27" s="38">
        <f t="shared" ref="G27:G29" si="2">E27-D27</f>
        <v>0</v>
      </c>
    </row>
    <row r="28" spans="1:7">
      <c r="A28" s="22">
        <v>26101500</v>
      </c>
      <c r="B28" s="23" t="s">
        <v>52</v>
      </c>
      <c r="C28" s="52" t="s">
        <v>511</v>
      </c>
      <c r="D28" s="23">
        <v>126185390.69</v>
      </c>
      <c r="E28" s="43">
        <v>126185390.69</v>
      </c>
      <c r="F28" s="22">
        <v>2022</v>
      </c>
      <c r="G28" s="38">
        <f t="shared" si="2"/>
        <v>0</v>
      </c>
    </row>
    <row r="29" spans="1:7">
      <c r="A29" s="22">
        <v>26109500</v>
      </c>
      <c r="B29" s="23" t="s">
        <v>54</v>
      </c>
      <c r="C29" s="52" t="s">
        <v>507</v>
      </c>
      <c r="D29" s="23">
        <v>1654120</v>
      </c>
      <c r="E29" s="43">
        <v>1654120</v>
      </c>
      <c r="F29" s="22">
        <v>2022</v>
      </c>
      <c r="G29" s="38">
        <f t="shared" si="2"/>
        <v>0</v>
      </c>
    </row>
    <row r="31" spans="1:7">
      <c r="B31" s="34"/>
      <c r="D31" s="40">
        <f>SUM(D27:D30)</f>
        <v>317135168.69</v>
      </c>
    </row>
  </sheetData>
  <mergeCells count="14">
    <mergeCell ref="F25:F26"/>
    <mergeCell ref="G25:G26"/>
    <mergeCell ref="A25:A26"/>
    <mergeCell ref="B25:B26"/>
    <mergeCell ref="C25:C26"/>
    <mergeCell ref="D25:D26"/>
    <mergeCell ref="E25:E26"/>
    <mergeCell ref="G9:G10"/>
    <mergeCell ref="A9:A10"/>
    <mergeCell ref="B9:B10"/>
    <mergeCell ref="C9:C10"/>
    <mergeCell ref="D9:D10"/>
    <mergeCell ref="E9:E10"/>
    <mergeCell ref="F9:F10"/>
  </mergeCells>
  <dataValidations count="1">
    <dataValidation type="list" allowBlank="1" showInputMessage="1" showErrorMessage="1" sqref="C27:C29 C11:C13" xr:uid="{EB5451E4-319F-C942-895C-850C0ED6CB08}">
      <formula1>$XFD$1:$XFD$5</formula1>
    </dataValidation>
  </dataValidations>
  <pageMargins left="0.7" right="0.7" top="0.75" bottom="0.75" header="0.3" footer="0.3"/>
  <pageSetup orientation="portrait" horizontalDpi="4294967292" verticalDpi="429496729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738BF-7604-3540-B658-715E15E48BE9}">
  <dimension ref="A1:XFD41"/>
  <sheetViews>
    <sheetView topLeftCell="A16" zoomScale="110" zoomScaleNormal="110" workbookViewId="0">
      <selection activeCell="E29" activeCellId="2" sqref="E28 E32 E29"/>
    </sheetView>
  </sheetViews>
  <sheetFormatPr baseColWidth="10" defaultRowHeight="15"/>
  <cols>
    <col min="1" max="1" width="9.125" style="22" bestFit="1" customWidth="1"/>
    <col min="2" max="2" width="37.625" style="23" bestFit="1" customWidth="1"/>
    <col min="3" max="3" width="25.625" style="23" customWidth="1"/>
    <col min="4" max="5" width="15.5" style="23" bestFit="1" customWidth="1"/>
    <col min="6" max="6" width="11" style="26" bestFit="1" customWidth="1"/>
    <col min="7" max="7" width="10.875" style="23"/>
    <col min="8" max="8" width="11.125" style="23" bestFit="1" customWidth="1"/>
    <col min="9" max="9" width="4.5" style="23" bestFit="1" customWidth="1"/>
    <col min="10" max="10" width="29.375" style="23" bestFit="1" customWidth="1"/>
    <col min="11" max="11" width="7.875" style="23" bestFit="1" customWidth="1"/>
    <col min="12" max="12" width="10.125" style="23" bestFit="1" customWidth="1"/>
    <col min="13" max="13" width="13.625" style="23" bestFit="1" customWidth="1"/>
    <col min="14" max="16383" width="10.875" style="23"/>
    <col min="16384" max="16384" width="19.625" style="23" bestFit="1" customWidth="1"/>
  </cols>
  <sheetData>
    <row r="1" spans="1:13 16384:16384">
      <c r="C1" s="24" t="s">
        <v>1061</v>
      </c>
      <c r="H1" s="24" t="s">
        <v>431</v>
      </c>
      <c r="I1" s="24" t="s">
        <v>1017</v>
      </c>
      <c r="J1" s="24" t="s">
        <v>1018</v>
      </c>
      <c r="K1" s="24" t="s">
        <v>1019</v>
      </c>
      <c r="L1" s="24" t="s">
        <v>1020</v>
      </c>
      <c r="M1" s="24" t="s">
        <v>351</v>
      </c>
      <c r="XFD1" s="27" t="s">
        <v>514</v>
      </c>
    </row>
    <row r="2" spans="1:13 16384:16384">
      <c r="A2" s="28" t="s">
        <v>201</v>
      </c>
      <c r="B2" s="24" t="s">
        <v>202</v>
      </c>
      <c r="C2" s="24" t="s">
        <v>747</v>
      </c>
      <c r="D2" s="24" t="s">
        <v>203</v>
      </c>
      <c r="E2" s="24" t="s">
        <v>261</v>
      </c>
      <c r="XFD2" s="27" t="s">
        <v>519</v>
      </c>
    </row>
    <row r="3" spans="1:13 16384:16384">
      <c r="A3" s="22">
        <v>31050500</v>
      </c>
      <c r="B3" s="23" t="s">
        <v>57</v>
      </c>
      <c r="C3" s="23">
        <v>32481759055.259998</v>
      </c>
      <c r="D3" s="23">
        <f ca="1">SUMIF($A$10:$D$11,A3,$D$10:$D$11)-C3</f>
        <v>0</v>
      </c>
      <c r="E3" s="23">
        <f>C3+'HW PYMES'!I86</f>
        <v>0</v>
      </c>
      <c r="XFD3" s="27" t="s">
        <v>515</v>
      </c>
    </row>
    <row r="4" spans="1:13 16384:16384">
      <c r="A4" s="22">
        <v>31050501</v>
      </c>
      <c r="B4" s="23" t="s">
        <v>58</v>
      </c>
      <c r="C4" s="23">
        <v>181715</v>
      </c>
      <c r="D4" s="23">
        <f ca="1">SUMIF($A$10:$D$11,A4,$D$10:$D$11)-C4</f>
        <v>0</v>
      </c>
      <c r="E4" s="23">
        <f>C4+'HW PYMES'!I87</f>
        <v>0</v>
      </c>
      <c r="XFD4" s="27" t="s">
        <v>516</v>
      </c>
    </row>
    <row r="5" spans="1:13 16384:16384">
      <c r="C5" s="29">
        <f>SUM(C3:C4)</f>
        <v>32481940770.259998</v>
      </c>
      <c r="XFD5" s="27" t="s">
        <v>521</v>
      </c>
    </row>
    <row r="6" spans="1:13 16384:16384">
      <c r="B6" s="30" t="s">
        <v>206</v>
      </c>
      <c r="C6" s="30">
        <f>C5-D12</f>
        <v>0</v>
      </c>
      <c r="XFD6" s="27" t="s">
        <v>521</v>
      </c>
    </row>
    <row r="7" spans="1:13 16384:16384">
      <c r="XFD7" s="27" t="s">
        <v>517</v>
      </c>
    </row>
    <row r="8" spans="1:13 16384:16384" ht="45" customHeight="1">
      <c r="A8" s="474" t="s">
        <v>209</v>
      </c>
      <c r="B8" s="476" t="s">
        <v>210</v>
      </c>
      <c r="C8" s="478" t="s">
        <v>520</v>
      </c>
      <c r="D8" s="493" t="s">
        <v>1062</v>
      </c>
      <c r="E8" s="493" t="s">
        <v>512</v>
      </c>
      <c r="F8" s="485" t="s">
        <v>221</v>
      </c>
    </row>
    <row r="9" spans="1:13 16384:16384">
      <c r="A9" s="475"/>
      <c r="B9" s="477"/>
      <c r="C9" s="472"/>
      <c r="D9" s="479"/>
      <c r="E9" s="479"/>
      <c r="F9" s="486"/>
    </row>
    <row r="10" spans="1:13 16384:16384">
      <c r="A10" s="22">
        <v>31050500</v>
      </c>
      <c r="B10" s="23" t="s">
        <v>57</v>
      </c>
      <c r="C10" s="52" t="s">
        <v>514</v>
      </c>
      <c r="D10" s="23">
        <v>32481759055.259998</v>
      </c>
      <c r="E10" s="23">
        <f>M10</f>
        <v>32481759054.959999</v>
      </c>
      <c r="F10" s="38">
        <f>E10-D10</f>
        <v>-0.29999923706054688</v>
      </c>
      <c r="G10" s="34"/>
      <c r="H10" s="285">
        <v>43717</v>
      </c>
      <c r="I10" s="23">
        <v>22</v>
      </c>
      <c r="J10" s="23" t="s">
        <v>1006</v>
      </c>
      <c r="K10" s="23">
        <v>38069</v>
      </c>
      <c r="L10" s="23">
        <v>853233.84</v>
      </c>
      <c r="M10" s="23">
        <f>K10*L10</f>
        <v>32481759054.959999</v>
      </c>
    </row>
    <row r="11" spans="1:13 16384:16384" ht="30">
      <c r="A11" s="22">
        <v>31050501</v>
      </c>
      <c r="B11" s="23" t="s">
        <v>58</v>
      </c>
      <c r="C11" s="52" t="s">
        <v>519</v>
      </c>
      <c r="D11" s="23">
        <v>181715</v>
      </c>
      <c r="E11" s="23">
        <v>181715</v>
      </c>
      <c r="F11" s="38">
        <f>E11-D11</f>
        <v>0</v>
      </c>
    </row>
    <row r="12" spans="1:13 16384:16384">
      <c r="B12" s="34"/>
      <c r="D12" s="40">
        <f>SUM(D10:D11)</f>
        <v>32481940770.259998</v>
      </c>
    </row>
    <row r="14" spans="1:13 16384:16384">
      <c r="A14" s="286"/>
      <c r="B14" s="287"/>
      <c r="C14" s="288"/>
      <c r="D14" s="288"/>
      <c r="E14" s="288"/>
      <c r="F14" s="289"/>
    </row>
    <row r="15" spans="1:13 16384:16384">
      <c r="A15" s="28" t="s">
        <v>201</v>
      </c>
      <c r="B15" s="24" t="s">
        <v>202</v>
      </c>
      <c r="C15" s="24" t="s">
        <v>1035</v>
      </c>
      <c r="D15" s="24" t="s">
        <v>203</v>
      </c>
      <c r="E15" s="24"/>
    </row>
    <row r="16" spans="1:13 16384:16384">
      <c r="A16" s="22">
        <v>37100101</v>
      </c>
      <c r="B16" s="23" t="s">
        <v>163</v>
      </c>
      <c r="C16" s="23">
        <v>5322681300.9300003</v>
      </c>
      <c r="D16" s="23">
        <f ca="1">SUMIF($A$22:$D$22,A16,$D$22)-C16</f>
        <v>0</v>
      </c>
    </row>
    <row r="17" spans="1:6">
      <c r="C17" s="29">
        <f>SUM(C16:C16)</f>
        <v>5322681300.9300003</v>
      </c>
    </row>
    <row r="18" spans="1:6">
      <c r="B18" s="30" t="s">
        <v>206</v>
      </c>
      <c r="C18" s="30">
        <f>C17-D23</f>
        <v>0</v>
      </c>
    </row>
    <row r="20" spans="1:6" ht="45" customHeight="1">
      <c r="A20" s="474" t="s">
        <v>209</v>
      </c>
      <c r="B20" s="476" t="s">
        <v>210</v>
      </c>
      <c r="C20" s="478" t="s">
        <v>520</v>
      </c>
      <c r="D20" s="493" t="s">
        <v>1062</v>
      </c>
      <c r="E20" s="493" t="s">
        <v>512</v>
      </c>
      <c r="F20" s="485" t="s">
        <v>221</v>
      </c>
    </row>
    <row r="21" spans="1:6">
      <c r="A21" s="475"/>
      <c r="B21" s="477"/>
      <c r="C21" s="472"/>
      <c r="D21" s="479"/>
      <c r="E21" s="479"/>
      <c r="F21" s="486"/>
    </row>
    <row r="22" spans="1:6">
      <c r="A22" s="22">
        <v>37100101</v>
      </c>
      <c r="B22" s="23" t="s">
        <v>163</v>
      </c>
      <c r="C22" s="52" t="s">
        <v>521</v>
      </c>
      <c r="D22" s="23">
        <v>5322681300.9300003</v>
      </c>
      <c r="E22" s="23">
        <f>E33</f>
        <v>5322681300.9299212</v>
      </c>
      <c r="F22" s="38">
        <f>E22-D22</f>
        <v>-7.915496826171875E-5</v>
      </c>
    </row>
    <row r="23" spans="1:6">
      <c r="B23" s="34"/>
      <c r="D23" s="40">
        <f>SUM(D22:D22)</f>
        <v>5322681300.9300003</v>
      </c>
    </row>
    <row r="25" spans="1:6">
      <c r="A25" s="135" t="s">
        <v>1036</v>
      </c>
    </row>
    <row r="26" spans="1:6">
      <c r="A26" s="135"/>
    </row>
    <row r="27" spans="1:6">
      <c r="A27" s="520" t="s">
        <v>522</v>
      </c>
      <c r="B27" s="520"/>
      <c r="C27" s="520"/>
      <c r="D27" s="520"/>
      <c r="E27" s="24" t="s">
        <v>523</v>
      </c>
      <c r="F27" s="24" t="s">
        <v>524</v>
      </c>
    </row>
    <row r="28" spans="1:6">
      <c r="A28" s="290" t="s">
        <v>1021</v>
      </c>
      <c r="E28" s="23">
        <v>488389241</v>
      </c>
      <c r="F28" s="26" t="s">
        <v>525</v>
      </c>
    </row>
    <row r="29" spans="1:6">
      <c r="A29" s="290" t="s">
        <v>536</v>
      </c>
      <c r="E29" s="23">
        <f>-H41</f>
        <v>-48838924</v>
      </c>
      <c r="F29" s="26" t="s">
        <v>525</v>
      </c>
    </row>
    <row r="30" spans="1:6">
      <c r="A30" s="290" t="s">
        <v>526</v>
      </c>
      <c r="E30" s="23">
        <v>-11757519</v>
      </c>
      <c r="F30" s="26" t="s">
        <v>525</v>
      </c>
    </row>
    <row r="31" spans="1:6">
      <c r="A31" s="290" t="s">
        <v>1022</v>
      </c>
      <c r="E31" s="23">
        <f>Arrendam!J40-Arrendam!F40</f>
        <v>-26159396.070078786</v>
      </c>
      <c r="F31" s="26" t="s">
        <v>525</v>
      </c>
    </row>
    <row r="32" spans="1:6">
      <c r="A32" s="290" t="s">
        <v>1023</v>
      </c>
      <c r="E32" s="23">
        <v>4921047899</v>
      </c>
      <c r="F32" s="26" t="s">
        <v>525</v>
      </c>
    </row>
    <row r="33" spans="1:8">
      <c r="A33" s="290"/>
      <c r="E33" s="29">
        <f>SUM(E28:E32)</f>
        <v>5322681300.9299212</v>
      </c>
    </row>
    <row r="35" spans="1:8">
      <c r="A35" s="135" t="s">
        <v>527</v>
      </c>
    </row>
    <row r="36" spans="1:8">
      <c r="C36" s="24" t="s">
        <v>1063</v>
      </c>
      <c r="D36" s="24" t="s">
        <v>528</v>
      </c>
      <c r="E36" s="24" t="s">
        <v>530</v>
      </c>
      <c r="F36" s="24" t="s">
        <v>531</v>
      </c>
      <c r="G36" s="24" t="s">
        <v>533</v>
      </c>
      <c r="H36" s="24" t="s">
        <v>534</v>
      </c>
    </row>
    <row r="37" spans="1:8">
      <c r="A37" s="22">
        <v>15040000</v>
      </c>
      <c r="B37" s="23" t="s">
        <v>14</v>
      </c>
      <c r="C37" s="23">
        <v>1694129760</v>
      </c>
      <c r="D37" s="23">
        <f>C37</f>
        <v>1694129760</v>
      </c>
    </row>
    <row r="38" spans="1:8">
      <c r="A38" s="22">
        <v>19100400</v>
      </c>
      <c r="B38" s="23" t="s">
        <v>15</v>
      </c>
      <c r="C38" s="23">
        <v>5956220240</v>
      </c>
      <c r="D38" s="23">
        <v>0</v>
      </c>
    </row>
    <row r="39" spans="1:8">
      <c r="B39" s="29" t="s">
        <v>529</v>
      </c>
      <c r="C39" s="29">
        <f>SUM(C37:C38)</f>
        <v>7650350000</v>
      </c>
      <c r="D39" s="29">
        <f>SUM(D37:D38)</f>
        <v>1694129760</v>
      </c>
      <c r="E39" s="23">
        <f>C39-D39</f>
        <v>5956220240</v>
      </c>
      <c r="F39" s="26" t="s">
        <v>532</v>
      </c>
      <c r="G39" s="291">
        <v>0.1</v>
      </c>
      <c r="H39" s="23">
        <f>E39*G39</f>
        <v>595622024</v>
      </c>
    </row>
    <row r="40" spans="1:8">
      <c r="A40" s="22">
        <v>27259500</v>
      </c>
      <c r="B40" s="23" t="s">
        <v>55</v>
      </c>
      <c r="C40" s="23">
        <v>546783100</v>
      </c>
      <c r="H40" s="23">
        <f>C40</f>
        <v>546783100</v>
      </c>
    </row>
    <row r="41" spans="1:8">
      <c r="B41" s="29" t="s">
        <v>535</v>
      </c>
      <c r="H41" s="29">
        <f>H39-H40</f>
        <v>48838924</v>
      </c>
    </row>
  </sheetData>
  <mergeCells count="13">
    <mergeCell ref="E20:E21"/>
    <mergeCell ref="F20:F21"/>
    <mergeCell ref="A27:D27"/>
    <mergeCell ref="A20:A21"/>
    <mergeCell ref="B20:B21"/>
    <mergeCell ref="C20:C21"/>
    <mergeCell ref="D20:D21"/>
    <mergeCell ref="F8:F9"/>
    <mergeCell ref="A8:A9"/>
    <mergeCell ref="B8:B9"/>
    <mergeCell ref="C8:C9"/>
    <mergeCell ref="D8:D9"/>
    <mergeCell ref="E8:E9"/>
  </mergeCells>
  <dataValidations count="1">
    <dataValidation type="list" allowBlank="1" showInputMessage="1" showErrorMessage="1" sqref="C22 C10:C11" xr:uid="{CC1A42AE-7F2F-0B45-974B-C78625B70C8C}">
      <formula1>$XFD$1:$XFD$7</formula1>
    </dataValidation>
  </dataValidations>
  <pageMargins left="0.7" right="0.7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F887E-72AA-B642-A002-0C3FB78B3773}">
  <dimension ref="A1:T38"/>
  <sheetViews>
    <sheetView zoomScale="110" zoomScaleNormal="110" workbookViewId="0"/>
  </sheetViews>
  <sheetFormatPr baseColWidth="10" defaultColWidth="15.125" defaultRowHeight="12.75"/>
  <cols>
    <col min="1" max="1" width="29" style="309" bestFit="1" customWidth="1"/>
    <col min="2" max="2" width="14.625" style="309" bestFit="1" customWidth="1"/>
    <col min="3" max="3" width="16.5" style="309" customWidth="1"/>
    <col min="4" max="4" width="17.875" style="309" bestFit="1" customWidth="1"/>
    <col min="5" max="5" width="16.5" style="309" bestFit="1" customWidth="1"/>
    <col min="6" max="6" width="13" style="309" bestFit="1" customWidth="1"/>
    <col min="7" max="7" width="13" style="309" customWidth="1"/>
    <col min="8" max="8" width="13.875" style="309" customWidth="1"/>
    <col min="9" max="9" width="13.375" style="309" customWidth="1"/>
    <col min="10" max="10" width="11.625" style="309" bestFit="1" customWidth="1"/>
    <col min="11" max="11" width="3" style="309" bestFit="1" customWidth="1"/>
    <col min="12" max="12" width="15.125" style="309"/>
    <col min="13" max="13" width="1" style="371" customWidth="1"/>
    <col min="14" max="14" width="13.375" style="309" customWidth="1"/>
    <col min="15" max="15" width="6" style="309" bestFit="1" customWidth="1"/>
    <col min="16" max="16" width="1" style="371" customWidth="1"/>
    <col min="17" max="18" width="13.375" style="309" customWidth="1"/>
    <col min="19" max="19" width="15.125" style="309"/>
    <col min="20" max="20" width="3" style="309" bestFit="1" customWidth="1"/>
    <col min="21" max="16384" width="15.125" style="309"/>
  </cols>
  <sheetData>
    <row r="1" spans="1:18" ht="26.25" thickBot="1">
      <c r="A1" s="307"/>
      <c r="B1" s="308" t="s">
        <v>361</v>
      </c>
      <c r="C1" s="307" t="s">
        <v>660</v>
      </c>
      <c r="D1" s="307" t="s">
        <v>661</v>
      </c>
      <c r="E1" s="307" t="s">
        <v>662</v>
      </c>
      <c r="F1" s="308" t="s">
        <v>663</v>
      </c>
      <c r="G1" s="307" t="s">
        <v>664</v>
      </c>
      <c r="H1" s="307" t="s">
        <v>665</v>
      </c>
      <c r="I1" s="307" t="s">
        <v>666</v>
      </c>
      <c r="J1" s="307" t="s">
        <v>667</v>
      </c>
      <c r="N1" s="307" t="s">
        <v>421</v>
      </c>
      <c r="Q1" s="307" t="s">
        <v>31</v>
      </c>
      <c r="R1" s="307" t="s">
        <v>31</v>
      </c>
    </row>
    <row r="2" spans="1:18">
      <c r="A2" s="310"/>
      <c r="B2" s="521" t="s">
        <v>668</v>
      </c>
      <c r="C2" s="521"/>
      <c r="D2" s="521"/>
      <c r="E2" s="521"/>
      <c r="F2" s="521"/>
      <c r="G2" s="521"/>
      <c r="H2" s="521"/>
      <c r="I2" s="521"/>
      <c r="J2" s="521"/>
    </row>
    <row r="3" spans="1:18">
      <c r="A3" s="311" t="s">
        <v>669</v>
      </c>
      <c r="B3" s="312"/>
      <c r="C3" s="312"/>
      <c r="D3" s="313"/>
      <c r="E3" s="313"/>
      <c r="F3" s="313"/>
      <c r="G3" s="312"/>
      <c r="H3" s="312"/>
      <c r="I3" s="313"/>
      <c r="J3" s="313"/>
      <c r="N3" s="313"/>
      <c r="Q3" s="313"/>
      <c r="R3" s="313"/>
    </row>
    <row r="4" spans="1:18" s="317" customFormat="1">
      <c r="A4" s="328" t="s">
        <v>675</v>
      </c>
      <c r="B4" s="315">
        <f>ROUND(SUM('HW PYMES'!E29:E30)/1000,0)</f>
        <v>7650350</v>
      </c>
      <c r="C4" s="315">
        <f>ROUND(SUM('HW PYMES'!E33:E35)/1000,0)</f>
        <v>9245196</v>
      </c>
      <c r="D4" s="316">
        <f>ROUND(SUM('HW PYMES'!E36:E37)/1000,0)</f>
        <v>13432270</v>
      </c>
      <c r="E4" s="316">
        <f>ROUND(SUM('HW PYMES'!E38)/1000,0)+1</f>
        <v>40323</v>
      </c>
      <c r="F4" s="316">
        <f>ROUND(SUM('HW PYMES'!E39)/1000,0)</f>
        <v>120982</v>
      </c>
      <c r="G4" s="315">
        <f>ROUND(SUM('HW PYMES'!E40)/1000,0)</f>
        <v>2343903</v>
      </c>
      <c r="H4" s="315">
        <f>ROUND(SUM('HW PYMES'!E31)/1000,0)</f>
        <v>47657</v>
      </c>
      <c r="I4" s="316">
        <f>ROUND(SUM('HW PYMES'!E32)/1000,0)</f>
        <v>0</v>
      </c>
      <c r="J4" s="316">
        <f t="shared" ref="J4:J8" si="0">SUM(B4:I4)</f>
        <v>32880681</v>
      </c>
      <c r="K4" s="317">
        <f>SUM(B4:I4)-L4</f>
        <v>0</v>
      </c>
      <c r="L4" s="317">
        <f>ROUND(SUM('HW PYMES'!E29:E40)/1000,0)</f>
        <v>32880681</v>
      </c>
      <c r="M4" s="371"/>
      <c r="N4" s="316">
        <f>ROUND(Arrendam!H7/1000,0)</f>
        <v>36228</v>
      </c>
      <c r="P4" s="371"/>
      <c r="Q4" s="316">
        <f>ROUND(SUM('HW PYMES'!E51)/1000,0)</f>
        <v>25822</v>
      </c>
      <c r="R4" s="316">
        <f>ROUND(SUM('HW PYMES'!E50)/1000,0)</f>
        <v>0</v>
      </c>
    </row>
    <row r="5" spans="1:18" s="317" customFormat="1">
      <c r="A5" s="328" t="s">
        <v>670</v>
      </c>
      <c r="B5" s="315" t="s">
        <v>671</v>
      </c>
      <c r="C5" s="315" t="s">
        <v>671</v>
      </c>
      <c r="D5" s="315" t="s">
        <v>671</v>
      </c>
      <c r="E5" s="316" t="s">
        <v>671</v>
      </c>
      <c r="F5" s="316" t="s">
        <v>671</v>
      </c>
      <c r="G5" s="315" t="s">
        <v>671</v>
      </c>
      <c r="H5" s="315">
        <v>954942</v>
      </c>
      <c r="I5" s="316" t="s">
        <v>671</v>
      </c>
      <c r="J5" s="316">
        <f t="shared" si="0"/>
        <v>954942</v>
      </c>
      <c r="M5" s="371"/>
      <c r="N5" s="316" t="s">
        <v>671</v>
      </c>
      <c r="P5" s="371"/>
      <c r="Q5" s="316">
        <f>ROUND(SUM('Int y Dif'!C21:C27)/1000,0)</f>
        <v>84823</v>
      </c>
      <c r="R5" s="316">
        <f>416250-1</f>
        <v>416249</v>
      </c>
    </row>
    <row r="6" spans="1:18" s="317" customFormat="1">
      <c r="A6" s="328" t="s">
        <v>673</v>
      </c>
      <c r="B6" s="315" t="s">
        <v>671</v>
      </c>
      <c r="C6" s="315" t="s">
        <v>671</v>
      </c>
      <c r="D6" s="315">
        <f>1268774-416249</f>
        <v>852525</v>
      </c>
      <c r="E6" s="316">
        <v>7731</v>
      </c>
      <c r="F6" s="316">
        <v>17343</v>
      </c>
      <c r="G6" s="315">
        <v>125000</v>
      </c>
      <c r="H6" s="315">
        <v>-1002599</v>
      </c>
      <c r="I6" s="316" t="s">
        <v>671</v>
      </c>
      <c r="J6" s="316">
        <f t="shared" si="0"/>
        <v>0</v>
      </c>
      <c r="M6" s="371"/>
      <c r="N6" s="316" t="s">
        <v>671</v>
      </c>
      <c r="P6" s="371"/>
      <c r="Q6" s="316" t="s">
        <v>671</v>
      </c>
      <c r="R6" s="316" t="s">
        <v>671</v>
      </c>
    </row>
    <row r="7" spans="1:18" s="317" customFormat="1" ht="13.5" thickBot="1">
      <c r="A7" s="328" t="s">
        <v>672</v>
      </c>
      <c r="B7" s="318" t="s">
        <v>671</v>
      </c>
      <c r="C7" s="318" t="s">
        <v>671</v>
      </c>
      <c r="D7" s="318" t="s">
        <v>671</v>
      </c>
      <c r="E7" s="318" t="s">
        <v>671</v>
      </c>
      <c r="F7" s="318">
        <v>-1680</v>
      </c>
      <c r="G7" s="319" t="s">
        <v>671</v>
      </c>
      <c r="H7" s="319" t="s">
        <v>671</v>
      </c>
      <c r="I7" s="319" t="s">
        <v>671</v>
      </c>
      <c r="J7" s="318">
        <f t="shared" si="0"/>
        <v>-1680</v>
      </c>
      <c r="M7" s="371"/>
      <c r="N7" s="318" t="s">
        <v>671</v>
      </c>
      <c r="P7" s="371"/>
      <c r="Q7" s="318">
        <v>-6167</v>
      </c>
      <c r="R7" s="318" t="s">
        <v>671</v>
      </c>
    </row>
    <row r="8" spans="1:18" s="317" customFormat="1">
      <c r="A8" s="328" t="s">
        <v>778</v>
      </c>
      <c r="B8" s="315">
        <f>ROUND(SUM('HW PYMES'!I29:I30)/1000,0)</f>
        <v>7650350</v>
      </c>
      <c r="C8" s="315">
        <f>ROUND(SUM('HW PYMES'!I33:I35)/1000,0)</f>
        <v>9245196</v>
      </c>
      <c r="D8" s="316">
        <f>ROUND(SUM('HW PYMES'!I36:I37)/1000,0)</f>
        <v>14284795</v>
      </c>
      <c r="E8" s="316">
        <f>ROUND(SUM('HW PYMES'!I38)/1000,0)</f>
        <v>48054</v>
      </c>
      <c r="F8" s="316">
        <f>ROUND(SUM('HW PYMES'!I39)/1000,0)</f>
        <v>136645</v>
      </c>
      <c r="G8" s="315">
        <f>ROUND(SUM('HW PYMES'!I40)/1000,0)</f>
        <v>2468903</v>
      </c>
      <c r="H8" s="315">
        <f>ROUND(SUM('HW PYMES'!I31)/1000,0)</f>
        <v>0</v>
      </c>
      <c r="I8" s="316">
        <f>ROUND(SUM('HW PYMES'!I32)/1000,0)</f>
        <v>0</v>
      </c>
      <c r="J8" s="316">
        <f t="shared" si="0"/>
        <v>33833943</v>
      </c>
      <c r="K8" s="317">
        <f>SUM(B8:I8)-L8</f>
        <v>0</v>
      </c>
      <c r="L8" s="317">
        <f>ROUND(SUM('HW PYMES'!I29:I40)/1000,0)</f>
        <v>33833943</v>
      </c>
      <c r="M8" s="371"/>
      <c r="N8" s="316">
        <f>ROUND(Arrendam!H7/1000,0)</f>
        <v>36228</v>
      </c>
      <c r="P8" s="371"/>
      <c r="Q8" s="316">
        <f>ROUND(SUM('HW PYMES'!I51)/1000,0)</f>
        <v>104478</v>
      </c>
      <c r="R8" s="316">
        <f>ROUND(SUM('HW PYMES'!I50)/1000,0)-1</f>
        <v>416249</v>
      </c>
    </row>
    <row r="9" spans="1:18" s="317" customFormat="1">
      <c r="A9" s="338" t="s">
        <v>670</v>
      </c>
      <c r="B9" s="315" t="s">
        <v>671</v>
      </c>
      <c r="C9" s="315">
        <f>ROUND(SUM('P, Pl y Eq 2021'!AA42)/1000,0)</f>
        <v>24446</v>
      </c>
      <c r="D9" s="315">
        <f>ROUND(SUM('P, Pl y Eq 2021'!AA260:AA290)/1000,0)+1+19992</f>
        <v>624634</v>
      </c>
      <c r="E9" s="315" t="s">
        <v>671</v>
      </c>
      <c r="F9" s="315">
        <f>ROUND(SUM('P, Pl y Eq 2021'!AA323:AA332)/1000,0)</f>
        <v>33917</v>
      </c>
      <c r="G9" s="315" t="s">
        <v>671</v>
      </c>
      <c r="H9" s="315">
        <f>ROUND(SUM('P, Pl y Eq 2021'!AA32)/1000,0)</f>
        <v>96607</v>
      </c>
      <c r="I9" s="315" t="s">
        <v>671</v>
      </c>
      <c r="J9" s="316">
        <f t="shared" ref="J9:J11" si="1">SUM(B9:I9)</f>
        <v>779604</v>
      </c>
      <c r="M9" s="371"/>
      <c r="N9" s="316" t="s">
        <v>671</v>
      </c>
      <c r="P9" s="371"/>
      <c r="Q9" s="316">
        <f>ROUND(SUM('Int y Dif'!C60:C63)/1000,0)</f>
        <v>21104</v>
      </c>
      <c r="R9" s="316">
        <v>0</v>
      </c>
    </row>
    <row r="10" spans="1:18" s="317" customFormat="1">
      <c r="A10" s="338" t="s">
        <v>673</v>
      </c>
      <c r="B10" s="315" t="s">
        <v>671</v>
      </c>
      <c r="C10" s="315" t="s">
        <v>671</v>
      </c>
      <c r="D10" s="315" t="s">
        <v>671</v>
      </c>
      <c r="E10" s="315" t="s">
        <v>671</v>
      </c>
      <c r="F10" s="315" t="s">
        <v>671</v>
      </c>
      <c r="G10" s="315" t="s">
        <v>671</v>
      </c>
      <c r="H10" s="315" t="s">
        <v>671</v>
      </c>
      <c r="I10" s="315" t="s">
        <v>671</v>
      </c>
      <c r="J10" s="316">
        <f t="shared" si="1"/>
        <v>0</v>
      </c>
      <c r="M10" s="371"/>
      <c r="N10" s="316" t="s">
        <v>671</v>
      </c>
      <c r="P10" s="371"/>
      <c r="Q10" s="316" t="s">
        <v>671</v>
      </c>
      <c r="R10" s="316" t="s">
        <v>671</v>
      </c>
    </row>
    <row r="11" spans="1:18" s="317" customFormat="1" ht="13.5" thickBot="1">
      <c r="A11" s="338" t="s">
        <v>672</v>
      </c>
      <c r="B11" s="315" t="s">
        <v>671</v>
      </c>
      <c r="C11" s="315" t="s">
        <v>671</v>
      </c>
      <c r="D11" s="315">
        <v>-19992</v>
      </c>
      <c r="E11" s="315" t="s">
        <v>671</v>
      </c>
      <c r="F11" s="315" t="s">
        <v>671</v>
      </c>
      <c r="G11" s="315" t="s">
        <v>671</v>
      </c>
      <c r="H11" s="315" t="s">
        <v>671</v>
      </c>
      <c r="I11" s="315" t="s">
        <v>671</v>
      </c>
      <c r="J11" s="316">
        <f t="shared" si="1"/>
        <v>-19992</v>
      </c>
      <c r="M11" s="371"/>
      <c r="N11" s="316" t="s">
        <v>671</v>
      </c>
      <c r="P11" s="371"/>
      <c r="Q11" s="316" t="s">
        <v>671</v>
      </c>
      <c r="R11" s="316" t="s">
        <v>671</v>
      </c>
    </row>
    <row r="12" spans="1:18" s="317" customFormat="1" ht="13.5" thickBot="1">
      <c r="A12" s="338" t="s">
        <v>1037</v>
      </c>
      <c r="B12" s="320">
        <f>ROUND(SUM('HW PYMES'!M29:M30)/1000,0)</f>
        <v>7650350</v>
      </c>
      <c r="C12" s="320">
        <f>ROUND(SUM('HW PYMES'!M33:M35)/1000,0)</f>
        <v>9269642</v>
      </c>
      <c r="D12" s="320">
        <f>ROUND(SUM('HW PYMES'!M36:M37)/1000,0)</f>
        <v>14889437</v>
      </c>
      <c r="E12" s="320">
        <f>ROUND(SUM('HW PYMES'!M38)/1000,0)</f>
        <v>48054</v>
      </c>
      <c r="F12" s="320">
        <f>ROUND(SUM('HW PYMES'!M39)/1000,0)</f>
        <v>170562</v>
      </c>
      <c r="G12" s="321">
        <f>ROUND(SUM('HW PYMES'!M40)/1000,0)</f>
        <v>2468903</v>
      </c>
      <c r="H12" s="321">
        <f>ROUND(SUM('HW PYMES'!M31)/1000,0)</f>
        <v>96607</v>
      </c>
      <c r="I12" s="320">
        <f>ROUND(SUM('HW PYMES'!M32)/1000,0)</f>
        <v>0</v>
      </c>
      <c r="J12" s="321">
        <f>SUM(B12:I12)</f>
        <v>34593555</v>
      </c>
      <c r="K12" s="317">
        <f>SUM(B12:I12)-L12</f>
        <v>0</v>
      </c>
      <c r="L12" s="317">
        <f>ROUND(SUM('HW PYMES'!M29:M40)/1000,0)</f>
        <v>34593555</v>
      </c>
      <c r="M12" s="371"/>
      <c r="N12" s="321">
        <f>ROUND(Arrendam!H7/1000,0)</f>
        <v>36228</v>
      </c>
      <c r="P12" s="371"/>
      <c r="Q12" s="321">
        <f>ROUND(SUM('HW PYMES'!M51)/1000,0)+1</f>
        <v>125582</v>
      </c>
      <c r="R12" s="321">
        <f>ROUND(SUM('HW PYMES'!M50)/1000,0)-1</f>
        <v>416249</v>
      </c>
    </row>
    <row r="13" spans="1:18" s="317" customFormat="1" ht="13.5" thickTop="1">
      <c r="A13" s="322"/>
      <c r="B13" s="316"/>
      <c r="C13" s="316"/>
      <c r="D13" s="316"/>
      <c r="E13" s="316"/>
      <c r="F13" s="316"/>
      <c r="G13" s="316"/>
      <c r="H13" s="316"/>
      <c r="I13" s="316"/>
      <c r="J13" s="316"/>
      <c r="M13" s="371"/>
      <c r="N13" s="316"/>
      <c r="P13" s="371"/>
      <c r="Q13" s="316"/>
      <c r="R13" s="316"/>
    </row>
    <row r="14" spans="1:18" s="317" customFormat="1">
      <c r="A14" s="329" t="s">
        <v>674</v>
      </c>
      <c r="B14" s="315"/>
      <c r="C14" s="315"/>
      <c r="D14" s="315"/>
      <c r="E14" s="315"/>
      <c r="F14" s="315"/>
      <c r="G14" s="315"/>
      <c r="H14" s="315"/>
      <c r="I14" s="315"/>
      <c r="J14" s="315"/>
      <c r="M14" s="371"/>
      <c r="N14" s="315"/>
      <c r="P14" s="371"/>
      <c r="Q14" s="315"/>
      <c r="R14" s="315"/>
    </row>
    <row r="15" spans="1:18" s="317" customFormat="1">
      <c r="A15" s="323" t="s">
        <v>675</v>
      </c>
      <c r="B15" s="316">
        <v>0</v>
      </c>
      <c r="C15" s="316">
        <f>ROUND(SUM('HW PYMES'!E41:E43)/1000,0)</f>
        <v>-428018</v>
      </c>
      <c r="D15" s="316">
        <f>ROUND(SUM('HW PYMES'!E44:E45)/1000,0)</f>
        <v>-1118538</v>
      </c>
      <c r="E15" s="316">
        <f>ROUND(SUM('HW PYMES'!E46)/1000,0)</f>
        <v>-10650</v>
      </c>
      <c r="F15" s="316">
        <f>ROUND(SUM('HW PYMES'!E47)/1000,0)</f>
        <v>-26501</v>
      </c>
      <c r="G15" s="315">
        <f>ROUND(SUM('HW PYMES'!E48)/1000,0)</f>
        <v>-752174</v>
      </c>
      <c r="H15" s="315">
        <v>0</v>
      </c>
      <c r="I15" s="316">
        <v>0</v>
      </c>
      <c r="J15" s="316">
        <f t="shared" ref="J15:J17" si="2">SUM(B15:I15)</f>
        <v>-2335881</v>
      </c>
      <c r="K15" s="317">
        <f>SUM(B15:I15)-L15</f>
        <v>0</v>
      </c>
      <c r="L15" s="317">
        <f>ROUND(SUM('HW PYMES'!E41:E48)/1000,0)</f>
        <v>-2335881</v>
      </c>
      <c r="M15" s="371"/>
      <c r="N15" s="316">
        <f>-ROUND(SUM(Arrendam!I7:I52)/1000,0)</f>
        <v>-27775</v>
      </c>
      <c r="P15" s="371"/>
      <c r="Q15" s="316">
        <f>ROUND(SUM('HW PYMES'!E53)/1000,0)+1</f>
        <v>-12037</v>
      </c>
      <c r="R15" s="316">
        <v>0</v>
      </c>
    </row>
    <row r="16" spans="1:18" s="317" customFormat="1">
      <c r="A16" s="314" t="s">
        <v>670</v>
      </c>
      <c r="B16" s="316" t="s">
        <v>671</v>
      </c>
      <c r="C16" s="316">
        <f>-194596-10853</f>
        <v>-205449</v>
      </c>
      <c r="D16" s="316">
        <v>-683784</v>
      </c>
      <c r="E16" s="316">
        <f>-4483-1</f>
        <v>-4484</v>
      </c>
      <c r="F16" s="316">
        <v>-21107</v>
      </c>
      <c r="G16" s="315">
        <v>-236543</v>
      </c>
      <c r="H16" s="315" t="s">
        <v>671</v>
      </c>
      <c r="I16" s="316" t="s">
        <v>671</v>
      </c>
      <c r="J16" s="316">
        <f t="shared" si="2"/>
        <v>-1151367</v>
      </c>
      <c r="M16" s="371"/>
      <c r="N16" s="316">
        <f>N18-N15</f>
        <v>-7245</v>
      </c>
      <c r="P16" s="371"/>
      <c r="Q16" s="316">
        <v>-6550</v>
      </c>
      <c r="R16" s="316" t="s">
        <v>671</v>
      </c>
    </row>
    <row r="17" spans="1:20" s="317" customFormat="1" ht="13.5" thickBot="1">
      <c r="A17" s="314" t="s">
        <v>672</v>
      </c>
      <c r="B17" s="318" t="s">
        <v>671</v>
      </c>
      <c r="C17" s="318" t="s">
        <v>671</v>
      </c>
      <c r="D17" s="318" t="s">
        <v>671</v>
      </c>
      <c r="E17" s="318" t="s">
        <v>671</v>
      </c>
      <c r="F17" s="318">
        <f>-F7</f>
        <v>1680</v>
      </c>
      <c r="G17" s="319" t="s">
        <v>671</v>
      </c>
      <c r="H17" s="319" t="s">
        <v>671</v>
      </c>
      <c r="I17" s="318" t="s">
        <v>671</v>
      </c>
      <c r="J17" s="318">
        <f t="shared" si="2"/>
        <v>1680</v>
      </c>
      <c r="M17" s="371"/>
      <c r="N17" s="318" t="s">
        <v>671</v>
      </c>
      <c r="P17" s="371"/>
      <c r="Q17" s="318">
        <f>-Q7</f>
        <v>6167</v>
      </c>
      <c r="R17" s="318" t="s">
        <v>671</v>
      </c>
    </row>
    <row r="18" spans="1:20" s="317" customFormat="1">
      <c r="A18" s="314" t="s">
        <v>778</v>
      </c>
      <c r="B18" s="316">
        <v>0</v>
      </c>
      <c r="C18" s="316">
        <f>ROUND(SUM('HW PYMES'!I41:I43)/1000,0)</f>
        <v>-633467</v>
      </c>
      <c r="D18" s="316">
        <f>ROUND(SUM('HW PYMES'!I44:I45)/1000,0)</f>
        <v>-1802322</v>
      </c>
      <c r="E18" s="316">
        <f>ROUND(SUM('HW PYMES'!I46)/1000,0)-1</f>
        <v>-15134</v>
      </c>
      <c r="F18" s="316">
        <f>ROUND(SUM('HW PYMES'!I47)/1000,0)</f>
        <v>-45928</v>
      </c>
      <c r="G18" s="315">
        <f>ROUND(SUM('HW PYMES'!I48)/1000,0)</f>
        <v>-988717</v>
      </c>
      <c r="H18" s="315">
        <v>0</v>
      </c>
      <c r="I18" s="316">
        <v>0</v>
      </c>
      <c r="J18" s="316">
        <f>SUM(B18:I18)</f>
        <v>-3485568</v>
      </c>
      <c r="K18" s="317">
        <f>SUM(B18:I18)-L18</f>
        <v>0</v>
      </c>
      <c r="L18" s="317">
        <f>ROUND(SUM('HW PYMES'!I41:I48)/1000,0)</f>
        <v>-3485568</v>
      </c>
      <c r="M18" s="371"/>
      <c r="N18" s="316">
        <f>-ROUND(SUM(Arrendam!I7:I64)/1000,0)+1</f>
        <v>-35020</v>
      </c>
      <c r="P18" s="371"/>
      <c r="Q18" s="316">
        <f>ROUND(SUM('HW PYMES'!I53)/1000,0)</f>
        <v>-12420</v>
      </c>
      <c r="R18" s="316">
        <v>0</v>
      </c>
    </row>
    <row r="19" spans="1:20" s="317" customFormat="1">
      <c r="A19" s="338" t="s">
        <v>670</v>
      </c>
      <c r="B19" s="316" t="s">
        <v>671</v>
      </c>
      <c r="C19" s="316">
        <f>-ROUND(SUM('P, Pl y Eq 2021'!AG34:AG42)/1000,0)</f>
        <v>-205539</v>
      </c>
      <c r="D19" s="316">
        <f>-ROUND(SUM('P, Pl y Eq 2021'!AG44:AG290)/1000,0)-1333</f>
        <v>-732172</v>
      </c>
      <c r="E19" s="316">
        <f>-ROUND(SUM('P, Pl y Eq 2021'!AG292:AG295)/1000,0)</f>
        <v>-4805</v>
      </c>
      <c r="F19" s="316">
        <f>-ROUND(SUM('P, Pl y Eq 2021'!AG297:AG332)/1000,0)</f>
        <v>-22151</v>
      </c>
      <c r="G19" s="316">
        <f>-ROUND(SUM('P, Pl y Eq 2021'!AG334:AG342)/1000,0)</f>
        <v>-242837</v>
      </c>
      <c r="H19" s="316" t="s">
        <v>671</v>
      </c>
      <c r="I19" s="316" t="s">
        <v>671</v>
      </c>
      <c r="J19" s="316">
        <f t="shared" ref="J19:J20" si="3">SUM(B19:I19)</f>
        <v>-1207504</v>
      </c>
      <c r="M19" s="371"/>
      <c r="N19" s="316">
        <f>N21-N18</f>
        <v>-1208</v>
      </c>
      <c r="P19" s="371"/>
      <c r="Q19" s="316">
        <f>-ROUND(SUM('Int y Dif'!T47:T51,'Int y Dif'!T59:T63)/1000,0)</f>
        <v>-33610</v>
      </c>
      <c r="R19" s="316" t="s">
        <v>671</v>
      </c>
    </row>
    <row r="20" spans="1:20" s="317" customFormat="1" ht="13.5" thickBot="1">
      <c r="A20" s="338" t="s">
        <v>672</v>
      </c>
      <c r="B20" s="318" t="s">
        <v>671</v>
      </c>
      <c r="C20" s="318" t="s">
        <v>671</v>
      </c>
      <c r="D20" s="318">
        <v>1333</v>
      </c>
      <c r="E20" s="318" t="s">
        <v>671</v>
      </c>
      <c r="F20" s="318" t="s">
        <v>671</v>
      </c>
      <c r="G20" s="318" t="s">
        <v>671</v>
      </c>
      <c r="H20" s="318" t="s">
        <v>671</v>
      </c>
      <c r="I20" s="318" t="s">
        <v>671</v>
      </c>
      <c r="J20" s="318">
        <f t="shared" si="3"/>
        <v>1333</v>
      </c>
      <c r="M20" s="371"/>
      <c r="N20" s="318" t="s">
        <v>671</v>
      </c>
      <c r="P20" s="371"/>
      <c r="Q20" s="318" t="s">
        <v>671</v>
      </c>
      <c r="R20" s="318" t="s">
        <v>671</v>
      </c>
    </row>
    <row r="21" spans="1:20" s="317" customFormat="1" ht="13.5" thickBot="1">
      <c r="A21" s="338" t="s">
        <v>1037</v>
      </c>
      <c r="B21" s="324">
        <v>0</v>
      </c>
      <c r="C21" s="324">
        <f>ROUND(SUM('HW PYMES'!M41:M43)/1000,0)</f>
        <v>-839006</v>
      </c>
      <c r="D21" s="324">
        <f>ROUND(SUM('HW PYMES'!M44:M45)/1000,0)</f>
        <v>-2533161</v>
      </c>
      <c r="E21" s="324">
        <f>ROUND(SUM('HW PYMES'!M46)/1000,0)-1</f>
        <v>-19939</v>
      </c>
      <c r="F21" s="324">
        <f>ROUND(SUM('HW PYMES'!M47)/1000,0)</f>
        <v>-68079</v>
      </c>
      <c r="G21" s="325">
        <f>ROUND(SUM('HW PYMES'!M48)/1000,0)</f>
        <v>-1231554</v>
      </c>
      <c r="H21" s="325">
        <v>0</v>
      </c>
      <c r="I21" s="324">
        <v>0</v>
      </c>
      <c r="J21" s="324">
        <f>SUM(B21:I21)</f>
        <v>-4691739</v>
      </c>
      <c r="K21" s="317">
        <f>SUM(B21:I21)-L21</f>
        <v>0</v>
      </c>
      <c r="L21" s="317">
        <f>ROUND(SUM('HW PYMES'!M41:M48)/1000,0)</f>
        <v>-4691739</v>
      </c>
      <c r="M21" s="371"/>
      <c r="N21" s="324">
        <f>-ROUND(SUM(Arrendam!I7:I66)/1000,0)</f>
        <v>-36228</v>
      </c>
      <c r="P21" s="371"/>
      <c r="Q21" s="324">
        <f>ROUND(SUM('HW PYMES'!M53)/1000,0)</f>
        <v>-46030</v>
      </c>
      <c r="R21" s="324">
        <v>0</v>
      </c>
    </row>
    <row r="22" spans="1:20" s="317" customFormat="1" ht="13.5" thickTop="1">
      <c r="A22" s="522" t="s">
        <v>613</v>
      </c>
      <c r="B22" s="315"/>
      <c r="C22" s="315"/>
      <c r="D22" s="315"/>
      <c r="E22" s="315"/>
      <c r="F22" s="315"/>
      <c r="G22" s="315"/>
      <c r="H22" s="315"/>
      <c r="I22" s="315"/>
      <c r="J22" s="315"/>
      <c r="M22" s="371"/>
      <c r="N22" s="315"/>
      <c r="P22" s="371"/>
      <c r="Q22" s="315"/>
      <c r="R22" s="315"/>
    </row>
    <row r="23" spans="1:20" s="317" customFormat="1">
      <c r="A23" s="522"/>
      <c r="B23" s="315">
        <f t="shared" ref="B23:J23" si="4">B4+B15</f>
        <v>7650350</v>
      </c>
      <c r="C23" s="315">
        <f t="shared" si="4"/>
        <v>8817178</v>
      </c>
      <c r="D23" s="315">
        <f t="shared" si="4"/>
        <v>12313732</v>
      </c>
      <c r="E23" s="315">
        <f t="shared" si="4"/>
        <v>29673</v>
      </c>
      <c r="F23" s="315">
        <f t="shared" si="4"/>
        <v>94481</v>
      </c>
      <c r="G23" s="315">
        <f t="shared" si="4"/>
        <v>1591729</v>
      </c>
      <c r="H23" s="315">
        <f t="shared" si="4"/>
        <v>47657</v>
      </c>
      <c r="I23" s="315">
        <f t="shared" si="4"/>
        <v>0</v>
      </c>
      <c r="J23" s="315">
        <f t="shared" si="4"/>
        <v>30544800</v>
      </c>
      <c r="K23" s="317">
        <f>SUM(B23:I23)-J23</f>
        <v>0</v>
      </c>
      <c r="L23" s="317">
        <f>ESF_ERI_PYMES!H17</f>
        <v>8453</v>
      </c>
      <c r="M23" s="371"/>
      <c r="N23" s="315">
        <f>N4+N15</f>
        <v>8453</v>
      </c>
      <c r="O23" s="317">
        <f>L23-N23</f>
        <v>0</v>
      </c>
      <c r="P23" s="371"/>
      <c r="Q23" s="315">
        <f>Q4+Q15</f>
        <v>13785</v>
      </c>
      <c r="R23" s="315">
        <f>R4+R15</f>
        <v>0</v>
      </c>
      <c r="S23" s="317">
        <f>ESF_ERI_PYMES!H19</f>
        <v>13785</v>
      </c>
      <c r="T23" s="317">
        <f>SUM(Q23:R23)-S23</f>
        <v>0</v>
      </c>
    </row>
    <row r="24" spans="1:20" s="317" customFormat="1">
      <c r="A24" s="522" t="s">
        <v>745</v>
      </c>
      <c r="B24" s="315"/>
      <c r="C24" s="315"/>
      <c r="D24" s="315"/>
      <c r="E24" s="315"/>
      <c r="F24" s="315"/>
      <c r="G24" s="315"/>
      <c r="H24" s="315"/>
      <c r="I24" s="315"/>
      <c r="J24" s="315"/>
      <c r="M24" s="371"/>
      <c r="N24" s="315"/>
      <c r="P24" s="371"/>
      <c r="Q24" s="315"/>
      <c r="R24" s="315"/>
    </row>
    <row r="25" spans="1:20" s="317" customFormat="1" ht="13.5" thickBot="1">
      <c r="A25" s="522"/>
      <c r="B25" s="319">
        <f t="shared" ref="B25:J25" si="5">B8+B18</f>
        <v>7650350</v>
      </c>
      <c r="C25" s="319">
        <f t="shared" si="5"/>
        <v>8611729</v>
      </c>
      <c r="D25" s="319">
        <f t="shared" si="5"/>
        <v>12482473</v>
      </c>
      <c r="E25" s="319">
        <f t="shared" si="5"/>
        <v>32920</v>
      </c>
      <c r="F25" s="319">
        <f t="shared" si="5"/>
        <v>90717</v>
      </c>
      <c r="G25" s="319">
        <f t="shared" si="5"/>
        <v>1480186</v>
      </c>
      <c r="H25" s="319">
        <f t="shared" si="5"/>
        <v>0</v>
      </c>
      <c r="I25" s="319">
        <f t="shared" si="5"/>
        <v>0</v>
      </c>
      <c r="J25" s="319">
        <f t="shared" si="5"/>
        <v>30348375</v>
      </c>
      <c r="K25" s="317">
        <f>SUM(B25:I25)-J25</f>
        <v>0</v>
      </c>
      <c r="L25" s="317">
        <f>ESF_ERI_PYMES!G17</f>
        <v>1208</v>
      </c>
      <c r="M25" s="371"/>
      <c r="N25" s="319">
        <f>N8+N18</f>
        <v>1208</v>
      </c>
      <c r="O25" s="317">
        <f>L25-N25</f>
        <v>0</v>
      </c>
      <c r="P25" s="371"/>
      <c r="Q25" s="319">
        <f>Q8+Q18</f>
        <v>92058</v>
      </c>
      <c r="R25" s="319">
        <f>R8+R18</f>
        <v>416249</v>
      </c>
      <c r="S25" s="317">
        <f>ESF_ERI_PYMES!G19</f>
        <v>508307</v>
      </c>
      <c r="T25" s="317">
        <f>SUM(Q25:R25)-S25</f>
        <v>0</v>
      </c>
    </row>
    <row r="26" spans="1:20" s="317" customFormat="1">
      <c r="A26" s="523" t="s">
        <v>1039</v>
      </c>
      <c r="B26" s="326"/>
      <c r="C26" s="326"/>
      <c r="D26" s="326"/>
      <c r="E26" s="326"/>
      <c r="F26" s="326"/>
      <c r="G26" s="326"/>
      <c r="H26" s="326"/>
      <c r="I26" s="326"/>
      <c r="J26" s="326"/>
      <c r="M26" s="371"/>
      <c r="N26" s="326"/>
      <c r="P26" s="371"/>
      <c r="Q26" s="326"/>
      <c r="R26" s="326"/>
    </row>
    <row r="27" spans="1:20" s="317" customFormat="1" ht="13.5" thickBot="1">
      <c r="A27" s="523"/>
      <c r="B27" s="327">
        <f t="shared" ref="B27:J27" si="6">B12+B21</f>
        <v>7650350</v>
      </c>
      <c r="C27" s="327">
        <f t="shared" si="6"/>
        <v>8430636</v>
      </c>
      <c r="D27" s="327">
        <f t="shared" si="6"/>
        <v>12356276</v>
      </c>
      <c r="E27" s="327">
        <f t="shared" si="6"/>
        <v>28115</v>
      </c>
      <c r="F27" s="327">
        <f t="shared" si="6"/>
        <v>102483</v>
      </c>
      <c r="G27" s="327">
        <f t="shared" si="6"/>
        <v>1237349</v>
      </c>
      <c r="H27" s="327">
        <f t="shared" si="6"/>
        <v>96607</v>
      </c>
      <c r="I27" s="327">
        <f t="shared" si="6"/>
        <v>0</v>
      </c>
      <c r="J27" s="327">
        <f t="shared" si="6"/>
        <v>29901816</v>
      </c>
      <c r="K27" s="317">
        <f>SUM(B27:I27)-J27</f>
        <v>0</v>
      </c>
      <c r="L27" s="317">
        <f>ESF_ERI_PYMES!F17</f>
        <v>0</v>
      </c>
      <c r="M27" s="371"/>
      <c r="N27" s="327">
        <f>N12+N21</f>
        <v>0</v>
      </c>
      <c r="O27" s="317">
        <f>L27-N27</f>
        <v>0</v>
      </c>
      <c r="P27" s="371"/>
      <c r="Q27" s="327">
        <f>Q12+Q21</f>
        <v>79552</v>
      </c>
      <c r="R27" s="327">
        <f>R12+R21</f>
        <v>416249</v>
      </c>
      <c r="S27" s="317">
        <f>ESF_ERI_PYMES!F19</f>
        <v>495801</v>
      </c>
      <c r="T27" s="317">
        <f>SUM(Q27:R27)-S27</f>
        <v>0</v>
      </c>
    </row>
    <row r="28" spans="1:20" ht="13.5" thickTop="1"/>
    <row r="29" spans="1:20">
      <c r="B29" s="309">
        <f t="shared" ref="B29:J29" si="7">SUM(B4:B7)-B8</f>
        <v>0</v>
      </c>
      <c r="C29" s="309">
        <f t="shared" si="7"/>
        <v>0</v>
      </c>
      <c r="D29" s="309">
        <f t="shared" si="7"/>
        <v>0</v>
      </c>
      <c r="E29" s="309">
        <f t="shared" si="7"/>
        <v>0</v>
      </c>
      <c r="F29" s="309">
        <f t="shared" si="7"/>
        <v>0</v>
      </c>
      <c r="G29" s="309">
        <f t="shared" si="7"/>
        <v>0</v>
      </c>
      <c r="H29" s="309">
        <f t="shared" si="7"/>
        <v>0</v>
      </c>
      <c r="I29" s="309">
        <f t="shared" si="7"/>
        <v>0</v>
      </c>
      <c r="J29" s="309">
        <f t="shared" si="7"/>
        <v>0</v>
      </c>
      <c r="N29" s="309">
        <f>SUM(N4:N7)-N8</f>
        <v>0</v>
      </c>
      <c r="Q29" s="309">
        <f>SUM(Q4:Q7)-Q8</f>
        <v>0</v>
      </c>
      <c r="R29" s="309">
        <f>SUM(R4:R7)-R8</f>
        <v>0</v>
      </c>
    </row>
    <row r="30" spans="1:20">
      <c r="B30" s="309">
        <f t="shared" ref="B30:J30" si="8">SUM(B8:B11)-B12</f>
        <v>0</v>
      </c>
      <c r="C30" s="309">
        <f t="shared" si="8"/>
        <v>0</v>
      </c>
      <c r="D30" s="309">
        <f t="shared" si="8"/>
        <v>0</v>
      </c>
      <c r="E30" s="309">
        <f t="shared" si="8"/>
        <v>0</v>
      </c>
      <c r="F30" s="309">
        <f t="shared" si="8"/>
        <v>0</v>
      </c>
      <c r="G30" s="309">
        <f t="shared" si="8"/>
        <v>0</v>
      </c>
      <c r="H30" s="309">
        <f t="shared" si="8"/>
        <v>0</v>
      </c>
      <c r="I30" s="309">
        <f t="shared" si="8"/>
        <v>0</v>
      </c>
      <c r="J30" s="309">
        <f t="shared" si="8"/>
        <v>0</v>
      </c>
      <c r="N30" s="309">
        <f>SUM(N8:N11)-N12</f>
        <v>0</v>
      </c>
      <c r="Q30" s="309">
        <f>SUM(Q8:Q11)-Q12</f>
        <v>0</v>
      </c>
      <c r="R30" s="309">
        <f>SUM(R8:R11)-R12</f>
        <v>0</v>
      </c>
    </row>
    <row r="32" spans="1:20">
      <c r="B32" s="309">
        <f t="shared" ref="B32:J32" si="9">SUM(B15:B17)-B18</f>
        <v>0</v>
      </c>
      <c r="C32" s="309">
        <f t="shared" si="9"/>
        <v>0</v>
      </c>
      <c r="D32" s="309">
        <f t="shared" si="9"/>
        <v>0</v>
      </c>
      <c r="E32" s="309">
        <f t="shared" si="9"/>
        <v>0</v>
      </c>
      <c r="F32" s="309">
        <f t="shared" si="9"/>
        <v>0</v>
      </c>
      <c r="G32" s="309">
        <f t="shared" si="9"/>
        <v>0</v>
      </c>
      <c r="H32" s="309">
        <f t="shared" si="9"/>
        <v>0</v>
      </c>
      <c r="I32" s="309">
        <f t="shared" si="9"/>
        <v>0</v>
      </c>
      <c r="J32" s="309">
        <f t="shared" si="9"/>
        <v>0</v>
      </c>
      <c r="N32" s="309">
        <f>SUM(N15:N17)-N18</f>
        <v>0</v>
      </c>
      <c r="Q32" s="309">
        <f>SUM(Q15:Q17)-Q18</f>
        <v>0</v>
      </c>
      <c r="R32" s="309">
        <f t="shared" ref="R32" si="10">SUM(R15:R17)-R18</f>
        <v>0</v>
      </c>
    </row>
    <row r="33" spans="1:18">
      <c r="B33" s="309">
        <f t="shared" ref="B33:J33" si="11">SUM(B18:B20)-B21</f>
        <v>0</v>
      </c>
      <c r="C33" s="309">
        <f t="shared" si="11"/>
        <v>0</v>
      </c>
      <c r="D33" s="309">
        <f t="shared" si="11"/>
        <v>0</v>
      </c>
      <c r="E33" s="309">
        <f t="shared" si="11"/>
        <v>0</v>
      </c>
      <c r="F33" s="309">
        <f t="shared" si="11"/>
        <v>0</v>
      </c>
      <c r="G33" s="309">
        <f t="shared" si="11"/>
        <v>0</v>
      </c>
      <c r="H33" s="309">
        <f t="shared" si="11"/>
        <v>0</v>
      </c>
      <c r="I33" s="309">
        <f t="shared" si="11"/>
        <v>0</v>
      </c>
      <c r="J33" s="309">
        <f t="shared" si="11"/>
        <v>0</v>
      </c>
      <c r="N33" s="309">
        <f>SUM(N18:N20)-N21</f>
        <v>0</v>
      </c>
      <c r="Q33" s="309">
        <f>SUM(Q18:Q20)-Q21</f>
        <v>0</v>
      </c>
      <c r="R33" s="309">
        <f>SUM(R18:R20)-R21</f>
        <v>0</v>
      </c>
    </row>
    <row r="34" spans="1:18">
      <c r="A34" s="330"/>
    </row>
    <row r="35" spans="1:18">
      <c r="A35" s="330"/>
      <c r="B35" s="331"/>
      <c r="C35" s="331"/>
      <c r="D35" s="331"/>
      <c r="E35" s="331"/>
      <c r="F35" s="331"/>
      <c r="G35" s="331"/>
      <c r="H35" s="331"/>
      <c r="I35" s="309" t="s">
        <v>779</v>
      </c>
      <c r="J35" s="309">
        <f>ROUND(SUM('HW PYMES'!E29:E48)/1000,0)-J23</f>
        <v>0</v>
      </c>
    </row>
    <row r="36" spans="1:18">
      <c r="A36" s="330"/>
      <c r="B36" s="331"/>
      <c r="C36" s="331"/>
      <c r="D36" s="331"/>
      <c r="E36" s="331"/>
      <c r="F36" s="331"/>
      <c r="G36" s="331"/>
      <c r="H36" s="331"/>
      <c r="I36" s="309" t="s">
        <v>780</v>
      </c>
      <c r="J36" s="309">
        <f>ROUND(SUM('HW PYMES'!I29:I48)/1000,0)-J25</f>
        <v>1</v>
      </c>
    </row>
    <row r="37" spans="1:18">
      <c r="A37" s="330"/>
      <c r="B37" s="331"/>
      <c r="C37" s="331"/>
      <c r="D37" s="331"/>
      <c r="E37" s="331"/>
      <c r="F37" s="331"/>
      <c r="G37" s="331"/>
      <c r="H37" s="331"/>
      <c r="I37" s="309" t="s">
        <v>1040</v>
      </c>
      <c r="J37" s="309">
        <f>ROUND(SUM('HW PYMES'!M29:M48)/1000,0)-J27</f>
        <v>-1</v>
      </c>
    </row>
    <row r="38" spans="1:18">
      <c r="A38" s="330"/>
      <c r="B38" s="331"/>
      <c r="C38" s="331"/>
      <c r="D38" s="331"/>
      <c r="E38" s="331"/>
      <c r="F38" s="331"/>
      <c r="G38" s="331"/>
      <c r="H38" s="331"/>
      <c r="I38" s="331"/>
      <c r="J38" s="331"/>
    </row>
  </sheetData>
  <mergeCells count="4">
    <mergeCell ref="B2:J2"/>
    <mergeCell ref="A22:A23"/>
    <mergeCell ref="A24:A25"/>
    <mergeCell ref="A26:A27"/>
  </mergeCells>
  <pageMargins left="0.7" right="0.7" top="0.75" bottom="0.75" header="0.3" footer="0.3"/>
  <pageSetup orientation="portrait" horizontalDpi="0" verticalDpi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F4A16-0188-BF44-96D4-4C1A35BE3098}">
  <dimension ref="A1:AC248"/>
  <sheetViews>
    <sheetView zoomScaleNormal="100" workbookViewId="0"/>
  </sheetViews>
  <sheetFormatPr baseColWidth="10" defaultColWidth="10.875" defaultRowHeight="12.75"/>
  <cols>
    <col min="1" max="1" width="42.875" style="378" customWidth="1"/>
    <col min="2" max="7" width="16" style="378" customWidth="1"/>
    <col min="8" max="8" width="27.875" style="378" bestFit="1" customWidth="1"/>
    <col min="9" max="16" width="12.875" style="378" customWidth="1"/>
    <col min="17" max="19" width="10.875" style="378"/>
    <col min="20" max="20" width="27.875" style="378" bestFit="1" customWidth="1"/>
    <col min="21" max="21" width="15.625" style="378" bestFit="1" customWidth="1"/>
    <col min="22" max="22" width="10.875" style="378"/>
    <col min="23" max="23" width="27.875" style="378" bestFit="1" customWidth="1"/>
    <col min="24" max="16384" width="10.875" style="378"/>
  </cols>
  <sheetData>
    <row r="1" spans="1:29">
      <c r="A1" s="378" t="s">
        <v>785</v>
      </c>
      <c r="H1" s="378" t="s">
        <v>810</v>
      </c>
      <c r="T1" s="378" t="s">
        <v>811</v>
      </c>
      <c r="W1" s="378" t="s">
        <v>895</v>
      </c>
    </row>
    <row r="3" spans="1:29" ht="13.5" thickBot="1">
      <c r="B3" s="383"/>
      <c r="C3" s="384">
        <v>2021</v>
      </c>
      <c r="E3" s="384">
        <v>2020</v>
      </c>
      <c r="H3" s="379"/>
      <c r="I3" s="418"/>
      <c r="J3" s="418"/>
      <c r="K3" s="418"/>
      <c r="L3" s="418"/>
      <c r="M3" s="418"/>
      <c r="N3" s="418"/>
      <c r="O3" s="418"/>
      <c r="P3" s="418"/>
    </row>
    <row r="4" spans="1:29">
      <c r="B4" s="385"/>
      <c r="C4" s="386" t="s">
        <v>701</v>
      </c>
      <c r="H4" s="379"/>
      <c r="I4" s="418"/>
      <c r="K4" s="418"/>
      <c r="L4" s="418"/>
      <c r="M4" s="418"/>
      <c r="N4" s="418"/>
      <c r="O4" s="418"/>
      <c r="P4" s="418"/>
    </row>
    <row r="5" spans="1:29">
      <c r="A5" s="378" t="s">
        <v>702</v>
      </c>
      <c r="B5" s="383"/>
      <c r="H5" s="379"/>
      <c r="I5" s="419"/>
      <c r="J5" s="420"/>
      <c r="M5" s="419"/>
    </row>
    <row r="6" spans="1:29" ht="13.5" thickBot="1">
      <c r="A6" s="378" t="s">
        <v>817</v>
      </c>
      <c r="B6" s="385"/>
      <c r="C6" s="387">
        <v>15349</v>
      </c>
      <c r="D6" s="378">
        <f>SUM('CXP y Otras Dic21'!P23:P30)-C6</f>
        <v>0.16999999999825377</v>
      </c>
      <c r="E6" s="387">
        <v>124558</v>
      </c>
      <c r="F6" s="378">
        <f>SUM('CXP y Otras Dic20'!P28,'CXP y Otras Dic20'!P177:P180)-E6</f>
        <v>0.29000000000814907</v>
      </c>
      <c r="H6" s="379"/>
      <c r="I6" s="421" t="s">
        <v>361</v>
      </c>
      <c r="J6" s="418" t="s">
        <v>660</v>
      </c>
      <c r="K6" s="419" t="s">
        <v>661</v>
      </c>
      <c r="L6" s="419" t="s">
        <v>662</v>
      </c>
      <c r="M6" s="421" t="s">
        <v>663</v>
      </c>
      <c r="N6" s="419" t="s">
        <v>664</v>
      </c>
      <c r="O6" s="419" t="s">
        <v>665</v>
      </c>
      <c r="P6" s="419" t="s">
        <v>667</v>
      </c>
      <c r="U6" s="383" t="s">
        <v>812</v>
      </c>
      <c r="W6" s="388"/>
      <c r="X6" s="388" t="s">
        <v>822</v>
      </c>
      <c r="Y6" s="388" t="s">
        <v>822</v>
      </c>
      <c r="Z6" s="389"/>
    </row>
    <row r="7" spans="1:29" ht="13.5" thickBot="1">
      <c r="A7" s="378" t="s">
        <v>818</v>
      </c>
      <c r="B7" s="385"/>
      <c r="C7" s="387">
        <v>39558</v>
      </c>
      <c r="D7" s="378">
        <f>('CXP y Otras Dic21'!P21+'CXP y Otras Dic21'!P31)-C7</f>
        <v>-0.16999999999825377</v>
      </c>
      <c r="E7" s="387">
        <v>157816</v>
      </c>
      <c r="F7" s="378">
        <f>SUM('CXP y Otras Dic20'!P23:P26)-E7</f>
        <v>0.48999999999068677</v>
      </c>
      <c r="H7" s="381"/>
      <c r="I7" s="422" t="s">
        <v>668</v>
      </c>
      <c r="J7" s="422"/>
      <c r="K7" s="422"/>
      <c r="L7" s="422"/>
      <c r="M7" s="422"/>
      <c r="N7" s="422"/>
      <c r="O7" s="422"/>
      <c r="P7" s="422"/>
      <c r="U7" s="384" t="s">
        <v>813</v>
      </c>
      <c r="W7" s="388"/>
      <c r="X7" s="390"/>
      <c r="Y7" s="390"/>
      <c r="Z7" s="391" t="s">
        <v>667</v>
      </c>
    </row>
    <row r="8" spans="1:29" ht="13.5" thickBot="1">
      <c r="A8" s="378" t="s">
        <v>783</v>
      </c>
      <c r="B8" s="383"/>
      <c r="C8" s="405">
        <f>SUM(C6:C7)</f>
        <v>54907</v>
      </c>
      <c r="E8" s="405">
        <f>SUM(E6:E7)</f>
        <v>282374</v>
      </c>
      <c r="H8" s="379" t="s">
        <v>669</v>
      </c>
      <c r="I8" s="423"/>
      <c r="J8" s="423"/>
      <c r="K8" s="424"/>
      <c r="L8" s="424"/>
      <c r="M8" s="424"/>
      <c r="N8" s="423"/>
      <c r="O8" s="423"/>
      <c r="P8" s="424"/>
      <c r="T8" s="378" t="s">
        <v>814</v>
      </c>
      <c r="U8" s="387"/>
      <c r="W8" s="388" t="s">
        <v>814</v>
      </c>
      <c r="X8" s="393"/>
      <c r="Y8" s="393"/>
      <c r="Z8" s="393"/>
    </row>
    <row r="9" spans="1:29" ht="14.25" thickTop="1" thickBot="1">
      <c r="H9" s="380" t="s">
        <v>675</v>
      </c>
      <c r="I9" s="423">
        <v>7650350</v>
      </c>
      <c r="J9" s="423">
        <v>9245196</v>
      </c>
      <c r="K9" s="424">
        <v>13432270</v>
      </c>
      <c r="L9" s="424">
        <v>40323</v>
      </c>
      <c r="M9" s="424">
        <v>120982</v>
      </c>
      <c r="N9" s="423">
        <v>2343903</v>
      </c>
      <c r="O9" s="423">
        <v>47657</v>
      </c>
      <c r="P9" s="424">
        <v>32880681</v>
      </c>
      <c r="Q9" s="378">
        <f t="shared" ref="Q9:Q16" si="0">SUM(I9:O9)-P9</f>
        <v>0</v>
      </c>
      <c r="T9" s="378" t="s">
        <v>675</v>
      </c>
      <c r="U9" s="394">
        <v>36228</v>
      </c>
      <c r="W9" s="388" t="s">
        <v>675</v>
      </c>
      <c r="X9" s="395">
        <v>25822</v>
      </c>
      <c r="Y9" s="393">
        <v>0</v>
      </c>
      <c r="Z9" s="395">
        <v>25822</v>
      </c>
      <c r="AA9" s="378">
        <f>SUM(X9:Y9)-Z9</f>
        <v>0</v>
      </c>
      <c r="AC9" s="378">
        <f>Z10+'EST FIN'!O166</f>
        <v>0</v>
      </c>
    </row>
    <row r="10" spans="1:29" ht="13.5" thickBot="1">
      <c r="B10" s="383"/>
      <c r="C10" s="384">
        <v>2021</v>
      </c>
      <c r="E10" s="384">
        <v>2020</v>
      </c>
      <c r="H10" s="380" t="s">
        <v>670</v>
      </c>
      <c r="I10" s="423" t="s">
        <v>671</v>
      </c>
      <c r="J10" s="423" t="s">
        <v>671</v>
      </c>
      <c r="K10" s="424" t="s">
        <v>671</v>
      </c>
      <c r="L10" s="424" t="s">
        <v>671</v>
      </c>
      <c r="M10" s="424" t="s">
        <v>671</v>
      </c>
      <c r="N10" s="423" t="s">
        <v>671</v>
      </c>
      <c r="O10" s="423">
        <v>954942</v>
      </c>
      <c r="P10" s="424">
        <v>954942</v>
      </c>
      <c r="Q10" s="378">
        <f t="shared" si="0"/>
        <v>0</v>
      </c>
      <c r="T10" s="378" t="s">
        <v>778</v>
      </c>
      <c r="U10" s="387">
        <f>U9</f>
        <v>36228</v>
      </c>
      <c r="W10" s="388" t="s">
        <v>809</v>
      </c>
      <c r="X10" s="396">
        <v>84823</v>
      </c>
      <c r="Y10" s="396">
        <v>416249</v>
      </c>
      <c r="Z10" s="396">
        <v>501072</v>
      </c>
      <c r="AA10" s="378">
        <f>SUM(X10:Y10)-Z10</f>
        <v>0</v>
      </c>
      <c r="AC10" s="378">
        <f>Z13+'EST FIN'!X166</f>
        <v>0</v>
      </c>
    </row>
    <row r="11" spans="1:29" ht="13.5" thickBot="1">
      <c r="B11" s="385"/>
      <c r="C11" s="386" t="s">
        <v>784</v>
      </c>
      <c r="H11" s="380" t="s">
        <v>673</v>
      </c>
      <c r="I11" s="423" t="s">
        <v>671</v>
      </c>
      <c r="J11" s="423" t="s">
        <v>671</v>
      </c>
      <c r="K11" s="424">
        <v>852525</v>
      </c>
      <c r="L11" s="424">
        <v>7731</v>
      </c>
      <c r="M11" s="424">
        <v>17343</v>
      </c>
      <c r="N11" s="423">
        <v>125000</v>
      </c>
      <c r="O11" s="423">
        <v>-1002599</v>
      </c>
      <c r="P11" s="424">
        <v>0</v>
      </c>
      <c r="Q11" s="378">
        <f t="shared" si="0"/>
        <v>0</v>
      </c>
      <c r="T11" s="378" t="s">
        <v>1037</v>
      </c>
      <c r="U11" s="392">
        <f>U10</f>
        <v>36228</v>
      </c>
      <c r="W11" s="388" t="s">
        <v>672</v>
      </c>
      <c r="X11" s="397">
        <v>-6167</v>
      </c>
      <c r="Y11" s="398" t="s">
        <v>671</v>
      </c>
      <c r="Z11" s="397">
        <v>-6167</v>
      </c>
      <c r="AA11" s="378">
        <f>SUM(X11:Y11)-Z11</f>
        <v>0</v>
      </c>
    </row>
    <row r="12" spans="1:29" ht="14.25" thickTop="1" thickBot="1">
      <c r="A12" s="378" t="s">
        <v>702</v>
      </c>
      <c r="B12" s="383"/>
      <c r="H12" s="380" t="s">
        <v>672</v>
      </c>
      <c r="I12" s="423" t="s">
        <v>671</v>
      </c>
      <c r="J12" s="423" t="s">
        <v>671</v>
      </c>
      <c r="K12" s="424" t="s">
        <v>671</v>
      </c>
      <c r="L12" s="424" t="s">
        <v>671</v>
      </c>
      <c r="M12" s="424">
        <v>-1680</v>
      </c>
      <c r="N12" s="423" t="s">
        <v>671</v>
      </c>
      <c r="O12" s="423" t="s">
        <v>671</v>
      </c>
      <c r="P12" s="424">
        <v>-1680</v>
      </c>
      <c r="Q12" s="378">
        <f t="shared" si="0"/>
        <v>0</v>
      </c>
      <c r="U12" s="387"/>
      <c r="W12" s="388" t="s">
        <v>778</v>
      </c>
      <c r="X12" s="396">
        <v>104478</v>
      </c>
      <c r="Y12" s="396">
        <v>416249</v>
      </c>
      <c r="Z12" s="396">
        <v>520727</v>
      </c>
      <c r="AA12" s="378">
        <f>SUM(X9:X11)-X12</f>
        <v>0</v>
      </c>
      <c r="AB12" s="378">
        <f>SUM(Y9:Y11)-Y12</f>
        <v>0</v>
      </c>
      <c r="AC12" s="378">
        <f>SUM(Z9:Z11)-Z12</f>
        <v>0</v>
      </c>
    </row>
    <row r="13" spans="1:29" ht="13.5" thickBot="1">
      <c r="A13" s="378" t="s">
        <v>817</v>
      </c>
      <c r="B13" s="385"/>
      <c r="C13" s="387">
        <v>52686</v>
      </c>
      <c r="D13" s="378">
        <f>SUM('CXP y Otras Dic21'!H23:H30)/1000-C13</f>
        <v>2.6025000006484333E-2</v>
      </c>
      <c r="E13" s="387">
        <v>408195</v>
      </c>
      <c r="F13" s="378">
        <f>SUM('CXP y Otras Dic20'!H28,'CXP y Otras Dic20'!G177:G180)/1000-E13</f>
        <v>-4.5509400020819157E-2</v>
      </c>
      <c r="H13" s="380" t="s">
        <v>778</v>
      </c>
      <c r="I13" s="425">
        <v>7650350</v>
      </c>
      <c r="J13" s="425">
        <v>9245196</v>
      </c>
      <c r="K13" s="426">
        <v>14284795</v>
      </c>
      <c r="L13" s="426">
        <v>48054</v>
      </c>
      <c r="M13" s="426">
        <v>136645</v>
      </c>
      <c r="N13" s="425">
        <v>2468903</v>
      </c>
      <c r="O13" s="425">
        <v>0</v>
      </c>
      <c r="P13" s="426">
        <v>33833943</v>
      </c>
      <c r="Q13" s="378">
        <f t="shared" si="0"/>
        <v>0</v>
      </c>
      <c r="T13" s="378" t="s">
        <v>674</v>
      </c>
      <c r="U13" s="387"/>
      <c r="W13" s="388" t="s">
        <v>809</v>
      </c>
      <c r="X13" s="396">
        <v>21104</v>
      </c>
      <c r="Y13" s="393" t="s">
        <v>671</v>
      </c>
      <c r="Z13" s="396">
        <v>21104</v>
      </c>
      <c r="AA13" s="378">
        <f>SUM(X13:Y13)-Z13</f>
        <v>0</v>
      </c>
    </row>
    <row r="14" spans="1:29" ht="13.5" thickBot="1">
      <c r="A14" s="378" t="s">
        <v>818</v>
      </c>
      <c r="B14" s="385"/>
      <c r="C14" s="387">
        <v>135782</v>
      </c>
      <c r="D14" s="378">
        <f>('CXP y Otras Dic21'!H21+'CXP y Otras Dic21'!H31)/1000-C14</f>
        <v>0.25147500002640299</v>
      </c>
      <c r="E14" s="387">
        <v>517187</v>
      </c>
      <c r="F14" s="378">
        <f>SUM('CXP y Otras Dic20'!H23:H26)/1000-E14</f>
        <v>-0.26796139997895807</v>
      </c>
      <c r="H14" s="380" t="s">
        <v>809</v>
      </c>
      <c r="I14" s="423" t="s">
        <v>671</v>
      </c>
      <c r="J14" s="423">
        <v>24446</v>
      </c>
      <c r="K14" s="424">
        <v>624634</v>
      </c>
      <c r="L14" s="424" t="s">
        <v>671</v>
      </c>
      <c r="M14" s="424">
        <v>33917</v>
      </c>
      <c r="N14" s="423" t="s">
        <v>671</v>
      </c>
      <c r="O14" s="423">
        <v>96607</v>
      </c>
      <c r="P14" s="424">
        <v>779604</v>
      </c>
      <c r="Q14" s="378">
        <f t="shared" si="0"/>
        <v>0</v>
      </c>
      <c r="T14" s="378" t="s">
        <v>675</v>
      </c>
      <c r="U14" s="387">
        <v>-27775</v>
      </c>
      <c r="W14" s="388" t="s">
        <v>1037</v>
      </c>
      <c r="X14" s="399">
        <v>125582</v>
      </c>
      <c r="Y14" s="399">
        <v>416249</v>
      </c>
      <c r="Z14" s="399">
        <v>541831</v>
      </c>
      <c r="AA14" s="378">
        <f>SUM(X12:X13)-X14</f>
        <v>0</v>
      </c>
      <c r="AB14" s="378">
        <f>SUM(Y12:Y13)-Y14</f>
        <v>0</v>
      </c>
      <c r="AC14" s="378">
        <f>SUM(Z12:Z13)-Z14</f>
        <v>0</v>
      </c>
    </row>
    <row r="15" spans="1:29" ht="14.25" thickTop="1" thickBot="1">
      <c r="A15" s="378" t="s">
        <v>783</v>
      </c>
      <c r="B15" s="383"/>
      <c r="C15" s="405">
        <f>SUM(C13:C14)</f>
        <v>188468</v>
      </c>
      <c r="E15" s="405">
        <f>SUM(E13:E14)</f>
        <v>925382</v>
      </c>
      <c r="H15" s="380" t="s">
        <v>672</v>
      </c>
      <c r="I15" s="423" t="s">
        <v>671</v>
      </c>
      <c r="J15" s="423" t="s">
        <v>671</v>
      </c>
      <c r="K15" s="424">
        <v>-19992</v>
      </c>
      <c r="L15" s="424" t="s">
        <v>671</v>
      </c>
      <c r="M15" s="424" t="s">
        <v>671</v>
      </c>
      <c r="N15" s="423" t="s">
        <v>671</v>
      </c>
      <c r="O15" s="423" t="s">
        <v>671</v>
      </c>
      <c r="P15" s="424">
        <v>-19992</v>
      </c>
      <c r="Q15" s="378">
        <f t="shared" si="0"/>
        <v>0</v>
      </c>
      <c r="T15" s="378" t="s">
        <v>809</v>
      </c>
      <c r="U15" s="394">
        <v>-7245</v>
      </c>
      <c r="W15" s="388"/>
      <c r="X15" s="393"/>
      <c r="Y15" s="393"/>
      <c r="Z15" s="393"/>
    </row>
    <row r="16" spans="1:29" ht="14.25" thickTop="1" thickBot="1">
      <c r="H16" s="380" t="s">
        <v>1037</v>
      </c>
      <c r="I16" s="427">
        <v>7650350</v>
      </c>
      <c r="J16" s="427">
        <v>9269642</v>
      </c>
      <c r="K16" s="427">
        <v>14889437</v>
      </c>
      <c r="L16" s="427">
        <v>48054</v>
      </c>
      <c r="M16" s="427">
        <v>170562</v>
      </c>
      <c r="N16" s="428">
        <v>2468903</v>
      </c>
      <c r="O16" s="428">
        <v>96607</v>
      </c>
      <c r="P16" s="428">
        <v>34593555</v>
      </c>
      <c r="Q16" s="378">
        <f t="shared" si="0"/>
        <v>0</v>
      </c>
      <c r="T16" s="378" t="s">
        <v>778</v>
      </c>
      <c r="U16" s="387">
        <f>SUM(U14:U15)</f>
        <v>-35020</v>
      </c>
      <c r="W16" s="388" t="s">
        <v>674</v>
      </c>
      <c r="X16" s="393"/>
      <c r="Y16" s="393"/>
      <c r="Z16" s="393"/>
    </row>
    <row r="17" spans="1:29" ht="14.25" thickTop="1" thickBot="1">
      <c r="A17" s="378" t="s">
        <v>786</v>
      </c>
      <c r="H17" s="381"/>
      <c r="I17" s="424">
        <f>SUM(I9:I12)-I13</f>
        <v>0</v>
      </c>
      <c r="J17" s="424">
        <f t="shared" ref="J17:O17" si="1">SUM(J9:J12)-J13</f>
        <v>0</v>
      </c>
      <c r="K17" s="424">
        <f t="shared" si="1"/>
        <v>0</v>
      </c>
      <c r="L17" s="424">
        <f t="shared" si="1"/>
        <v>0</v>
      </c>
      <c r="M17" s="424">
        <f t="shared" si="1"/>
        <v>0</v>
      </c>
      <c r="N17" s="424">
        <f t="shared" si="1"/>
        <v>0</v>
      </c>
      <c r="O17" s="424">
        <f t="shared" si="1"/>
        <v>0</v>
      </c>
      <c r="P17" s="424"/>
      <c r="T17" s="378" t="s">
        <v>809</v>
      </c>
      <c r="U17" s="394">
        <v>-1208</v>
      </c>
      <c r="W17" s="388" t="s">
        <v>675</v>
      </c>
      <c r="X17" s="395">
        <v>-12037</v>
      </c>
      <c r="Y17" s="393">
        <v>0</v>
      </c>
      <c r="Z17" s="395">
        <v>-12037</v>
      </c>
      <c r="AA17" s="378">
        <f>SUM(X17:Y17)-Z17</f>
        <v>0</v>
      </c>
    </row>
    <row r="18" spans="1:29" ht="13.5" thickBot="1">
      <c r="H18" s="381"/>
      <c r="I18" s="424">
        <f>SUM(I13:I15)-I16</f>
        <v>0</v>
      </c>
      <c r="J18" s="424">
        <f t="shared" ref="J18:O18" si="2">SUM(J13:J15)-J16</f>
        <v>0</v>
      </c>
      <c r="K18" s="424">
        <f t="shared" si="2"/>
        <v>0</v>
      </c>
      <c r="L18" s="424">
        <f t="shared" si="2"/>
        <v>0</v>
      </c>
      <c r="M18" s="424">
        <f t="shared" si="2"/>
        <v>0</v>
      </c>
      <c r="N18" s="424">
        <f t="shared" si="2"/>
        <v>0</v>
      </c>
      <c r="O18" s="424">
        <f t="shared" si="2"/>
        <v>0</v>
      </c>
      <c r="P18" s="424"/>
      <c r="Q18" s="378">
        <f>600927+23707+24446+33917+29518+67089-P14</f>
        <v>0</v>
      </c>
      <c r="T18" s="378" t="s">
        <v>1037</v>
      </c>
      <c r="U18" s="400">
        <f>SUM(U16:U17)</f>
        <v>-36228</v>
      </c>
      <c r="W18" s="388" t="s">
        <v>823</v>
      </c>
      <c r="X18" s="396">
        <v>-6550</v>
      </c>
      <c r="Y18" s="393" t="s">
        <v>671</v>
      </c>
      <c r="Z18" s="396">
        <v>-6550</v>
      </c>
      <c r="AA18" s="378">
        <f>SUM(X18:Y18)-Z18</f>
        <v>0</v>
      </c>
    </row>
    <row r="19" spans="1:29" ht="14.25" thickTop="1" thickBot="1">
      <c r="C19" s="384">
        <v>2021</v>
      </c>
      <c r="E19" s="384">
        <v>2020</v>
      </c>
      <c r="H19" s="381"/>
      <c r="I19" s="424"/>
      <c r="J19" s="424"/>
      <c r="K19" s="424"/>
      <c r="L19" s="424"/>
      <c r="M19" s="424"/>
      <c r="N19" s="424"/>
      <c r="O19" s="424"/>
      <c r="P19" s="424">
        <f>P10+'EST FIN'!O164</f>
        <v>0</v>
      </c>
      <c r="Q19" s="378">
        <f>600927+23707-K14</f>
        <v>0</v>
      </c>
      <c r="T19" s="378" t="s">
        <v>613</v>
      </c>
      <c r="U19" s="394">
        <v>8453</v>
      </c>
      <c r="W19" s="388" t="s">
        <v>672</v>
      </c>
      <c r="X19" s="397">
        <v>6167</v>
      </c>
      <c r="Y19" s="398" t="s">
        <v>671</v>
      </c>
      <c r="Z19" s="397">
        <v>6167</v>
      </c>
      <c r="AA19" s="378">
        <f>SUM(X19:Y19)-Z19</f>
        <v>0</v>
      </c>
    </row>
    <row r="20" spans="1:29" ht="13.5" thickBot="1">
      <c r="C20" s="387"/>
      <c r="E20" s="387"/>
      <c r="H20" s="381"/>
      <c r="I20" s="424"/>
      <c r="J20" s="424"/>
      <c r="K20" s="424"/>
      <c r="L20" s="424"/>
      <c r="M20" s="424"/>
      <c r="N20" s="424"/>
      <c r="O20" s="424"/>
      <c r="P20" s="424">
        <f>P14+'EST FIN'!X164</f>
        <v>0</v>
      </c>
      <c r="Q20" s="378">
        <f>29518+67089-O14</f>
        <v>0</v>
      </c>
      <c r="T20" s="378" t="s">
        <v>745</v>
      </c>
      <c r="U20" s="394">
        <v>1208</v>
      </c>
      <c r="W20" s="388" t="s">
        <v>778</v>
      </c>
      <c r="X20" s="396">
        <v>-12420</v>
      </c>
      <c r="Y20" s="393">
        <v>0</v>
      </c>
      <c r="Z20" s="396">
        <v>-12420</v>
      </c>
      <c r="AA20" s="378">
        <f>SUM(X17:X19)-X20</f>
        <v>0</v>
      </c>
      <c r="AB20" s="378">
        <f>SUM(Y17:Y19)-Y20</f>
        <v>0</v>
      </c>
      <c r="AC20" s="378">
        <f>SUM(Z17:Z19)-Z20</f>
        <v>0</v>
      </c>
    </row>
    <row r="21" spans="1:29" ht="13.5" thickBot="1">
      <c r="A21" s="378" t="s">
        <v>787</v>
      </c>
      <c r="C21" s="387">
        <v>630</v>
      </c>
      <c r="E21" s="387">
        <v>9497</v>
      </c>
      <c r="H21" s="381"/>
      <c r="I21" s="424"/>
      <c r="J21" s="424"/>
      <c r="K21" s="424"/>
      <c r="L21" s="424"/>
      <c r="M21" s="424"/>
      <c r="N21" s="424"/>
      <c r="O21" s="424"/>
      <c r="P21" s="424"/>
      <c r="Q21" s="378">
        <f>-(K15+K28)-'EST FIN'!X163-'EST FIN'!X136</f>
        <v>0</v>
      </c>
      <c r="T21" s="378" t="s">
        <v>1039</v>
      </c>
      <c r="U21" s="400">
        <v>0</v>
      </c>
      <c r="W21" s="388" t="s">
        <v>823</v>
      </c>
      <c r="X21" s="396">
        <v>-33610</v>
      </c>
      <c r="Y21" s="393" t="s">
        <v>671</v>
      </c>
      <c r="Z21" s="396">
        <v>-33610</v>
      </c>
      <c r="AA21" s="378">
        <f>SUM(X21:Y21)-Z21</f>
        <v>0</v>
      </c>
    </row>
    <row r="22" spans="1:29" ht="14.25" thickTop="1" thickBot="1">
      <c r="A22" s="378" t="s">
        <v>788</v>
      </c>
      <c r="C22" s="387">
        <v>769814</v>
      </c>
      <c r="E22" s="387">
        <v>66222</v>
      </c>
      <c r="H22" s="379" t="s">
        <v>674</v>
      </c>
      <c r="I22" s="423"/>
      <c r="J22" s="423"/>
      <c r="K22" s="423"/>
      <c r="L22" s="423"/>
      <c r="M22" s="423"/>
      <c r="N22" s="423"/>
      <c r="O22" s="423"/>
      <c r="P22" s="423"/>
      <c r="W22" s="388" t="s">
        <v>1037</v>
      </c>
      <c r="X22" s="399">
        <v>-46030</v>
      </c>
      <c r="Y22" s="401">
        <v>0</v>
      </c>
      <c r="Z22" s="399">
        <v>-46030</v>
      </c>
      <c r="AA22" s="378">
        <f>SUM(X20:X21)-X22</f>
        <v>0</v>
      </c>
      <c r="AB22" s="378">
        <f>SUM(Y20:Y21)-Y22</f>
        <v>0</v>
      </c>
      <c r="AC22" s="378">
        <f>SUM(Z20:Z21)-Z22</f>
        <v>0</v>
      </c>
    </row>
    <row r="23" spans="1:29" ht="14.25" thickTop="1" thickBot="1">
      <c r="A23" s="378" t="s">
        <v>789</v>
      </c>
      <c r="C23" s="387">
        <v>52178</v>
      </c>
      <c r="E23" s="387">
        <v>1031998</v>
      </c>
      <c r="H23" s="380" t="s">
        <v>675</v>
      </c>
      <c r="I23" s="424">
        <v>0</v>
      </c>
      <c r="J23" s="424">
        <v>-428018</v>
      </c>
      <c r="K23" s="424">
        <v>-1118538</v>
      </c>
      <c r="L23" s="424">
        <v>-10650</v>
      </c>
      <c r="M23" s="424">
        <v>-26501</v>
      </c>
      <c r="N23" s="423">
        <v>-752174</v>
      </c>
      <c r="O23" s="423">
        <v>0</v>
      </c>
      <c r="P23" s="424">
        <v>-2335881</v>
      </c>
      <c r="Q23" s="378">
        <f t="shared" ref="Q23:Q29" si="3">SUM(I23:O23)-P23</f>
        <v>0</v>
      </c>
      <c r="U23" s="378">
        <f>U9+U14-U19</f>
        <v>0</v>
      </c>
      <c r="W23" s="388" t="s">
        <v>613</v>
      </c>
      <c r="X23" s="396">
        <v>13785</v>
      </c>
      <c r="Y23" s="393">
        <v>0</v>
      </c>
      <c r="Z23" s="396">
        <v>13785</v>
      </c>
    </row>
    <row r="24" spans="1:29" ht="13.5" thickBot="1">
      <c r="C24" s="405">
        <f>SUM(C21:C23)</f>
        <v>822622</v>
      </c>
      <c r="D24" s="378">
        <f>C24-'EST FIN'!X11</f>
        <v>0</v>
      </c>
      <c r="E24" s="405">
        <f>SUM(E21:E23)</f>
        <v>1107717</v>
      </c>
      <c r="F24" s="378">
        <f>E24-'EST FIN'!O11</f>
        <v>0</v>
      </c>
      <c r="H24" s="380" t="s">
        <v>670</v>
      </c>
      <c r="I24" s="424" t="s">
        <v>671</v>
      </c>
      <c r="J24" s="424">
        <v>-205449</v>
      </c>
      <c r="K24" s="424">
        <v>-683784</v>
      </c>
      <c r="L24" s="424">
        <v>-4484</v>
      </c>
      <c r="M24" s="424">
        <v>-21107</v>
      </c>
      <c r="N24" s="423">
        <v>-236543</v>
      </c>
      <c r="O24" s="423" t="s">
        <v>671</v>
      </c>
      <c r="P24" s="424">
        <v>-1151367</v>
      </c>
      <c r="Q24" s="378">
        <f t="shared" si="3"/>
        <v>0</v>
      </c>
      <c r="U24" s="378">
        <f>U10+U16-U20</f>
        <v>0</v>
      </c>
      <c r="W24" s="388" t="s">
        <v>745</v>
      </c>
      <c r="X24" s="397">
        <v>92058</v>
      </c>
      <c r="Y24" s="397">
        <v>416249</v>
      </c>
      <c r="Z24" s="397">
        <v>508307</v>
      </c>
      <c r="AB24" s="378">
        <f>Z24-'EST FIN'!O23</f>
        <v>0</v>
      </c>
    </row>
    <row r="25" spans="1:29" ht="14.25" thickTop="1" thickBot="1">
      <c r="H25" s="380" t="s">
        <v>672</v>
      </c>
      <c r="I25" s="429" t="s">
        <v>671</v>
      </c>
      <c r="J25" s="429" t="s">
        <v>671</v>
      </c>
      <c r="K25" s="429" t="s">
        <v>671</v>
      </c>
      <c r="L25" s="429" t="s">
        <v>671</v>
      </c>
      <c r="M25" s="429">
        <v>1680</v>
      </c>
      <c r="N25" s="430" t="s">
        <v>671</v>
      </c>
      <c r="O25" s="430" t="s">
        <v>671</v>
      </c>
      <c r="P25" s="429">
        <v>1680</v>
      </c>
      <c r="Q25" s="378">
        <f t="shared" si="3"/>
        <v>0</v>
      </c>
      <c r="U25" s="378">
        <f>U11+U18-U21</f>
        <v>0</v>
      </c>
      <c r="W25" s="388" t="s">
        <v>1039</v>
      </c>
      <c r="X25" s="402">
        <v>79552</v>
      </c>
      <c r="Y25" s="402">
        <v>416249</v>
      </c>
      <c r="Z25" s="402">
        <v>495801</v>
      </c>
      <c r="AB25" s="378">
        <f>Z25-'EST FIN'!X23</f>
        <v>0</v>
      </c>
    </row>
    <row r="26" spans="1:29">
      <c r="A26" s="378" t="s">
        <v>802</v>
      </c>
      <c r="H26" s="382" t="s">
        <v>778</v>
      </c>
      <c r="I26" s="424">
        <v>0</v>
      </c>
      <c r="J26" s="424">
        <v>-633467</v>
      </c>
      <c r="K26" s="424">
        <v>-1802322</v>
      </c>
      <c r="L26" s="424">
        <v>-15134</v>
      </c>
      <c r="M26" s="424">
        <v>-45928</v>
      </c>
      <c r="N26" s="423">
        <v>-988717</v>
      </c>
      <c r="O26" s="423">
        <v>0</v>
      </c>
      <c r="P26" s="424">
        <v>-3485568</v>
      </c>
      <c r="Q26" s="378">
        <f t="shared" si="3"/>
        <v>0</v>
      </c>
    </row>
    <row r="27" spans="1:29">
      <c r="H27" s="380" t="s">
        <v>670</v>
      </c>
      <c r="I27" s="424" t="s">
        <v>671</v>
      </c>
      <c r="J27" s="424">
        <v>-205539</v>
      </c>
      <c r="K27" s="424">
        <v>-732172</v>
      </c>
      <c r="L27" s="424">
        <v>-4805</v>
      </c>
      <c r="M27" s="424">
        <v>-22151</v>
      </c>
      <c r="N27" s="423">
        <v>-242837</v>
      </c>
      <c r="O27" s="423" t="s">
        <v>671</v>
      </c>
      <c r="P27" s="424">
        <v>-1207504</v>
      </c>
      <c r="Q27" s="378">
        <f t="shared" si="3"/>
        <v>0</v>
      </c>
      <c r="U27" s="378">
        <f>U20-'EST FIN'!O22</f>
        <v>0</v>
      </c>
      <c r="X27" s="378">
        <f>X9+X17-X23</f>
        <v>0</v>
      </c>
      <c r="Y27" s="378">
        <f>Y9+Y17-Y23</f>
        <v>0</v>
      </c>
      <c r="Z27" s="378">
        <f>Z9+Z17-Z23</f>
        <v>0</v>
      </c>
    </row>
    <row r="28" spans="1:29" ht="13.5" thickBot="1">
      <c r="C28" s="384">
        <v>2021</v>
      </c>
      <c r="E28" s="384">
        <v>2020</v>
      </c>
      <c r="H28" s="380" t="s">
        <v>672</v>
      </c>
      <c r="I28" s="429" t="s">
        <v>671</v>
      </c>
      <c r="J28" s="429" t="s">
        <v>671</v>
      </c>
      <c r="K28" s="429">
        <v>1333</v>
      </c>
      <c r="L28" s="429" t="s">
        <v>671</v>
      </c>
      <c r="M28" s="429" t="s">
        <v>671</v>
      </c>
      <c r="N28" s="430" t="s">
        <v>671</v>
      </c>
      <c r="O28" s="430" t="s">
        <v>671</v>
      </c>
      <c r="P28" s="429">
        <v>1333</v>
      </c>
      <c r="Q28" s="378">
        <f t="shared" si="3"/>
        <v>0</v>
      </c>
      <c r="U28" s="378">
        <f>U21-'EST FIN'!X22</f>
        <v>0</v>
      </c>
      <c r="X28" s="378">
        <f>X12+X20-X24</f>
        <v>0</v>
      </c>
      <c r="Y28" s="378">
        <f t="shared" ref="Y28:Z28" si="4">Y12+Y20-Y24</f>
        <v>0</v>
      </c>
      <c r="Z28" s="378">
        <f t="shared" si="4"/>
        <v>0</v>
      </c>
    </row>
    <row r="29" spans="1:29" ht="13.5" thickBot="1">
      <c r="C29" s="387"/>
      <c r="E29" s="387"/>
      <c r="H29" s="380" t="s">
        <v>1037</v>
      </c>
      <c r="I29" s="431">
        <v>0</v>
      </c>
      <c r="J29" s="431">
        <v>-839006</v>
      </c>
      <c r="K29" s="431">
        <v>-2533161</v>
      </c>
      <c r="L29" s="431">
        <v>-19939</v>
      </c>
      <c r="M29" s="431">
        <v>-68079</v>
      </c>
      <c r="N29" s="432">
        <v>-1231554</v>
      </c>
      <c r="O29" s="432">
        <v>0</v>
      </c>
      <c r="P29" s="431">
        <v>-4691739</v>
      </c>
      <c r="Q29" s="378">
        <f t="shared" si="3"/>
        <v>0</v>
      </c>
      <c r="X29" s="378">
        <f>X14+X22-X25</f>
        <v>0</v>
      </c>
      <c r="Y29" s="378">
        <f t="shared" ref="Y29:Z29" si="5">Y14+Y22-Y25</f>
        <v>0</v>
      </c>
      <c r="Z29" s="378">
        <f t="shared" si="5"/>
        <v>0</v>
      </c>
    </row>
    <row r="30" spans="1:29" ht="13.5" thickTop="1">
      <c r="A30" s="378" t="s">
        <v>790</v>
      </c>
      <c r="C30" s="387">
        <v>1789358</v>
      </c>
      <c r="D30" s="378">
        <f>C30-'EST FIN'!X12</f>
        <v>0</v>
      </c>
      <c r="E30" s="387">
        <v>1965883</v>
      </c>
      <c r="F30" s="378">
        <f>E30-'EST FIN'!O12</f>
        <v>0</v>
      </c>
      <c r="H30" s="380"/>
      <c r="I30" s="437">
        <f>SUM(I23:I25)-I26</f>
        <v>0</v>
      </c>
      <c r="J30" s="437">
        <f t="shared" ref="J30:O30" si="6">SUM(J23:J25)-J26</f>
        <v>0</v>
      </c>
      <c r="K30" s="437">
        <f t="shared" si="6"/>
        <v>0</v>
      </c>
      <c r="L30" s="437">
        <f t="shared" si="6"/>
        <v>0</v>
      </c>
      <c r="M30" s="437">
        <f t="shared" si="6"/>
        <v>0</v>
      </c>
      <c r="N30" s="437">
        <f t="shared" si="6"/>
        <v>0</v>
      </c>
      <c r="O30" s="437">
        <f t="shared" si="6"/>
        <v>0</v>
      </c>
      <c r="P30" s="437"/>
    </row>
    <row r="31" spans="1:29">
      <c r="C31" s="387"/>
      <c r="E31" s="387"/>
      <c r="H31" s="380"/>
      <c r="I31" s="437">
        <f>SUM(I26:I28)-I29</f>
        <v>0</v>
      </c>
      <c r="J31" s="437">
        <f t="shared" ref="J31:O31" si="7">SUM(J26:J28)-J29</f>
        <v>0</v>
      </c>
      <c r="K31" s="437">
        <f t="shared" si="7"/>
        <v>0</v>
      </c>
      <c r="L31" s="437">
        <f t="shared" si="7"/>
        <v>0</v>
      </c>
      <c r="M31" s="437">
        <f t="shared" si="7"/>
        <v>0</v>
      </c>
      <c r="N31" s="437">
        <f t="shared" si="7"/>
        <v>0</v>
      </c>
      <c r="O31" s="437">
        <f t="shared" si="7"/>
        <v>0</v>
      </c>
      <c r="P31" s="437"/>
    </row>
    <row r="32" spans="1:29">
      <c r="A32" s="378" t="s">
        <v>129</v>
      </c>
      <c r="C32" s="387"/>
      <c r="E32" s="387"/>
      <c r="H32" s="380"/>
      <c r="I32" s="437"/>
      <c r="J32" s="437"/>
      <c r="K32" s="437"/>
      <c r="L32" s="437"/>
      <c r="M32" s="437"/>
      <c r="N32" s="438"/>
      <c r="O32" s="438"/>
      <c r="P32" s="437"/>
    </row>
    <row r="33" spans="1:26">
      <c r="A33" s="378" t="s">
        <v>791</v>
      </c>
      <c r="C33" s="387">
        <v>390021</v>
      </c>
      <c r="E33" s="387">
        <v>382364</v>
      </c>
      <c r="H33" s="380" t="s">
        <v>613</v>
      </c>
      <c r="I33" s="423"/>
      <c r="J33" s="423"/>
      <c r="K33" s="424"/>
      <c r="L33" s="424"/>
      <c r="M33" s="424"/>
      <c r="N33" s="423"/>
      <c r="O33" s="423"/>
      <c r="P33" s="424"/>
    </row>
    <row r="34" spans="1:26">
      <c r="A34" s="378" t="s">
        <v>792</v>
      </c>
      <c r="C34" s="387">
        <v>29798</v>
      </c>
      <c r="E34" s="387" t="s">
        <v>671</v>
      </c>
      <c r="H34" s="380"/>
      <c r="I34" s="423">
        <v>7650350</v>
      </c>
      <c r="J34" s="423">
        <v>8817178</v>
      </c>
      <c r="K34" s="424">
        <v>12313732</v>
      </c>
      <c r="L34" s="424">
        <v>29673</v>
      </c>
      <c r="M34" s="424">
        <v>94481</v>
      </c>
      <c r="N34" s="423">
        <v>1591729</v>
      </c>
      <c r="O34" s="423">
        <v>47657</v>
      </c>
      <c r="P34" s="424">
        <v>30544800</v>
      </c>
      <c r="Q34" s="378">
        <f>SUM(I34:O34)-P34</f>
        <v>0</v>
      </c>
    </row>
    <row r="35" spans="1:26" ht="13.5" thickBot="1">
      <c r="A35" s="378" t="s">
        <v>793</v>
      </c>
      <c r="C35" s="394">
        <v>5874</v>
      </c>
      <c r="D35" s="378">
        <f>SUM(C33:C35)-'EST FIN'!X13</f>
        <v>0</v>
      </c>
      <c r="E35" s="394" t="s">
        <v>671</v>
      </c>
      <c r="F35" s="378">
        <f>SUM(E33:E35)-'EST FIN'!O13</f>
        <v>0</v>
      </c>
      <c r="H35" s="380" t="s">
        <v>745</v>
      </c>
      <c r="I35" s="423"/>
      <c r="J35" s="423"/>
      <c r="K35" s="424"/>
      <c r="L35" s="424"/>
      <c r="M35" s="424"/>
      <c r="N35" s="423"/>
      <c r="O35" s="423"/>
      <c r="P35" s="424"/>
      <c r="R35" s="378">
        <f>P36-'EST FIN'!O21</f>
        <v>0</v>
      </c>
    </row>
    <row r="36" spans="1:26" ht="13.5" thickBot="1">
      <c r="C36" s="405">
        <f>SUM(C30:C35)</f>
        <v>2215051</v>
      </c>
      <c r="E36" s="405">
        <f>SUM(E30:E35)</f>
        <v>2348247</v>
      </c>
      <c r="H36" s="380"/>
      <c r="I36" s="430">
        <v>7650350</v>
      </c>
      <c r="J36" s="430">
        <v>8611729</v>
      </c>
      <c r="K36" s="429">
        <v>12482473</v>
      </c>
      <c r="L36" s="429">
        <v>32920</v>
      </c>
      <c r="M36" s="429">
        <v>90717</v>
      </c>
      <c r="N36" s="430">
        <v>1480186</v>
      </c>
      <c r="O36" s="430">
        <v>0</v>
      </c>
      <c r="P36" s="429">
        <v>30348376</v>
      </c>
      <c r="Q36" s="378">
        <f>SUM(I36:O36)-P36</f>
        <v>-1</v>
      </c>
    </row>
    <row r="37" spans="1:26" ht="13.5" thickTop="1">
      <c r="H37" s="379" t="s">
        <v>1039</v>
      </c>
      <c r="I37" s="433"/>
      <c r="J37" s="433"/>
      <c r="K37" s="434"/>
      <c r="L37" s="434"/>
      <c r="M37" s="434"/>
      <c r="N37" s="433"/>
      <c r="O37" s="433"/>
      <c r="P37" s="434"/>
      <c r="R37" s="378">
        <f>P38-'EST FIN'!X21</f>
        <v>0</v>
      </c>
    </row>
    <row r="38" spans="1:26" ht="13.5" thickBot="1">
      <c r="A38" s="378" t="s">
        <v>801</v>
      </c>
      <c r="C38" s="378">
        <f>10583+6245+3761-SUM(B45:B47)</f>
        <v>0</v>
      </c>
      <c r="I38" s="435">
        <v>7650350</v>
      </c>
      <c r="J38" s="435">
        <v>8430636</v>
      </c>
      <c r="K38" s="436">
        <v>12356276</v>
      </c>
      <c r="L38" s="436">
        <v>28115</v>
      </c>
      <c r="M38" s="436">
        <v>102483</v>
      </c>
      <c r="N38" s="435">
        <v>1237349</v>
      </c>
      <c r="O38" s="435">
        <v>96607</v>
      </c>
      <c r="P38" s="436">
        <v>29901815</v>
      </c>
      <c r="Q38" s="378">
        <f>SUM(I38:O38)-P38</f>
        <v>1</v>
      </c>
    </row>
    <row r="39" spans="1:26" ht="13.5" thickTop="1"/>
    <row r="40" spans="1:26" ht="13.5" thickBot="1">
      <c r="B40" s="403">
        <v>2021</v>
      </c>
      <c r="C40" s="403"/>
      <c r="E40" s="403">
        <v>2020</v>
      </c>
      <c r="F40" s="403"/>
      <c r="I40" s="378">
        <f t="shared" ref="I40:P40" si="8">I9+I23-I34</f>
        <v>0</v>
      </c>
      <c r="J40" s="378">
        <f t="shared" si="8"/>
        <v>0</v>
      </c>
      <c r="K40" s="378">
        <f t="shared" si="8"/>
        <v>0</v>
      </c>
      <c r="L40" s="378">
        <f t="shared" si="8"/>
        <v>0</v>
      </c>
      <c r="M40" s="378">
        <f t="shared" si="8"/>
        <v>0</v>
      </c>
      <c r="N40" s="378">
        <f t="shared" si="8"/>
        <v>0</v>
      </c>
      <c r="O40" s="378">
        <f t="shared" si="8"/>
        <v>0</v>
      </c>
      <c r="P40" s="378">
        <f t="shared" si="8"/>
        <v>0</v>
      </c>
    </row>
    <row r="41" spans="1:26">
      <c r="B41" s="383" t="s">
        <v>229</v>
      </c>
      <c r="C41" s="383" t="s">
        <v>794</v>
      </c>
      <c r="E41" s="383" t="s">
        <v>229</v>
      </c>
      <c r="F41" s="383" t="s">
        <v>794</v>
      </c>
      <c r="I41" s="378">
        <f t="shared" ref="I41:P41" si="9">I13+I26-I36</f>
        <v>0</v>
      </c>
      <c r="J41" s="378">
        <f t="shared" si="9"/>
        <v>0</v>
      </c>
      <c r="K41" s="378">
        <f t="shared" si="9"/>
        <v>0</v>
      </c>
      <c r="L41" s="378">
        <f t="shared" si="9"/>
        <v>0</v>
      </c>
      <c r="M41" s="378">
        <f t="shared" si="9"/>
        <v>0</v>
      </c>
      <c r="N41" s="378">
        <f t="shared" si="9"/>
        <v>0</v>
      </c>
      <c r="O41" s="378">
        <f t="shared" si="9"/>
        <v>0</v>
      </c>
      <c r="P41" s="378">
        <f t="shared" si="9"/>
        <v>-1</v>
      </c>
    </row>
    <row r="42" spans="1:26">
      <c r="A42" s="378" t="s">
        <v>795</v>
      </c>
      <c r="B42" s="387">
        <v>842834</v>
      </c>
      <c r="C42" s="387">
        <v>889195</v>
      </c>
      <c r="E42" s="387">
        <v>1058868</v>
      </c>
      <c r="F42" s="387">
        <v>543689</v>
      </c>
      <c r="I42" s="378">
        <f t="shared" ref="I42:P42" si="10">I16+I29-I38</f>
        <v>0</v>
      </c>
      <c r="J42" s="378">
        <f t="shared" si="10"/>
        <v>0</v>
      </c>
      <c r="K42" s="378">
        <f t="shared" si="10"/>
        <v>0</v>
      </c>
      <c r="L42" s="378">
        <f t="shared" si="10"/>
        <v>0</v>
      </c>
      <c r="M42" s="378">
        <f t="shared" si="10"/>
        <v>0</v>
      </c>
      <c r="N42" s="378">
        <f t="shared" si="10"/>
        <v>0</v>
      </c>
      <c r="O42" s="378">
        <f t="shared" si="10"/>
        <v>0</v>
      </c>
      <c r="P42" s="378">
        <f t="shared" si="10"/>
        <v>1</v>
      </c>
    </row>
    <row r="43" spans="1:26">
      <c r="A43" s="378" t="s">
        <v>796</v>
      </c>
      <c r="B43" s="387">
        <v>36740</v>
      </c>
      <c r="C43" s="387" t="s">
        <v>671</v>
      </c>
      <c r="E43" s="387">
        <v>13450</v>
      </c>
      <c r="F43" s="387" t="s">
        <v>671</v>
      </c>
    </row>
    <row r="44" spans="1:26">
      <c r="A44" s="378" t="s">
        <v>797</v>
      </c>
      <c r="B44" s="387" t="s">
        <v>671</v>
      </c>
      <c r="C44" s="387" t="s">
        <v>671</v>
      </c>
      <c r="E44" s="387">
        <v>9953</v>
      </c>
      <c r="F44" s="387" t="s">
        <v>671</v>
      </c>
      <c r="P44" s="378" t="s">
        <v>425</v>
      </c>
      <c r="T44" s="378" t="s">
        <v>425</v>
      </c>
      <c r="W44" s="378" t="s">
        <v>904</v>
      </c>
    </row>
    <row r="45" spans="1:26">
      <c r="A45" s="378" t="s">
        <v>798</v>
      </c>
      <c r="B45" s="387">
        <v>16828</v>
      </c>
      <c r="C45" s="387" t="s">
        <v>671</v>
      </c>
      <c r="E45" s="387" t="s">
        <v>671</v>
      </c>
      <c r="F45" s="387" t="s">
        <v>671</v>
      </c>
      <c r="P45" s="378">
        <v>2021</v>
      </c>
      <c r="T45" s="378">
        <v>2021</v>
      </c>
      <c r="W45" s="378">
        <v>2021</v>
      </c>
    </row>
    <row r="46" spans="1:26">
      <c r="A46" s="378" t="s">
        <v>799</v>
      </c>
      <c r="B46" s="387">
        <v>2759</v>
      </c>
      <c r="C46" s="387" t="s">
        <v>671</v>
      </c>
      <c r="E46" s="387" t="s">
        <v>671</v>
      </c>
      <c r="F46" s="387">
        <v>26709</v>
      </c>
      <c r="Q46" s="378">
        <f>P27</f>
        <v>-1207504</v>
      </c>
      <c r="U46" s="378">
        <f>U17</f>
        <v>-1208</v>
      </c>
      <c r="X46" s="378">
        <f>X21</f>
        <v>-33610</v>
      </c>
      <c r="Z46" s="378">
        <f>SUM(Q46,U46,X46)+'EST FIN'!X128</f>
        <v>0</v>
      </c>
    </row>
    <row r="47" spans="1:26" ht="13.5" thickBot="1">
      <c r="A47" s="378" t="s">
        <v>800</v>
      </c>
      <c r="B47" s="394">
        <v>1002</v>
      </c>
      <c r="C47" s="394" t="s">
        <v>671</v>
      </c>
      <c r="E47" s="394">
        <v>577</v>
      </c>
      <c r="F47" s="394">
        <v>312637</v>
      </c>
      <c r="P47" s="378">
        <v>2020</v>
      </c>
      <c r="T47" s="378">
        <v>2020</v>
      </c>
      <c r="W47" s="378">
        <v>2020</v>
      </c>
    </row>
    <row r="48" spans="1:26" ht="13.5" thickBot="1">
      <c r="B48" s="406">
        <f>SUM(B42:B47)</f>
        <v>900163</v>
      </c>
      <c r="C48" s="406">
        <f>SUM(C42:C47)</f>
        <v>889195</v>
      </c>
      <c r="E48" s="406">
        <f>SUM(E42:E47)</f>
        <v>1082848</v>
      </c>
      <c r="F48" s="406">
        <f>SUM(F42:F47)</f>
        <v>883035</v>
      </c>
      <c r="Q48" s="378">
        <f>SUM(P24)</f>
        <v>-1151367</v>
      </c>
      <c r="U48" s="378">
        <f>U15</f>
        <v>-7245</v>
      </c>
      <c r="X48" s="378">
        <f>X18</f>
        <v>-6550</v>
      </c>
      <c r="Z48" s="378">
        <f>SUM(Q48,U48,X48)+'EST FIN'!O128</f>
        <v>0</v>
      </c>
    </row>
    <row r="49" spans="1:25" ht="13.5" thickBot="1">
      <c r="B49" s="387">
        <f>C49-C30</f>
        <v>0</v>
      </c>
      <c r="C49" s="407">
        <f>SUM(B48:C48)</f>
        <v>1789358</v>
      </c>
      <c r="E49" s="387">
        <f>F49-E30</f>
        <v>0</v>
      </c>
      <c r="F49" s="407">
        <f>SUM(E48:F48)</f>
        <v>1965883</v>
      </c>
    </row>
    <row r="50" spans="1:25" ht="13.5" thickTop="1">
      <c r="P50" s="378" t="s">
        <v>902</v>
      </c>
      <c r="Q50" s="378">
        <v>2021</v>
      </c>
      <c r="R50" s="378">
        <v>1042405</v>
      </c>
      <c r="S50" s="378">
        <f>R50-C153</f>
        <v>0</v>
      </c>
      <c r="W50" s="378" t="s">
        <v>902</v>
      </c>
      <c r="X50" s="378">
        <v>611</v>
      </c>
      <c r="Y50" s="378">
        <f>X50-C161</f>
        <v>0</v>
      </c>
    </row>
    <row r="51" spans="1:25">
      <c r="A51" s="378" t="s">
        <v>803</v>
      </c>
      <c r="P51" s="378" t="s">
        <v>903</v>
      </c>
      <c r="R51" s="378">
        <v>17680</v>
      </c>
      <c r="S51" s="378">
        <f>R51+U51-C182</f>
        <v>0</v>
      </c>
      <c r="T51" s="378" t="s">
        <v>903</v>
      </c>
      <c r="U51" s="378">
        <v>1208</v>
      </c>
      <c r="W51" s="378" t="s">
        <v>903</v>
      </c>
      <c r="X51" s="378">
        <v>32742</v>
      </c>
      <c r="Y51" s="378">
        <f>X51-C190</f>
        <v>0</v>
      </c>
    </row>
    <row r="52" spans="1:25">
      <c r="P52" s="378" t="s">
        <v>132</v>
      </c>
      <c r="R52" s="378">
        <v>147419</v>
      </c>
      <c r="W52" s="378" t="s">
        <v>132</v>
      </c>
      <c r="X52" s="378">
        <v>257</v>
      </c>
    </row>
    <row r="53" spans="1:25" ht="13.5" thickBot="1">
      <c r="C53" s="384">
        <v>2021</v>
      </c>
      <c r="E53" s="384">
        <v>2020</v>
      </c>
      <c r="Q53" s="378">
        <f>Q46+R53</f>
        <v>0</v>
      </c>
      <c r="R53" s="377">
        <f>SUM(R50:R52)</f>
        <v>1207504</v>
      </c>
      <c r="S53" s="377"/>
      <c r="T53" s="378">
        <f>U46+U53</f>
        <v>0</v>
      </c>
      <c r="U53" s="377">
        <f>SUM(U50:U52)</f>
        <v>1208</v>
      </c>
      <c r="W53" s="378">
        <f>X46+X53</f>
        <v>0</v>
      </c>
      <c r="X53" s="377">
        <f>SUM(X50:X52)</f>
        <v>33610</v>
      </c>
    </row>
    <row r="54" spans="1:25">
      <c r="A54" s="378" t="s">
        <v>804</v>
      </c>
      <c r="C54" s="387"/>
      <c r="E54" s="387"/>
    </row>
    <row r="55" spans="1:25">
      <c r="A55" s="378" t="s">
        <v>805</v>
      </c>
      <c r="C55" s="387">
        <v>2585681</v>
      </c>
      <c r="E55" s="387">
        <v>550376</v>
      </c>
      <c r="P55" s="378" t="s">
        <v>902</v>
      </c>
      <c r="Q55" s="378">
        <v>2020</v>
      </c>
      <c r="R55" s="378">
        <v>1108143</v>
      </c>
      <c r="S55" s="378">
        <f>R55-E153</f>
        <v>0</v>
      </c>
    </row>
    <row r="56" spans="1:25">
      <c r="A56" s="378" t="s">
        <v>806</v>
      </c>
      <c r="C56" s="387">
        <v>217407</v>
      </c>
      <c r="E56" s="387" t="s">
        <v>671</v>
      </c>
      <c r="P56" s="378" t="s">
        <v>903</v>
      </c>
      <c r="R56" s="378">
        <v>43224</v>
      </c>
      <c r="S56" s="378">
        <f>R56+U56-E182</f>
        <v>0</v>
      </c>
      <c r="T56" s="378" t="s">
        <v>903</v>
      </c>
      <c r="U56" s="378">
        <v>7245</v>
      </c>
      <c r="W56" s="378" t="s">
        <v>903</v>
      </c>
      <c r="X56" s="378">
        <v>6550</v>
      </c>
      <c r="Y56" s="378">
        <f>X56-E190</f>
        <v>0</v>
      </c>
    </row>
    <row r="57" spans="1:25">
      <c r="A57" s="378" t="s">
        <v>807</v>
      </c>
      <c r="C57" s="387">
        <v>160852</v>
      </c>
      <c r="E57" s="387">
        <v>70451</v>
      </c>
      <c r="Q57" s="378">
        <f>Q48+R57</f>
        <v>0</v>
      </c>
      <c r="R57" s="377">
        <f>SUM(R54:R56)</f>
        <v>1151367</v>
      </c>
      <c r="S57" s="377"/>
      <c r="T57" s="378">
        <f>U48+U57</f>
        <v>0</v>
      </c>
      <c r="U57" s="377">
        <f>SUM(U54:U56)</f>
        <v>7245</v>
      </c>
      <c r="W57" s="378">
        <f>X48+X57</f>
        <v>0</v>
      </c>
      <c r="X57" s="377">
        <f>SUM(X54:X56)</f>
        <v>6550</v>
      </c>
    </row>
    <row r="58" spans="1:25" ht="13.5" thickBot="1">
      <c r="A58" s="378" t="s">
        <v>808</v>
      </c>
      <c r="C58" s="387">
        <v>154298</v>
      </c>
      <c r="E58" s="387">
        <v>196202</v>
      </c>
    </row>
    <row r="59" spans="1:25" ht="13.5" thickBot="1">
      <c r="C59" s="408">
        <f>SUM(C55:C58)</f>
        <v>3118238</v>
      </c>
      <c r="D59" s="378">
        <f>C59-'EST FIN'!X15</f>
        <v>0</v>
      </c>
      <c r="E59" s="408">
        <f>SUM(E55:E58)</f>
        <v>817029</v>
      </c>
      <c r="F59" s="378">
        <f>E59-'EST FIN'!O15</f>
        <v>0</v>
      </c>
    </row>
    <row r="60" spans="1:25" ht="13.5" thickTop="1"/>
    <row r="61" spans="1:25">
      <c r="A61" s="378" t="s">
        <v>811</v>
      </c>
    </row>
    <row r="63" spans="1:25">
      <c r="C63" s="383" t="s">
        <v>812</v>
      </c>
    </row>
    <row r="64" spans="1:25" ht="13.5" thickBot="1">
      <c r="C64" s="384" t="s">
        <v>813</v>
      </c>
    </row>
    <row r="65" spans="1:10">
      <c r="A65" s="378" t="s">
        <v>613</v>
      </c>
      <c r="C65" s="387">
        <v>-37775</v>
      </c>
      <c r="E65" s="378" t="s">
        <v>573</v>
      </c>
    </row>
    <row r="66" spans="1:10">
      <c r="A66" s="378" t="s">
        <v>815</v>
      </c>
      <c r="C66" s="387">
        <v>59006</v>
      </c>
      <c r="E66" s="378">
        <v>2021</v>
      </c>
      <c r="F66" s="439">
        <f>-C70</f>
        <v>496</v>
      </c>
    </row>
    <row r="67" spans="1:10" ht="13.5" thickBot="1">
      <c r="A67" s="378" t="s">
        <v>816</v>
      </c>
      <c r="C67" s="394">
        <v>-30771</v>
      </c>
      <c r="E67" s="378">
        <v>2020</v>
      </c>
      <c r="F67" s="439">
        <f>-C67</f>
        <v>30771</v>
      </c>
    </row>
    <row r="68" spans="1:10">
      <c r="A68" s="378" t="s">
        <v>745</v>
      </c>
      <c r="C68" s="409">
        <f>SUM(C65:C67)</f>
        <v>-9540</v>
      </c>
      <c r="D68" s="378">
        <f>SUM(C65:C67)-C68</f>
        <v>0</v>
      </c>
    </row>
    <row r="69" spans="1:10">
      <c r="A69" s="378" t="s">
        <v>815</v>
      </c>
      <c r="C69" s="387">
        <v>10036</v>
      </c>
      <c r="D69" s="378">
        <f>C68+'EST FIN'!O34</f>
        <v>0</v>
      </c>
      <c r="E69" s="378" t="s">
        <v>905</v>
      </c>
    </row>
    <row r="70" spans="1:10" ht="13.5" thickBot="1">
      <c r="A70" s="378" t="s">
        <v>816</v>
      </c>
      <c r="C70" s="394">
        <v>-496</v>
      </c>
      <c r="E70" s="378">
        <v>2021</v>
      </c>
      <c r="F70" s="378">
        <f>C66+'EST FIN'!O189</f>
        <v>0</v>
      </c>
    </row>
    <row r="71" spans="1:10" ht="13.5" thickBot="1">
      <c r="A71" s="378" t="s">
        <v>1037</v>
      </c>
      <c r="C71" s="407">
        <f>SUM(C68:C70)</f>
        <v>0</v>
      </c>
      <c r="D71" s="378">
        <f>SUM(C68:C70)-C71</f>
        <v>0</v>
      </c>
      <c r="E71" s="378">
        <v>2020</v>
      </c>
      <c r="F71" s="378">
        <f>C69+'EST FIN'!X189</f>
        <v>496</v>
      </c>
    </row>
    <row r="72" spans="1:10" ht="13.5" thickTop="1">
      <c r="D72" s="378">
        <f>C71+'EST FIN'!X34</f>
        <v>0</v>
      </c>
    </row>
    <row r="73" spans="1:10" ht="13.5" thickBot="1">
      <c r="A73" s="388"/>
      <c r="C73" s="391">
        <v>2021</v>
      </c>
      <c r="E73" s="391">
        <v>2020</v>
      </c>
    </row>
    <row r="74" spans="1:10">
      <c r="A74" s="388"/>
      <c r="C74" s="393"/>
      <c r="E74" s="393"/>
    </row>
    <row r="75" spans="1:10">
      <c r="C75" s="393"/>
      <c r="E75" s="393"/>
    </row>
    <row r="76" spans="1:10">
      <c r="A76" s="388" t="s">
        <v>819</v>
      </c>
      <c r="C76" s="395">
        <v>1208</v>
      </c>
      <c r="D76" s="378">
        <f>C76+U46</f>
        <v>0</v>
      </c>
      <c r="E76" s="395">
        <v>7245</v>
      </c>
      <c r="F76" s="378">
        <f>E76+U48</f>
        <v>0</v>
      </c>
    </row>
    <row r="77" spans="1:10">
      <c r="A77" s="388" t="s">
        <v>820</v>
      </c>
      <c r="C77" s="393">
        <v>496</v>
      </c>
      <c r="D77" s="378">
        <f>C77-F66</f>
        <v>0</v>
      </c>
      <c r="E77" s="396">
        <v>30771</v>
      </c>
      <c r="F77" s="378">
        <f>E77-F67</f>
        <v>0</v>
      </c>
    </row>
    <row r="78" spans="1:10">
      <c r="A78" s="388" t="s">
        <v>821</v>
      </c>
      <c r="C78" s="393"/>
      <c r="E78" s="393"/>
      <c r="I78" s="383" t="s">
        <v>1038</v>
      </c>
      <c r="J78" s="383" t="s">
        <v>907</v>
      </c>
    </row>
    <row r="79" spans="1:10" ht="13.5" thickBot="1">
      <c r="A79" s="388" t="s">
        <v>906</v>
      </c>
      <c r="C79" s="396">
        <f>I81</f>
        <v>104090</v>
      </c>
      <c r="E79" s="396">
        <f>J81</f>
        <v>24754</v>
      </c>
      <c r="H79" s="378" t="s">
        <v>901</v>
      </c>
      <c r="I79" s="378">
        <v>24420</v>
      </c>
      <c r="J79" s="378">
        <v>17541</v>
      </c>
    </row>
    <row r="80" spans="1:10" ht="13.5" thickBot="1">
      <c r="A80" s="388"/>
      <c r="C80" s="410">
        <f>SUM(C76:C79)</f>
        <v>105794</v>
      </c>
      <c r="E80" s="410">
        <f>SUM(E76:E79)</f>
        <v>62770</v>
      </c>
      <c r="H80" s="378" t="s">
        <v>567</v>
      </c>
      <c r="I80" s="442">
        <f>ROUND(SUM('HW PYMES'!M129:M132)/1000,0)</f>
        <v>79670</v>
      </c>
      <c r="J80" s="442">
        <f>ROUND(SUM('HW PYMES'!I129:I132)/1000,0)</f>
        <v>7213</v>
      </c>
    </row>
    <row r="81" spans="1:10" ht="13.5" thickTop="1">
      <c r="I81" s="378">
        <f>SUM(I79:I80)</f>
        <v>104090</v>
      </c>
      <c r="J81" s="378">
        <f>SUM(J79:J80)</f>
        <v>24754</v>
      </c>
    </row>
    <row r="82" spans="1:10">
      <c r="A82" s="378" t="s">
        <v>830</v>
      </c>
    </row>
    <row r="83" spans="1:10">
      <c r="H83" s="378" t="s">
        <v>908</v>
      </c>
      <c r="I83" s="378">
        <f>C69+I81</f>
        <v>114126</v>
      </c>
      <c r="J83" s="378">
        <f>C66+J81</f>
        <v>83760</v>
      </c>
    </row>
    <row r="84" spans="1:10" ht="13.5" thickBot="1">
      <c r="A84" s="389"/>
      <c r="C84" s="391">
        <v>2021</v>
      </c>
      <c r="E84" s="391">
        <v>2020</v>
      </c>
    </row>
    <row r="85" spans="1:10">
      <c r="A85" s="388"/>
      <c r="C85" s="393"/>
      <c r="E85" s="393"/>
    </row>
    <row r="86" spans="1:10">
      <c r="A86" s="388" t="s">
        <v>824</v>
      </c>
      <c r="C86" s="395">
        <v>10878896</v>
      </c>
      <c r="E86" s="395">
        <v>10878896</v>
      </c>
    </row>
    <row r="87" spans="1:10">
      <c r="A87" s="388" t="s">
        <v>825</v>
      </c>
      <c r="C87" s="396">
        <v>39989</v>
      </c>
      <c r="E87" s="396">
        <v>63475</v>
      </c>
    </row>
    <row r="88" spans="1:10" ht="13.5" thickBot="1">
      <c r="A88" s="388" t="s">
        <v>826</v>
      </c>
      <c r="C88" s="398">
        <v>403</v>
      </c>
      <c r="E88" s="398">
        <v>280</v>
      </c>
    </row>
    <row r="89" spans="1:10" ht="13.5" thickBot="1">
      <c r="A89" s="388" t="s">
        <v>827</v>
      </c>
      <c r="C89" s="411">
        <f>SUM(C86:C88)</f>
        <v>10919288</v>
      </c>
      <c r="E89" s="411">
        <f>SUM(E86:E88)</f>
        <v>10942651</v>
      </c>
    </row>
    <row r="90" spans="1:10" ht="13.5" thickTop="1">
      <c r="A90" s="388"/>
      <c r="C90" s="393"/>
      <c r="E90" s="393"/>
    </row>
    <row r="91" spans="1:10" ht="13.5" thickBot="1">
      <c r="A91" s="388" t="s">
        <v>828</v>
      </c>
      <c r="C91" s="412">
        <f>SUM(C87:C88)</f>
        <v>40392</v>
      </c>
      <c r="D91" s="378">
        <f>C91-'EST FIN'!X33</f>
        <v>0</v>
      </c>
      <c r="E91" s="412">
        <f t="shared" ref="E91" si="11">SUM(E87:E88)</f>
        <v>63755</v>
      </c>
      <c r="F91" s="378">
        <f>E91-'EST FIN'!O33</f>
        <v>0</v>
      </c>
    </row>
    <row r="92" spans="1:10" ht="13.5" thickBot="1">
      <c r="A92" s="388" t="s">
        <v>829</v>
      </c>
      <c r="C92" s="411">
        <f>C89-C91</f>
        <v>10878896</v>
      </c>
      <c r="D92" s="378">
        <f>C92-'EST FIN'!O44</f>
        <v>0</v>
      </c>
      <c r="E92" s="411">
        <f>E89-E91</f>
        <v>10878896</v>
      </c>
      <c r="F92" s="378">
        <f>E92-'EST FIN'!X44</f>
        <v>0</v>
      </c>
    </row>
    <row r="93" spans="1:10" ht="13.5" thickTop="1"/>
    <row r="94" spans="1:10">
      <c r="A94" s="378" t="s">
        <v>909</v>
      </c>
      <c r="C94" s="378">
        <v>773816</v>
      </c>
      <c r="D94" s="378">
        <f>C94+'EST FIN'!X192</f>
        <v>-494</v>
      </c>
      <c r="E94" s="378">
        <v>686302</v>
      </c>
      <c r="F94" s="378">
        <f>E94+'EST FIN'!O192</f>
        <v>0</v>
      </c>
    </row>
    <row r="96" spans="1:10">
      <c r="A96" s="378" t="s">
        <v>831</v>
      </c>
    </row>
    <row r="98" spans="1:22" ht="13.5" thickBot="1">
      <c r="A98" s="388"/>
      <c r="C98" s="391">
        <v>2021</v>
      </c>
      <c r="E98" s="391">
        <v>2020</v>
      </c>
    </row>
    <row r="99" spans="1:22">
      <c r="A99" s="388"/>
      <c r="C99" s="393"/>
      <c r="E99" s="393"/>
    </row>
    <row r="100" spans="1:22">
      <c r="A100" s="388" t="s">
        <v>896</v>
      </c>
      <c r="C100" s="395">
        <v>1716708</v>
      </c>
      <c r="E100" s="395">
        <v>1006717</v>
      </c>
      <c r="T100" s="416"/>
      <c r="U100" s="416"/>
      <c r="V100" s="416"/>
    </row>
    <row r="101" spans="1:22" s="416" customFormat="1">
      <c r="A101" s="415"/>
      <c r="C101" s="417"/>
      <c r="D101" s="378">
        <f>C13</f>
        <v>52686</v>
      </c>
      <c r="E101" s="417"/>
      <c r="F101" s="378">
        <f>E13</f>
        <v>408195</v>
      </c>
      <c r="H101" s="378"/>
      <c r="I101" s="378"/>
      <c r="J101" s="378"/>
      <c r="K101" s="378"/>
      <c r="L101" s="378"/>
      <c r="M101" s="378"/>
      <c r="N101" s="378"/>
      <c r="O101" s="378"/>
      <c r="P101" s="378"/>
      <c r="Q101" s="378"/>
      <c r="R101" s="378"/>
      <c r="S101" s="378"/>
      <c r="T101" s="378"/>
      <c r="U101" s="378"/>
      <c r="V101" s="378"/>
    </row>
    <row r="102" spans="1:22">
      <c r="A102" s="388" t="s">
        <v>832</v>
      </c>
      <c r="C102" s="393"/>
      <c r="D102" s="385" t="s">
        <v>900</v>
      </c>
      <c r="E102" s="393"/>
      <c r="F102" s="385" t="s">
        <v>900</v>
      </c>
      <c r="R102" s="416"/>
      <c r="S102" s="416"/>
    </row>
    <row r="103" spans="1:22">
      <c r="A103" s="388" t="s">
        <v>833</v>
      </c>
      <c r="C103" s="396">
        <v>317135</v>
      </c>
      <c r="E103" s="396">
        <v>234526</v>
      </c>
    </row>
    <row r="104" spans="1:22" ht="13.5" thickBot="1">
      <c r="A104" s="388" t="s">
        <v>834</v>
      </c>
      <c r="C104" s="397">
        <v>188750</v>
      </c>
      <c r="E104" s="397">
        <v>97056</v>
      </c>
    </row>
    <row r="105" spans="1:22" ht="13.5" thickBot="1">
      <c r="A105" s="388"/>
      <c r="C105" s="411">
        <f>SUM(C100:C104)</f>
        <v>2222593</v>
      </c>
      <c r="D105" s="378">
        <f>C105-'EST FIN'!X35</f>
        <v>0</v>
      </c>
      <c r="E105" s="411">
        <f>SUM(E100:E104)</f>
        <v>1338299</v>
      </c>
      <c r="F105" s="378">
        <f>E105-'EST FIN'!O35</f>
        <v>0</v>
      </c>
    </row>
    <row r="106" spans="1:22" ht="13.5" thickTop="1"/>
    <row r="107" spans="1:22">
      <c r="A107" s="404" t="s">
        <v>887</v>
      </c>
    </row>
    <row r="108" spans="1:22">
      <c r="H108" s="416"/>
      <c r="I108" s="416"/>
      <c r="J108" s="416"/>
      <c r="K108" s="416"/>
      <c r="L108" s="416"/>
      <c r="M108" s="416"/>
      <c r="N108" s="416"/>
      <c r="O108" s="416"/>
      <c r="P108" s="416"/>
      <c r="Q108" s="416"/>
    </row>
    <row r="109" spans="1:22" ht="13.5" thickBot="1">
      <c r="A109" s="388"/>
      <c r="C109" s="391">
        <v>2021</v>
      </c>
      <c r="E109" s="391">
        <v>2020</v>
      </c>
    </row>
    <row r="110" spans="1:22">
      <c r="A110" s="388" t="s">
        <v>897</v>
      </c>
      <c r="C110" s="393"/>
      <c r="E110" s="393"/>
    </row>
    <row r="111" spans="1:22">
      <c r="A111" s="388" t="s">
        <v>835</v>
      </c>
      <c r="C111" s="395">
        <v>125519</v>
      </c>
      <c r="E111" s="395">
        <v>517187</v>
      </c>
    </row>
    <row r="112" spans="1:22" ht="13.5" thickBot="1">
      <c r="A112" s="388" t="s">
        <v>836</v>
      </c>
      <c r="C112" s="397">
        <v>10263</v>
      </c>
      <c r="E112" s="398" t="s">
        <v>671</v>
      </c>
    </row>
    <row r="113" spans="1:22" ht="13.5" thickBot="1">
      <c r="A113" s="388"/>
      <c r="C113" s="411">
        <f>SUM(C111:C112)</f>
        <v>135782</v>
      </c>
      <c r="D113" s="378">
        <f>C113-'EST FIN'!X36</f>
        <v>0</v>
      </c>
      <c r="E113" s="411">
        <f>SUM(E111:E112)</f>
        <v>517187</v>
      </c>
      <c r="F113" s="378">
        <f>E113-'EST FIN'!O36</f>
        <v>0</v>
      </c>
    </row>
    <row r="114" spans="1:22" ht="13.5" thickTop="1">
      <c r="D114" s="378">
        <f>C14-C113</f>
        <v>0</v>
      </c>
      <c r="F114" s="378">
        <f>E14-E113</f>
        <v>0</v>
      </c>
      <c r="T114" s="416"/>
      <c r="U114" s="416"/>
      <c r="V114" s="416"/>
    </row>
    <row r="115" spans="1:22" s="416" customFormat="1">
      <c r="A115" s="415"/>
      <c r="C115" s="417"/>
      <c r="D115" s="385" t="s">
        <v>900</v>
      </c>
      <c r="E115" s="417"/>
      <c r="F115" s="385" t="s">
        <v>900</v>
      </c>
      <c r="H115" s="378"/>
      <c r="I115" s="378"/>
      <c r="J115" s="378"/>
      <c r="K115" s="378"/>
      <c r="L115" s="378"/>
      <c r="M115" s="378"/>
      <c r="N115" s="378"/>
      <c r="O115" s="378"/>
      <c r="P115" s="378"/>
      <c r="Q115" s="378"/>
      <c r="R115" s="378"/>
      <c r="S115" s="378"/>
      <c r="T115" s="378"/>
      <c r="U115" s="378"/>
      <c r="V115" s="378"/>
    </row>
    <row r="116" spans="1:22">
      <c r="R116" s="416"/>
      <c r="S116" s="416"/>
    </row>
    <row r="117" spans="1:22" ht="13.5" thickBot="1">
      <c r="A117" s="388"/>
      <c r="C117" s="391">
        <v>2021</v>
      </c>
      <c r="E117" s="391">
        <v>2020</v>
      </c>
    </row>
    <row r="118" spans="1:22">
      <c r="A118" s="388" t="s">
        <v>837</v>
      </c>
      <c r="C118" s="393"/>
      <c r="E118" s="393"/>
    </row>
    <row r="119" spans="1:22">
      <c r="A119" s="388" t="s">
        <v>838</v>
      </c>
      <c r="C119" s="395">
        <v>125519</v>
      </c>
      <c r="E119" s="395">
        <v>119838</v>
      </c>
    </row>
    <row r="120" spans="1:22">
      <c r="A120" s="388" t="s">
        <v>839</v>
      </c>
      <c r="C120" s="393" t="s">
        <v>671</v>
      </c>
      <c r="E120" s="396">
        <v>393257</v>
      </c>
    </row>
    <row r="121" spans="1:22">
      <c r="A121" s="388" t="s">
        <v>840</v>
      </c>
      <c r="C121" s="393" t="s">
        <v>671</v>
      </c>
      <c r="E121" s="396">
        <v>4092</v>
      </c>
    </row>
    <row r="122" spans="1:22">
      <c r="A122" s="388" t="s">
        <v>841</v>
      </c>
      <c r="C122" s="393"/>
      <c r="E122" s="393"/>
      <c r="H122" s="416"/>
      <c r="I122" s="416"/>
      <c r="J122" s="416"/>
      <c r="K122" s="416"/>
      <c r="L122" s="416"/>
      <c r="M122" s="416"/>
      <c r="N122" s="416"/>
      <c r="O122" s="416"/>
      <c r="P122" s="416"/>
      <c r="Q122" s="416"/>
    </row>
    <row r="123" spans="1:22" ht="13.5" thickBot="1">
      <c r="A123" s="388" t="s">
        <v>842</v>
      </c>
      <c r="C123" s="397">
        <v>10263</v>
      </c>
      <c r="E123" s="398" t="s">
        <v>671</v>
      </c>
    </row>
    <row r="124" spans="1:22" ht="13.5" thickBot="1">
      <c r="A124" s="388"/>
      <c r="C124" s="413">
        <f>SUM(C119:C123)</f>
        <v>135782</v>
      </c>
      <c r="D124" s="378">
        <f>C124-C113</f>
        <v>0</v>
      </c>
      <c r="E124" s="413">
        <f>SUM(E119:E123)</f>
        <v>517187</v>
      </c>
      <c r="F124" s="378">
        <f>E124-E113</f>
        <v>0</v>
      </c>
    </row>
    <row r="126" spans="1:22">
      <c r="A126" s="404" t="s">
        <v>888</v>
      </c>
    </row>
    <row r="128" spans="1:22" ht="13.5" thickBot="1">
      <c r="A128" s="388"/>
      <c r="C128" s="391">
        <v>2021</v>
      </c>
      <c r="E128" s="391">
        <v>2020</v>
      </c>
    </row>
    <row r="129" spans="1:10">
      <c r="A129" s="388" t="s">
        <v>843</v>
      </c>
      <c r="C129" s="393"/>
      <c r="E129" s="393"/>
    </row>
    <row r="130" spans="1:10">
      <c r="A130" s="388" t="s">
        <v>844</v>
      </c>
      <c r="C130" s="395">
        <v>769985</v>
      </c>
      <c r="E130" s="393" t="s">
        <v>845</v>
      </c>
    </row>
    <row r="131" spans="1:10">
      <c r="A131" s="388" t="s">
        <v>846</v>
      </c>
      <c r="C131" s="396">
        <v>205272</v>
      </c>
      <c r="E131" s="393" t="s">
        <v>671</v>
      </c>
    </row>
    <row r="132" spans="1:10">
      <c r="A132" s="388" t="s">
        <v>847</v>
      </c>
      <c r="C132" s="396">
        <v>150594</v>
      </c>
      <c r="E132" s="393" t="s">
        <v>671</v>
      </c>
    </row>
    <row r="133" spans="1:10">
      <c r="A133" s="388" t="s">
        <v>848</v>
      </c>
      <c r="C133" s="396">
        <v>90793</v>
      </c>
      <c r="E133" s="396">
        <v>444731</v>
      </c>
    </row>
    <row r="134" spans="1:10">
      <c r="A134" s="388" t="s">
        <v>849</v>
      </c>
      <c r="C134" s="393" t="s">
        <v>671</v>
      </c>
      <c r="E134" s="396">
        <v>485423</v>
      </c>
    </row>
    <row r="135" spans="1:10">
      <c r="A135" s="388" t="s">
        <v>850</v>
      </c>
      <c r="C135" s="396">
        <v>52491</v>
      </c>
      <c r="E135" s="393" t="s">
        <v>671</v>
      </c>
    </row>
    <row r="136" spans="1:10" ht="13.5" thickBot="1">
      <c r="A136" s="388" t="s">
        <v>851</v>
      </c>
      <c r="C136" s="397">
        <v>62997</v>
      </c>
      <c r="E136" s="398" t="s">
        <v>671</v>
      </c>
    </row>
    <row r="137" spans="1:10" ht="13.5" thickBot="1">
      <c r="A137" s="388"/>
      <c r="C137" s="411">
        <f>SUM(C130:C136)</f>
        <v>1332132</v>
      </c>
      <c r="D137" s="378">
        <f>C137-'EST FIN'!X38</f>
        <v>0</v>
      </c>
      <c r="E137" s="411">
        <f>SUM(E130:E136)</f>
        <v>930154</v>
      </c>
      <c r="F137" s="378">
        <f>E137-'EST FIN'!O38</f>
        <v>0</v>
      </c>
    </row>
    <row r="138" spans="1:10" ht="13.5" thickTop="1"/>
    <row r="139" spans="1:10">
      <c r="A139" s="404" t="s">
        <v>889</v>
      </c>
    </row>
    <row r="141" spans="1:10" ht="13.5" thickBot="1">
      <c r="A141" s="388"/>
      <c r="C141" s="391">
        <v>2021</v>
      </c>
      <c r="E141" s="391">
        <v>2020</v>
      </c>
    </row>
    <row r="142" spans="1:10">
      <c r="A142" s="388"/>
      <c r="C142" s="393"/>
      <c r="E142" s="393"/>
      <c r="I142" s="378">
        <v>5276037</v>
      </c>
      <c r="J142" s="378">
        <v>3751652</v>
      </c>
    </row>
    <row r="143" spans="1:10">
      <c r="A143" s="388" t="s">
        <v>852</v>
      </c>
      <c r="C143" s="395">
        <v>10913884</v>
      </c>
      <c r="E143" s="395">
        <v>9855340</v>
      </c>
      <c r="I143" s="378">
        <v>2374462</v>
      </c>
      <c r="J143" s="378">
        <v>2068650</v>
      </c>
    </row>
    <row r="144" spans="1:10" ht="13.5" thickBot="1">
      <c r="A144" s="388" t="s">
        <v>853</v>
      </c>
      <c r="C144" s="397">
        <v>397561</v>
      </c>
      <c r="E144" s="397">
        <v>1232252</v>
      </c>
      <c r="I144" s="378">
        <v>1169532</v>
      </c>
      <c r="J144" s="378">
        <v>1173029</v>
      </c>
    </row>
    <row r="145" spans="1:10" ht="13.5" thickBot="1">
      <c r="A145" s="388"/>
      <c r="C145" s="411">
        <f>SUM(C143:C144)</f>
        <v>11311445</v>
      </c>
      <c r="D145" s="378">
        <f>C145-'EST FIN'!X72</f>
        <v>0</v>
      </c>
      <c r="E145" s="411">
        <f>SUM(E143:E144)</f>
        <v>11087592</v>
      </c>
      <c r="F145" s="378">
        <f>E145-'EST FIN'!O72</f>
        <v>0</v>
      </c>
      <c r="I145" s="378">
        <v>811659</v>
      </c>
      <c r="J145" s="378">
        <v>1164260</v>
      </c>
    </row>
    <row r="146" spans="1:10" ht="13.5" thickTop="1">
      <c r="I146" s="378">
        <v>479585</v>
      </c>
      <c r="J146" s="378">
        <v>973813</v>
      </c>
    </row>
    <row r="147" spans="1:10">
      <c r="A147" s="404" t="s">
        <v>890</v>
      </c>
      <c r="I147" s="377">
        <f>SUM(I142:I146)</f>
        <v>10111275</v>
      </c>
      <c r="J147" s="377">
        <f>SUM(J142:J146)</f>
        <v>9131404</v>
      </c>
    </row>
    <row r="148" spans="1:10">
      <c r="I148" s="443">
        <f>I147/C143</f>
        <v>0.92645981943733324</v>
      </c>
      <c r="J148" s="443">
        <f>J147/E143</f>
        <v>0.92654378235555546</v>
      </c>
    </row>
    <row r="149" spans="1:10" ht="13.5" thickBot="1">
      <c r="A149" s="374"/>
      <c r="C149" s="391">
        <v>2021</v>
      </c>
      <c r="E149" s="391">
        <v>2020</v>
      </c>
    </row>
    <row r="150" spans="1:10">
      <c r="A150" s="374"/>
      <c r="C150" s="393"/>
      <c r="E150" s="393"/>
    </row>
    <row r="151" spans="1:10">
      <c r="A151" s="376" t="s">
        <v>854</v>
      </c>
      <c r="C151" s="395">
        <v>2489748</v>
      </c>
      <c r="E151" s="395">
        <v>2490064</v>
      </c>
    </row>
    <row r="152" spans="1:10">
      <c r="A152" s="376" t="s">
        <v>855</v>
      </c>
      <c r="C152" s="396">
        <v>2067863</v>
      </c>
      <c r="E152" s="396">
        <v>2435389</v>
      </c>
    </row>
    <row r="153" spans="1:10">
      <c r="A153" s="376" t="s">
        <v>856</v>
      </c>
      <c r="C153" s="396">
        <v>1042405</v>
      </c>
      <c r="E153" s="396">
        <v>1108143</v>
      </c>
    </row>
    <row r="154" spans="1:10">
      <c r="A154" s="376" t="s">
        <v>852</v>
      </c>
      <c r="C154" s="396">
        <v>611405</v>
      </c>
      <c r="E154" s="396">
        <v>668468</v>
      </c>
    </row>
    <row r="155" spans="1:10">
      <c r="A155" s="376" t="s">
        <v>864</v>
      </c>
      <c r="C155" s="396">
        <v>522100</v>
      </c>
      <c r="E155" s="396">
        <v>721902</v>
      </c>
    </row>
    <row r="156" spans="1:10">
      <c r="A156" s="376" t="s">
        <v>857</v>
      </c>
      <c r="C156" s="396">
        <v>418722</v>
      </c>
      <c r="E156" s="396">
        <v>1340200</v>
      </c>
    </row>
    <row r="157" spans="1:10">
      <c r="A157" s="376" t="s">
        <v>858</v>
      </c>
      <c r="C157" s="396">
        <v>306294</v>
      </c>
      <c r="E157" s="396">
        <v>468818</v>
      </c>
    </row>
    <row r="158" spans="1:10">
      <c r="A158" s="376" t="s">
        <v>863</v>
      </c>
      <c r="C158" s="396">
        <v>289800</v>
      </c>
      <c r="E158" s="396">
        <v>1063240</v>
      </c>
    </row>
    <row r="159" spans="1:10">
      <c r="A159" s="376" t="s">
        <v>859</v>
      </c>
      <c r="C159" s="396">
        <v>57141</v>
      </c>
      <c r="E159" s="396">
        <v>59504</v>
      </c>
    </row>
    <row r="160" spans="1:10">
      <c r="A160" s="376" t="s">
        <v>860</v>
      </c>
      <c r="C160" s="396">
        <v>12784</v>
      </c>
      <c r="E160" s="396">
        <v>15794</v>
      </c>
    </row>
    <row r="161" spans="1:6" ht="13.5" thickBot="1">
      <c r="A161" s="376" t="s">
        <v>861</v>
      </c>
      <c r="C161" s="397">
        <v>611</v>
      </c>
      <c r="E161" s="397" t="s">
        <v>862</v>
      </c>
    </row>
    <row r="162" spans="1:6" ht="13.5" thickBot="1">
      <c r="A162" s="332"/>
      <c r="C162" s="411">
        <f>SUM(C151:C161)</f>
        <v>7818873</v>
      </c>
      <c r="D162" s="378">
        <f>C162+'EST FIN'!X73</f>
        <v>0</v>
      </c>
      <c r="E162" s="411">
        <f>SUM(E151:E161)</f>
        <v>10371522</v>
      </c>
      <c r="F162" s="378">
        <f>E162+'EST FIN'!O73</f>
        <v>0</v>
      </c>
    </row>
    <row r="163" spans="1:6" ht="13.5" thickTop="1"/>
    <row r="164" spans="1:6">
      <c r="A164" s="404" t="s">
        <v>891</v>
      </c>
    </row>
    <row r="166" spans="1:6" ht="13.5" thickBot="1">
      <c r="A166" s="388"/>
      <c r="C166" s="391">
        <v>2021</v>
      </c>
      <c r="E166" s="391">
        <v>2020</v>
      </c>
    </row>
    <row r="167" spans="1:6">
      <c r="A167" s="388"/>
      <c r="C167" s="393"/>
      <c r="E167" s="393"/>
    </row>
    <row r="168" spans="1:6">
      <c r="A168" s="388" t="s">
        <v>677</v>
      </c>
      <c r="C168" s="395">
        <v>989452</v>
      </c>
      <c r="E168" s="395">
        <v>992493</v>
      </c>
    </row>
    <row r="169" spans="1:6">
      <c r="A169" s="388" t="s">
        <v>682</v>
      </c>
      <c r="C169" s="396">
        <v>119100</v>
      </c>
      <c r="E169" s="396">
        <v>159775</v>
      </c>
    </row>
    <row r="170" spans="1:6">
      <c r="A170" s="388" t="s">
        <v>678</v>
      </c>
      <c r="C170" s="396">
        <v>138744</v>
      </c>
      <c r="E170" s="396">
        <v>101791</v>
      </c>
    </row>
    <row r="171" spans="1:6">
      <c r="A171" s="388" t="s">
        <v>679</v>
      </c>
      <c r="C171" s="396">
        <v>92985</v>
      </c>
      <c r="E171" s="396">
        <v>85956</v>
      </c>
    </row>
    <row r="172" spans="1:6">
      <c r="A172" s="388" t="s">
        <v>680</v>
      </c>
      <c r="C172" s="396">
        <v>48537</v>
      </c>
      <c r="E172" s="396">
        <v>73802</v>
      </c>
    </row>
    <row r="173" spans="1:6" ht="13.5" thickBot="1">
      <c r="A173" s="388" t="s">
        <v>681</v>
      </c>
      <c r="C173" s="398" t="s">
        <v>671</v>
      </c>
      <c r="E173" s="397">
        <v>18450</v>
      </c>
    </row>
    <row r="174" spans="1:6" ht="13.5" thickBot="1">
      <c r="A174" s="388" t="s">
        <v>696</v>
      </c>
      <c r="C174" s="412">
        <f>SUM(C168:C173)</f>
        <v>1388818</v>
      </c>
      <c r="E174" s="412">
        <f>SUM(E168:E173)</f>
        <v>1432267</v>
      </c>
    </row>
    <row r="175" spans="1:6">
      <c r="A175" s="388"/>
      <c r="C175" s="393"/>
      <c r="E175" s="388"/>
    </row>
    <row r="176" spans="1:6">
      <c r="A176" s="388" t="s">
        <v>689</v>
      </c>
      <c r="C176" s="396">
        <v>152184</v>
      </c>
      <c r="E176" s="396">
        <v>154348</v>
      </c>
    </row>
    <row r="177" spans="1:6">
      <c r="A177" s="388" t="s">
        <v>685</v>
      </c>
      <c r="C177" s="396">
        <v>159741</v>
      </c>
      <c r="E177" s="396">
        <v>141240</v>
      </c>
    </row>
    <row r="178" spans="1:6">
      <c r="A178" s="388" t="s">
        <v>684</v>
      </c>
      <c r="C178" s="396">
        <v>52157</v>
      </c>
      <c r="E178" s="396">
        <v>78854</v>
      </c>
    </row>
    <row r="179" spans="1:6">
      <c r="A179" s="388" t="s">
        <v>688</v>
      </c>
      <c r="C179" s="396">
        <v>100646</v>
      </c>
      <c r="E179" s="396">
        <v>63930</v>
      </c>
    </row>
    <row r="180" spans="1:6">
      <c r="A180" s="388" t="s">
        <v>691</v>
      </c>
      <c r="C180" s="396">
        <v>22606</v>
      </c>
      <c r="E180" s="396">
        <v>61977</v>
      </c>
    </row>
    <row r="181" spans="1:6">
      <c r="A181" s="388" t="s">
        <v>695</v>
      </c>
      <c r="C181" s="396">
        <v>43670</v>
      </c>
      <c r="E181" s="396">
        <f>61067-7245</f>
        <v>53822</v>
      </c>
    </row>
    <row r="182" spans="1:6">
      <c r="A182" s="388" t="s">
        <v>899</v>
      </c>
      <c r="C182" s="396">
        <f>17680+1208</f>
        <v>18888</v>
      </c>
      <c r="E182" s="396">
        <f>43224+7245</f>
        <v>50469</v>
      </c>
    </row>
    <row r="183" spans="1:6">
      <c r="A183" s="388" t="s">
        <v>686</v>
      </c>
      <c r="C183" s="396">
        <v>19864</v>
      </c>
      <c r="E183" s="396">
        <v>48058</v>
      </c>
    </row>
    <row r="184" spans="1:6">
      <c r="A184" s="388" t="s">
        <v>697</v>
      </c>
      <c r="C184" s="396">
        <v>12553</v>
      </c>
      <c r="E184" s="396">
        <v>41962</v>
      </c>
    </row>
    <row r="185" spans="1:6">
      <c r="A185" s="388" t="s">
        <v>693</v>
      </c>
      <c r="C185" s="396">
        <v>43620</v>
      </c>
      <c r="E185" s="396">
        <v>40533</v>
      </c>
    </row>
    <row r="186" spans="1:6">
      <c r="A186" s="388" t="s">
        <v>692</v>
      </c>
      <c r="C186" s="396">
        <v>4041</v>
      </c>
      <c r="E186" s="396">
        <v>40175</v>
      </c>
    </row>
    <row r="187" spans="1:6">
      <c r="A187" s="388" t="s">
        <v>698</v>
      </c>
      <c r="C187" s="396">
        <v>4999</v>
      </c>
      <c r="E187" s="396">
        <v>15422</v>
      </c>
    </row>
    <row r="188" spans="1:6">
      <c r="A188" s="388" t="s">
        <v>699</v>
      </c>
      <c r="C188" s="396">
        <v>6867</v>
      </c>
      <c r="E188" s="396">
        <v>12918</v>
      </c>
    </row>
    <row r="189" spans="1:6">
      <c r="A189" s="388" t="s">
        <v>690</v>
      </c>
      <c r="C189" s="396">
        <v>79670</v>
      </c>
      <c r="E189" s="396">
        <v>7213</v>
      </c>
    </row>
    <row r="190" spans="1:6" ht="13.5" thickBot="1">
      <c r="A190" s="388" t="s">
        <v>898</v>
      </c>
      <c r="C190" s="397">
        <f>33950-1208</f>
        <v>32742</v>
      </c>
      <c r="E190" s="397">
        <v>6550</v>
      </c>
    </row>
    <row r="191" spans="1:6" ht="13.5" thickBot="1">
      <c r="A191" s="388"/>
      <c r="C191" s="411">
        <f>SUM(C174:C190)</f>
        <v>2143066</v>
      </c>
      <c r="D191" s="378">
        <f>C191+'EST FIN'!X77</f>
        <v>0</v>
      </c>
      <c r="E191" s="411">
        <f>SUM(E174:E190)</f>
        <v>2249738</v>
      </c>
      <c r="F191" s="378">
        <f>E191+'EST FIN'!O77</f>
        <v>0</v>
      </c>
    </row>
    <row r="192" spans="1:6" ht="13.5" thickTop="1"/>
    <row r="193" spans="1:6">
      <c r="A193" s="404" t="s">
        <v>892</v>
      </c>
    </row>
    <row r="195" spans="1:6" ht="13.5" thickBot="1">
      <c r="A195" s="388"/>
      <c r="C195" s="391">
        <v>2021</v>
      </c>
      <c r="E195" s="391">
        <v>2020</v>
      </c>
    </row>
    <row r="196" spans="1:6">
      <c r="A196" s="388"/>
      <c r="C196" s="393"/>
      <c r="E196" s="393"/>
    </row>
    <row r="197" spans="1:6">
      <c r="A197" s="388" t="s">
        <v>568</v>
      </c>
      <c r="C197" s="393"/>
      <c r="E197" s="393"/>
    </row>
    <row r="198" spans="1:6">
      <c r="A198" s="388" t="s">
        <v>865</v>
      </c>
      <c r="C198" s="395">
        <v>90699</v>
      </c>
      <c r="D198" s="378">
        <f>87399+3300-C198</f>
        <v>0</v>
      </c>
      <c r="E198" s="393" t="s">
        <v>845</v>
      </c>
    </row>
    <row r="199" spans="1:6">
      <c r="A199" s="388" t="s">
        <v>866</v>
      </c>
      <c r="C199" s="396">
        <v>7140</v>
      </c>
      <c r="E199" s="396">
        <v>17891</v>
      </c>
    </row>
    <row r="200" spans="1:6">
      <c r="A200" s="388" t="s">
        <v>867</v>
      </c>
      <c r="C200" s="396">
        <v>2867</v>
      </c>
      <c r="E200" s="393" t="s">
        <v>671</v>
      </c>
    </row>
    <row r="201" spans="1:6">
      <c r="A201" s="388" t="s">
        <v>868</v>
      </c>
      <c r="C201" s="396">
        <v>2733</v>
      </c>
      <c r="D201" s="378">
        <f>C201+'EST FIN'!X136</f>
        <v>0</v>
      </c>
      <c r="E201" s="393" t="s">
        <v>671</v>
      </c>
    </row>
    <row r="202" spans="1:6" ht="13.5" thickBot="1">
      <c r="A202" s="388" t="s">
        <v>869</v>
      </c>
      <c r="C202" s="398" t="s">
        <v>671</v>
      </c>
      <c r="E202" s="397">
        <v>2749</v>
      </c>
    </row>
    <row r="203" spans="1:6" ht="13.5" thickBot="1">
      <c r="A203" s="388"/>
      <c r="C203" s="412">
        <f>SUM(C198:C202)</f>
        <v>103439</v>
      </c>
      <c r="D203" s="378">
        <f>C203-'EST FIN'!X78</f>
        <v>0</v>
      </c>
      <c r="E203" s="412">
        <f>SUM(E198:E202)</f>
        <v>20640</v>
      </c>
      <c r="F203" s="378">
        <f>E203-'EST FIN'!O78</f>
        <v>0</v>
      </c>
    </row>
    <row r="204" spans="1:6">
      <c r="A204" s="388" t="s">
        <v>569</v>
      </c>
      <c r="C204" s="393"/>
      <c r="E204" s="393"/>
    </row>
    <row r="205" spans="1:6">
      <c r="A205" s="388" t="s">
        <v>870</v>
      </c>
      <c r="C205" s="396">
        <v>-43214</v>
      </c>
      <c r="E205" s="396">
        <v>-119838</v>
      </c>
    </row>
    <row r="206" spans="1:6">
      <c r="A206" s="388" t="s">
        <v>871</v>
      </c>
      <c r="C206" s="396">
        <v>-3883</v>
      </c>
      <c r="E206" s="393">
        <v>-290</v>
      </c>
    </row>
    <row r="207" spans="1:6" ht="13.5" thickBot="1">
      <c r="A207" s="388" t="s">
        <v>869</v>
      </c>
      <c r="C207" s="397">
        <v>-11389</v>
      </c>
      <c r="E207" s="397">
        <v>-12100</v>
      </c>
    </row>
    <row r="208" spans="1:6" ht="13.5" thickBot="1">
      <c r="A208" s="388"/>
      <c r="C208" s="412">
        <f>SUM(C205:C207)</f>
        <v>-58486</v>
      </c>
      <c r="D208" s="378">
        <f>C208-'EST FIN'!X79</f>
        <v>0</v>
      </c>
      <c r="E208" s="412">
        <f>SUM(E205:E207)</f>
        <v>-132228</v>
      </c>
      <c r="F208" s="378">
        <f>E208-'EST FIN'!O79</f>
        <v>0</v>
      </c>
    </row>
    <row r="209" spans="1:6" ht="13.5" thickBot="1">
      <c r="A209" s="388"/>
      <c r="C209" s="411">
        <f>SUM(C208,C203)</f>
        <v>44953</v>
      </c>
      <c r="D209" s="378">
        <f>C209-'EST FIN'!X80</f>
        <v>0</v>
      </c>
      <c r="E209" s="411">
        <f>SUM(E208,E203)</f>
        <v>-111588</v>
      </c>
      <c r="F209" s="378">
        <f>E209-'EST FIN'!O80</f>
        <v>0</v>
      </c>
    </row>
    <row r="210" spans="1:6" ht="13.5" thickTop="1"/>
    <row r="211" spans="1:6">
      <c r="A211" s="404" t="s">
        <v>893</v>
      </c>
    </row>
    <row r="213" spans="1:6" ht="13.5" thickBot="1">
      <c r="A213" s="388"/>
      <c r="C213" s="391">
        <v>2021</v>
      </c>
      <c r="E213" s="391">
        <v>2020</v>
      </c>
    </row>
    <row r="214" spans="1:6">
      <c r="A214" s="388"/>
      <c r="C214" s="393"/>
      <c r="E214" s="393"/>
    </row>
    <row r="215" spans="1:6">
      <c r="A215" s="388" t="s">
        <v>573</v>
      </c>
      <c r="C215" s="393"/>
      <c r="E215" s="393"/>
    </row>
    <row r="216" spans="1:6">
      <c r="A216" s="388" t="s">
        <v>872</v>
      </c>
      <c r="C216" s="395">
        <v>-750330</v>
      </c>
      <c r="D216" s="378">
        <f>C216-'EST FIN'!X192</f>
        <v>23980</v>
      </c>
      <c r="E216" s="395">
        <v>-686302</v>
      </c>
      <c r="F216" s="378">
        <f>E216-'EST FIN'!O192</f>
        <v>0</v>
      </c>
    </row>
    <row r="217" spans="1:6">
      <c r="A217" s="388" t="s">
        <v>873</v>
      </c>
      <c r="C217" s="440">
        <v>-496</v>
      </c>
      <c r="D217" s="378">
        <f>C216+C94</f>
        <v>23486</v>
      </c>
      <c r="E217" s="441">
        <v>-30771</v>
      </c>
      <c r="F217" s="378">
        <f>E216+E94</f>
        <v>0</v>
      </c>
    </row>
    <row r="218" spans="1:6" ht="13.5" thickBot="1">
      <c r="A218" s="388" t="s">
        <v>874</v>
      </c>
      <c r="C218" s="396">
        <v>-26177</v>
      </c>
      <c r="E218" s="396">
        <v>-12345</v>
      </c>
    </row>
    <row r="219" spans="1:6" ht="13.5" thickBot="1">
      <c r="A219" s="388"/>
      <c r="C219" s="414">
        <f>SUM(C216:C218)</f>
        <v>-777003</v>
      </c>
      <c r="D219" s="378">
        <f>C219-'EST FIN'!X85</f>
        <v>0</v>
      </c>
      <c r="E219" s="414">
        <f>SUM(E216:E218)</f>
        <v>-729418</v>
      </c>
      <c r="F219" s="378">
        <f>E219-'EST FIN'!O85</f>
        <v>0</v>
      </c>
    </row>
    <row r="220" spans="1:6">
      <c r="A220" s="388"/>
      <c r="C220" s="393"/>
      <c r="E220" s="393"/>
    </row>
    <row r="221" spans="1:6">
      <c r="A221" s="388" t="s">
        <v>875</v>
      </c>
      <c r="C221" s="393"/>
      <c r="E221" s="393"/>
    </row>
    <row r="222" spans="1:6" ht="13.5" thickBot="1">
      <c r="A222" s="388" t="s">
        <v>876</v>
      </c>
      <c r="C222" s="396">
        <v>14202</v>
      </c>
      <c r="D222" s="378">
        <f>C223-'EST FIN'!X84</f>
        <v>0</v>
      </c>
      <c r="E222" s="396">
        <v>2005</v>
      </c>
      <c r="F222" s="378">
        <f>E223-'EST FIN'!O84</f>
        <v>0</v>
      </c>
    </row>
    <row r="223" spans="1:6" ht="13.5" thickBot="1">
      <c r="A223" s="388"/>
      <c r="C223" s="414">
        <f>SUM(C222)</f>
        <v>14202</v>
      </c>
      <c r="D223" s="378">
        <f>C222-'EST FIN'!X176</f>
        <v>0</v>
      </c>
      <c r="E223" s="414">
        <f>SUM(E222)</f>
        <v>2005</v>
      </c>
      <c r="F223" s="378">
        <f>E223-'EST FIN'!O176</f>
        <v>0</v>
      </c>
    </row>
    <row r="224" spans="1:6" ht="13.5" thickBot="1">
      <c r="A224" s="388"/>
      <c r="C224" s="411">
        <f>SUM(C219,C223)</f>
        <v>-762801</v>
      </c>
      <c r="D224" s="378">
        <f>C224-'EST FIN'!X86</f>
        <v>0</v>
      </c>
      <c r="E224" s="411">
        <f>SUM(E219,E223)</f>
        <v>-727413</v>
      </c>
      <c r="F224" s="378">
        <f>E224-'EST FIN'!O86</f>
        <v>0</v>
      </c>
    </row>
    <row r="225" spans="1:6" ht="13.5" thickTop="1">
      <c r="C225" s="378">
        <f>C219+C223-C224</f>
        <v>0</v>
      </c>
      <c r="E225" s="378">
        <f>E219+E223-E224</f>
        <v>0</v>
      </c>
    </row>
    <row r="226" spans="1:6">
      <c r="A226" s="404" t="s">
        <v>894</v>
      </c>
    </row>
    <row r="228" spans="1:6" ht="13.5" thickBot="1">
      <c r="A228" s="388"/>
      <c r="C228" s="391">
        <v>2021</v>
      </c>
      <c r="E228" s="391">
        <v>2020</v>
      </c>
    </row>
    <row r="229" spans="1:6">
      <c r="A229" s="388"/>
      <c r="C229" s="393"/>
      <c r="E229" s="393"/>
    </row>
    <row r="230" spans="1:6">
      <c r="A230" s="388" t="s">
        <v>877</v>
      </c>
      <c r="C230" s="393"/>
      <c r="E230" s="393"/>
    </row>
    <row r="231" spans="1:6">
      <c r="A231" s="388" t="s">
        <v>878</v>
      </c>
      <c r="C231" s="393" t="s">
        <v>845</v>
      </c>
      <c r="E231" s="395">
        <v>121344</v>
      </c>
    </row>
    <row r="232" spans="1:6">
      <c r="A232" s="388" t="s">
        <v>879</v>
      </c>
      <c r="C232" s="396">
        <v>229302</v>
      </c>
      <c r="E232" s="396">
        <v>228835</v>
      </c>
    </row>
    <row r="233" spans="1:6">
      <c r="A233" s="388" t="s">
        <v>880</v>
      </c>
      <c r="C233" s="396">
        <v>91550</v>
      </c>
      <c r="E233" s="396">
        <v>85474</v>
      </c>
    </row>
    <row r="234" spans="1:6">
      <c r="A234" s="388" t="s">
        <v>881</v>
      </c>
      <c r="C234" s="396">
        <v>-25329</v>
      </c>
      <c r="E234" s="396">
        <v>-72817</v>
      </c>
    </row>
    <row r="235" spans="1:6" ht="13.5" thickBot="1">
      <c r="A235" s="388"/>
      <c r="C235" s="393"/>
      <c r="E235" s="393"/>
    </row>
    <row r="236" spans="1:6" ht="13.5" thickBot="1">
      <c r="A236" s="388" t="s">
        <v>882</v>
      </c>
      <c r="C236" s="410">
        <f>SUM(C231:C234)</f>
        <v>295523</v>
      </c>
      <c r="D236" s="378">
        <f>C236-'EST FIN'!X14</f>
        <v>0</v>
      </c>
      <c r="E236" s="410">
        <f>SUM(E231:E234)</f>
        <v>362836</v>
      </c>
      <c r="F236" s="378">
        <f>E236-'EST FIN'!O14</f>
        <v>0</v>
      </c>
    </row>
    <row r="237" spans="1:6" ht="13.5" thickTop="1"/>
    <row r="238" spans="1:6" ht="13.5" thickBot="1">
      <c r="A238" s="388"/>
      <c r="C238" s="391">
        <v>2021</v>
      </c>
      <c r="E238" s="391">
        <v>2020</v>
      </c>
    </row>
    <row r="239" spans="1:6">
      <c r="A239" s="388"/>
      <c r="C239" s="393"/>
      <c r="E239" s="393"/>
    </row>
    <row r="240" spans="1:6">
      <c r="A240" s="388" t="s">
        <v>883</v>
      </c>
      <c r="C240" s="393"/>
      <c r="E240" s="393"/>
    </row>
    <row r="241" spans="1:6" ht="13.5" thickBot="1">
      <c r="A241" s="388" t="s">
        <v>884</v>
      </c>
      <c r="C241" s="395">
        <v>25329</v>
      </c>
      <c r="D241" s="378">
        <f>C234+C241</f>
        <v>0</v>
      </c>
      <c r="E241" s="395">
        <v>72817</v>
      </c>
      <c r="F241" s="378">
        <f>E234+E241</f>
        <v>0</v>
      </c>
    </row>
    <row r="242" spans="1:6" ht="13.5" thickBot="1">
      <c r="A242" s="388" t="s">
        <v>151</v>
      </c>
      <c r="C242" s="410">
        <f>SUM(C241)</f>
        <v>25329</v>
      </c>
      <c r="D242" s="378">
        <f>C242+'EST FIN'!X91</f>
        <v>0</v>
      </c>
      <c r="E242" s="410">
        <f>SUM(E241)</f>
        <v>72817</v>
      </c>
      <c r="F242" s="378">
        <f>E242+'EST FIN'!O91</f>
        <v>0</v>
      </c>
    </row>
    <row r="243" spans="1:6" ht="13.5" thickTop="1"/>
    <row r="244" spans="1:6" ht="13.5" thickBot="1">
      <c r="A244" s="388"/>
      <c r="C244" s="391">
        <v>2021</v>
      </c>
      <c r="E244" s="391">
        <v>2020</v>
      </c>
    </row>
    <row r="245" spans="1:6">
      <c r="A245" s="388"/>
      <c r="C245" s="393"/>
      <c r="E245" s="393"/>
    </row>
    <row r="246" spans="1:6" ht="13.5" thickBot="1">
      <c r="A246" s="388" t="s">
        <v>885</v>
      </c>
      <c r="C246" s="393"/>
      <c r="E246" s="393"/>
    </row>
    <row r="247" spans="1:6" ht="13.5" thickBot="1">
      <c r="A247" s="388" t="s">
        <v>886</v>
      </c>
      <c r="C247" s="399">
        <v>595622</v>
      </c>
      <c r="D247" s="378">
        <f>C247-'EST FIN'!X47</f>
        <v>0</v>
      </c>
      <c r="E247" s="399">
        <v>595622</v>
      </c>
      <c r="F247" s="378">
        <f>E247-'EST FIN'!O47</f>
        <v>0</v>
      </c>
    </row>
    <row r="248" spans="1:6" ht="13.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ORI</vt:lpstr>
      <vt:lpstr>HW PYMES</vt:lpstr>
      <vt:lpstr>ESF_ERI_PYMES</vt:lpstr>
      <vt:lpstr>EST FIN</vt:lpstr>
      <vt:lpstr>EFE</vt:lpstr>
      <vt:lpstr>Efect y Equiv</vt:lpstr>
      <vt:lpstr>Act Fin</vt:lpstr>
      <vt:lpstr>CXC y Otras</vt:lpstr>
      <vt:lpstr>Ant y Avan</vt:lpstr>
      <vt:lpstr>Act Imp Cts</vt:lpstr>
      <vt:lpstr>Pas Imp Cts</vt:lpstr>
      <vt:lpstr>Inv MP &amp; PS</vt:lpstr>
      <vt:lpstr>P, Pl y Eq 2020</vt:lpstr>
      <vt:lpstr>P, Pl y Eq 2021</vt:lpstr>
      <vt:lpstr>Arrendam</vt:lpstr>
      <vt:lpstr>Int y Dif</vt:lpstr>
      <vt:lpstr>Pas Finan</vt:lpstr>
      <vt:lpstr>CXP y Otras Dic20</vt:lpstr>
      <vt:lpstr>CXP y Otras Dic21</vt:lpstr>
      <vt:lpstr>Obl Lab</vt:lpstr>
      <vt:lpstr>Patrim_Imp Dif</vt:lpstr>
      <vt:lpstr>PPEQ</vt:lpstr>
      <vt:lpstr>Notas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CONTABILIDAD</cp:lastModifiedBy>
  <dcterms:created xsi:type="dcterms:W3CDTF">2020-01-27T20:52:33Z</dcterms:created>
  <dcterms:modified xsi:type="dcterms:W3CDTF">2021-12-06T17:23:30Z</dcterms:modified>
</cp:coreProperties>
</file>