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BILIDAD\Pictures\"/>
    </mc:Choice>
  </mc:AlternateContent>
  <xr:revisionPtr revIDLastSave="0" documentId="8_{12C5D9F3-DECD-4B45-AADF-B0FBC74A03FB}" xr6:coauthVersionLast="45" xr6:coauthVersionMax="45" xr10:uidLastSave="{00000000-0000-0000-0000-000000000000}"/>
  <bookViews>
    <workbookView xWindow="14445" yWindow="105" windowWidth="14100" windowHeight="15345" activeTab="1" xr2:uid="{D1930E37-1AC0-DA41-B4F1-FA8596515CA2}"/>
  </bookViews>
  <sheets>
    <sheet name="Ingresos" sheetId="2" r:id="rId1"/>
    <sheet name="Costos y gastos" sheetId="1" r:id="rId2"/>
    <sheet name="Hoja1" sheetId="5" r:id="rId3"/>
    <sheet name="Ciclo operacional" sheetId="3" r:id="rId4"/>
    <sheet name="CAPEX y Financiacion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7" i="4" l="1"/>
  <c r="C63" i="4" s="1"/>
  <c r="C66" i="4" s="1"/>
  <c r="G22" i="1" s="1"/>
  <c r="B60" i="4"/>
  <c r="C64" i="4" s="1"/>
  <c r="E43" i="4"/>
  <c r="D43" i="4"/>
  <c r="C43" i="4"/>
  <c r="G37" i="4"/>
  <c r="F37" i="4"/>
  <c r="F36" i="4"/>
  <c r="G36" i="4" s="1"/>
  <c r="H36" i="4" s="1"/>
  <c r="I36" i="4" s="1"/>
  <c r="F35" i="4"/>
  <c r="G35" i="4" s="1"/>
  <c r="H35" i="4" s="1"/>
  <c r="I35" i="4" s="1"/>
  <c r="F34" i="4"/>
  <c r="G34" i="4" s="1"/>
  <c r="H34" i="4" s="1"/>
  <c r="I34" i="4" s="1"/>
  <c r="F33" i="4"/>
  <c r="G33" i="4" s="1"/>
  <c r="H33" i="4" s="1"/>
  <c r="I33" i="4" s="1"/>
  <c r="G10" i="3"/>
  <c r="H10" i="3" s="1"/>
  <c r="I10" i="3" s="1"/>
  <c r="J10" i="3" s="1"/>
  <c r="F13" i="3"/>
  <c r="F14" i="3" s="1"/>
  <c r="G14" i="3" s="1"/>
  <c r="H14" i="3" s="1"/>
  <c r="I14" i="3" s="1"/>
  <c r="J14" i="3" s="1"/>
  <c r="E13" i="3"/>
  <c r="E14" i="3" s="1"/>
  <c r="D13" i="3"/>
  <c r="D14" i="3" s="1"/>
  <c r="C13" i="3"/>
  <c r="C14" i="3" s="1"/>
  <c r="D12" i="3"/>
  <c r="F11" i="3"/>
  <c r="F12" i="3" s="1"/>
  <c r="G12" i="3" s="1"/>
  <c r="H12" i="3" s="1"/>
  <c r="I12" i="3" s="1"/>
  <c r="J12" i="3" s="1"/>
  <c r="E11" i="3"/>
  <c r="E12" i="3" s="1"/>
  <c r="D11" i="3"/>
  <c r="C11" i="3"/>
  <c r="C12" i="3" s="1"/>
  <c r="F9" i="3"/>
  <c r="F10" i="3" s="1"/>
  <c r="D9" i="3"/>
  <c r="E9" i="3"/>
  <c r="E10" i="3" s="1"/>
  <c r="D10" i="3"/>
  <c r="C9" i="3"/>
  <c r="C10" i="3" s="1"/>
  <c r="G20" i="1"/>
  <c r="H20" i="1" s="1"/>
  <c r="I20" i="1" s="1"/>
  <c r="J20" i="1" s="1"/>
  <c r="G19" i="1"/>
  <c r="H19" i="1" s="1"/>
  <c r="I19" i="1" s="1"/>
  <c r="J19" i="1" s="1"/>
  <c r="G18" i="1"/>
  <c r="H18" i="1" s="1"/>
  <c r="I18" i="1" s="1"/>
  <c r="J18" i="1" s="1"/>
  <c r="G16" i="1"/>
  <c r="H16" i="1" s="1"/>
  <c r="I16" i="1" s="1"/>
  <c r="J16" i="1" s="1"/>
  <c r="G13" i="1"/>
  <c r="H13" i="1" s="1"/>
  <c r="I13" i="1" s="1"/>
  <c r="J13" i="1" s="1"/>
  <c r="G12" i="1"/>
  <c r="H12" i="1" s="1"/>
  <c r="I12" i="1" s="1"/>
  <c r="J12" i="1" s="1"/>
  <c r="G11" i="1"/>
  <c r="H11" i="1" s="1"/>
  <c r="I11" i="1" s="1"/>
  <c r="J11" i="1" s="1"/>
  <c r="G7" i="1"/>
  <c r="H7" i="1" s="1"/>
  <c r="I7" i="1" s="1"/>
  <c r="J7" i="1" s="1"/>
  <c r="C29" i="1" a="1"/>
  <c r="C29" i="1" s="1"/>
  <c r="L9" i="2"/>
  <c r="M9" i="2" s="1"/>
  <c r="Q4" i="2"/>
  <c r="Q5" i="2" s="1"/>
  <c r="Q6" i="2" s="1"/>
  <c r="Q7" i="2" s="1"/>
  <c r="Q8" i="2" s="1"/>
  <c r="R8" i="2" s="1"/>
  <c r="N4" i="2"/>
  <c r="N5" i="2" s="1"/>
  <c r="N6" i="2" s="1"/>
  <c r="N7" i="2" s="1"/>
  <c r="N8" i="2" s="1"/>
  <c r="O8" i="2" s="1"/>
  <c r="K11" i="2"/>
  <c r="L11" i="2" s="1"/>
  <c r="M11" i="2" s="1"/>
  <c r="K10" i="2"/>
  <c r="L10" i="2" s="1"/>
  <c r="M10" i="2" s="1"/>
  <c r="K9" i="2"/>
  <c r="H3" i="1" s="1"/>
  <c r="K8" i="2"/>
  <c r="G3" i="1" s="1"/>
  <c r="G7" i="2"/>
  <c r="H8" i="2" s="1"/>
  <c r="C6" i="2"/>
  <c r="C7" i="2"/>
  <c r="C5" i="2"/>
  <c r="C8" i="2" s="1"/>
  <c r="F52" i="5"/>
  <c r="D51" i="5"/>
  <c r="D43" i="5"/>
  <c r="C43" i="5"/>
  <c r="D27" i="5"/>
  <c r="C28" i="5"/>
  <c r="E52" i="5" s="1"/>
  <c r="D12" i="5"/>
  <c r="D13" i="5" s="1"/>
  <c r="D14" i="5" s="1"/>
  <c r="D15" i="5" s="1"/>
  <c r="D16" i="5" s="1"/>
  <c r="D17" i="5" s="1"/>
  <c r="D52" i="5" s="1"/>
  <c r="D7" i="5"/>
  <c r="D6" i="5"/>
  <c r="D8" i="5" s="1"/>
  <c r="C8" i="5" s="1"/>
  <c r="C52" i="5" s="1"/>
  <c r="D5" i="5"/>
  <c r="D4" i="5"/>
  <c r="C9" i="2" l="1"/>
  <c r="D8" i="2"/>
  <c r="H6" i="3"/>
  <c r="S8" i="2"/>
  <c r="I8" i="2"/>
  <c r="H9" i="2"/>
  <c r="P8" i="2"/>
  <c r="C10" i="2"/>
  <c r="L8" i="2"/>
  <c r="G9" i="3"/>
  <c r="H9" i="3" s="1"/>
  <c r="I9" i="3" s="1"/>
  <c r="J9" i="3" s="1"/>
  <c r="G13" i="3"/>
  <c r="H13" i="3" s="1"/>
  <c r="I13" i="3" s="1"/>
  <c r="J13" i="3" s="1"/>
  <c r="F39" i="4"/>
  <c r="H37" i="4"/>
  <c r="I3" i="1"/>
  <c r="J3" i="1"/>
  <c r="G11" i="3"/>
  <c r="H11" i="3" s="1"/>
  <c r="I11" i="3" s="1"/>
  <c r="J11" i="3" s="1"/>
  <c r="F38" i="4"/>
  <c r="G39" i="4"/>
  <c r="H39" i="4" s="1"/>
  <c r="I39" i="4" s="1"/>
  <c r="G6" i="3"/>
  <c r="G3" i="3" s="1"/>
  <c r="D64" i="4"/>
  <c r="E64" i="4"/>
  <c r="F64" i="4"/>
  <c r="C65" i="4"/>
  <c r="C67" i="4" s="1"/>
  <c r="D63" i="4" s="1"/>
  <c r="D66" i="4" s="1"/>
  <c r="H42" i="1"/>
  <c r="H17" i="1" s="1"/>
  <c r="I34" i="1"/>
  <c r="J34" i="1" s="1"/>
  <c r="F46" i="1"/>
  <c r="H46" i="1" s="1"/>
  <c r="H21" i="1" s="1"/>
  <c r="F45" i="1"/>
  <c r="F44" i="1"/>
  <c r="F43" i="1"/>
  <c r="F42" i="1"/>
  <c r="F41" i="1"/>
  <c r="F40" i="1"/>
  <c r="F39" i="1"/>
  <c r="H39" i="1" s="1"/>
  <c r="H14" i="1" s="1"/>
  <c r="F38" i="1"/>
  <c r="F37" i="1"/>
  <c r="F36" i="1"/>
  <c r="F35" i="1"/>
  <c r="H35" i="1" s="1"/>
  <c r="H10" i="1" s="1"/>
  <c r="F34" i="1"/>
  <c r="F33" i="1"/>
  <c r="F32" i="1"/>
  <c r="F31" i="1"/>
  <c r="H31" i="1" s="1"/>
  <c r="H6" i="1" s="1"/>
  <c r="F30" i="1"/>
  <c r="F29" i="1"/>
  <c r="E46" i="1"/>
  <c r="G46" i="1" s="1"/>
  <c r="G21" i="1" s="1"/>
  <c r="E45" i="1"/>
  <c r="E44" i="1"/>
  <c r="E43" i="1"/>
  <c r="E42" i="1"/>
  <c r="G42" i="1" s="1"/>
  <c r="G17" i="1" s="1"/>
  <c r="E41" i="1"/>
  <c r="E40" i="1"/>
  <c r="E39" i="1"/>
  <c r="G39" i="1" s="1"/>
  <c r="G14" i="1" s="1"/>
  <c r="E38" i="1"/>
  <c r="E37" i="1"/>
  <c r="E36" i="1"/>
  <c r="E35" i="1"/>
  <c r="G35" i="1" s="1"/>
  <c r="G10" i="1" s="1"/>
  <c r="E34" i="1"/>
  <c r="G34" i="1" s="1"/>
  <c r="H34" i="1" s="1"/>
  <c r="H9" i="1" s="1"/>
  <c r="E33" i="1"/>
  <c r="E32" i="1"/>
  <c r="E31" i="1"/>
  <c r="G31" i="1" s="1"/>
  <c r="G6" i="1" s="1"/>
  <c r="E30" i="1"/>
  <c r="G30" i="1" s="1"/>
  <c r="H30" i="1" s="1"/>
  <c r="H5" i="1" s="1"/>
  <c r="E29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Q9" i="2"/>
  <c r="N9" i="2"/>
  <c r="C11" i="2"/>
  <c r="C42" i="4"/>
  <c r="B42" i="4"/>
  <c r="C41" i="4"/>
  <c r="B41" i="4"/>
  <c r="E14" i="4"/>
  <c r="E26" i="4" s="1"/>
  <c r="D14" i="4"/>
  <c r="D26" i="4" s="1"/>
  <c r="C14" i="4"/>
  <c r="C26" i="4" s="1"/>
  <c r="B14" i="4"/>
  <c r="B26" i="4" s="1"/>
  <c r="C24" i="4" s="1"/>
  <c r="E13" i="4"/>
  <c r="E22" i="4" s="1"/>
  <c r="D13" i="4"/>
  <c r="D22" i="4" s="1"/>
  <c r="C13" i="4"/>
  <c r="C22" i="4" s="1"/>
  <c r="B13" i="4"/>
  <c r="B22" i="4" s="1"/>
  <c r="C20" i="4" s="1"/>
  <c r="E42" i="4"/>
  <c r="D42" i="4"/>
  <c r="E41" i="4"/>
  <c r="D41" i="4"/>
  <c r="G41" i="4"/>
  <c r="H33" i="1" l="1"/>
  <c r="H8" i="1" s="1"/>
  <c r="D20" i="4"/>
  <c r="C21" i="4"/>
  <c r="C28" i="4" s="1"/>
  <c r="D24" i="4"/>
  <c r="C25" i="4"/>
  <c r="N10" i="2"/>
  <c r="O9" i="2"/>
  <c r="G5" i="1"/>
  <c r="G38" i="4"/>
  <c r="F43" i="4"/>
  <c r="G15" i="1" s="1"/>
  <c r="I6" i="3"/>
  <c r="I3" i="3" s="1"/>
  <c r="I14" i="1"/>
  <c r="I9" i="1"/>
  <c r="I5" i="1"/>
  <c r="G43" i="4"/>
  <c r="H15" i="1" s="1"/>
  <c r="H3" i="3"/>
  <c r="E20" i="4"/>
  <c r="E21" i="4" s="1"/>
  <c r="E28" i="4" s="1"/>
  <c r="D21" i="4"/>
  <c r="D28" i="4" s="1"/>
  <c r="D25" i="4"/>
  <c r="E24" i="4"/>
  <c r="Q10" i="2"/>
  <c r="R9" i="2"/>
  <c r="G29" i="1"/>
  <c r="G4" i="1" s="1"/>
  <c r="G7" i="3" s="1"/>
  <c r="G5" i="3" s="1"/>
  <c r="G33" i="1"/>
  <c r="G9" i="1"/>
  <c r="J9" i="1"/>
  <c r="M8" i="2"/>
  <c r="M13" i="2" s="1"/>
  <c r="M14" i="2" s="1"/>
  <c r="L13" i="2"/>
  <c r="L14" i="2" s="1"/>
  <c r="I37" i="4"/>
  <c r="I9" i="2"/>
  <c r="J9" i="2" s="1"/>
  <c r="H10" i="2"/>
  <c r="D9" i="2"/>
  <c r="E8" i="2"/>
  <c r="F20" i="4"/>
  <c r="E25" i="4"/>
  <c r="F24" i="4"/>
  <c r="J6" i="3"/>
  <c r="J3" i="3" s="1"/>
  <c r="J8" i="2"/>
  <c r="D65" i="4"/>
  <c r="H22" i="1"/>
  <c r="D67" i="4"/>
  <c r="E63" i="4" s="1"/>
  <c r="E66" i="4" s="1"/>
  <c r="I46" i="1"/>
  <c r="J46" i="1" s="1"/>
  <c r="J21" i="1" s="1"/>
  <c r="I42" i="1"/>
  <c r="J42" i="1" s="1"/>
  <c r="J17" i="1" s="1"/>
  <c r="I39" i="1"/>
  <c r="J39" i="1" s="1"/>
  <c r="J14" i="1" s="1"/>
  <c r="I35" i="1"/>
  <c r="I10" i="1" s="1"/>
  <c r="I31" i="1"/>
  <c r="J31" i="1" s="1"/>
  <c r="J6" i="1" s="1"/>
  <c r="I30" i="1"/>
  <c r="J30" i="1" s="1"/>
  <c r="J5" i="1" s="1"/>
  <c r="F42" i="4"/>
  <c r="F41" i="4"/>
  <c r="G4" i="3" l="1"/>
  <c r="J35" i="1"/>
  <c r="J10" i="1" s="1"/>
  <c r="E9" i="2"/>
  <c r="F9" i="2" s="1"/>
  <c r="D10" i="2"/>
  <c r="Q11" i="2"/>
  <c r="R11" i="2" s="1"/>
  <c r="S11" i="2" s="1"/>
  <c r="R10" i="2"/>
  <c r="S10" i="2" s="1"/>
  <c r="I6" i="1"/>
  <c r="H11" i="2"/>
  <c r="I11" i="2" s="1"/>
  <c r="J11" i="2" s="1"/>
  <c r="I10" i="2"/>
  <c r="G8" i="1"/>
  <c r="G23" i="1" s="1"/>
  <c r="I33" i="1"/>
  <c r="I17" i="1"/>
  <c r="H38" i="4"/>
  <c r="H43" i="4" s="1"/>
  <c r="I15" i="1" s="1"/>
  <c r="P9" i="2"/>
  <c r="F28" i="4"/>
  <c r="F21" i="4" s="1"/>
  <c r="F22" i="4" s="1"/>
  <c r="G20" i="4" s="1"/>
  <c r="F8" i="2"/>
  <c r="S9" i="2"/>
  <c r="S13" i="2" s="1"/>
  <c r="S14" i="2" s="1"/>
  <c r="I21" i="1"/>
  <c r="N11" i="2"/>
  <c r="O11" i="2" s="1"/>
  <c r="P11" i="2" s="1"/>
  <c r="O10" i="2"/>
  <c r="P10" i="2" s="1"/>
  <c r="H29" i="1"/>
  <c r="E65" i="4"/>
  <c r="E67" i="4" s="1"/>
  <c r="F63" i="4" s="1"/>
  <c r="F66" i="4" s="1"/>
  <c r="I22" i="1"/>
  <c r="G42" i="4"/>
  <c r="H41" i="4"/>
  <c r="P13" i="2" l="1"/>
  <c r="P14" i="2" s="1"/>
  <c r="J33" i="1"/>
  <c r="J8" i="1" s="1"/>
  <c r="I8" i="1"/>
  <c r="D11" i="2"/>
  <c r="E11" i="2" s="1"/>
  <c r="F11" i="2" s="1"/>
  <c r="E10" i="2"/>
  <c r="F25" i="4"/>
  <c r="F26" i="4" s="1"/>
  <c r="G24" i="4" s="1"/>
  <c r="I29" i="1"/>
  <c r="H4" i="1"/>
  <c r="R13" i="2"/>
  <c r="R14" i="2" s="1"/>
  <c r="I38" i="4"/>
  <c r="I43" i="4"/>
  <c r="J15" i="1" s="1"/>
  <c r="J10" i="2"/>
  <c r="J13" i="2" s="1"/>
  <c r="J14" i="2" s="1"/>
  <c r="I13" i="2"/>
  <c r="I14" i="2" s="1"/>
  <c r="O13" i="2"/>
  <c r="O14" i="2" s="1"/>
  <c r="G28" i="4"/>
  <c r="G21" i="4" s="1"/>
  <c r="G22" i="4" s="1"/>
  <c r="H20" i="4" s="1"/>
  <c r="F65" i="4"/>
  <c r="F67" i="4" s="1"/>
  <c r="J22" i="1"/>
  <c r="H42" i="4"/>
  <c r="I41" i="4"/>
  <c r="H7" i="3" l="1"/>
  <c r="H23" i="1"/>
  <c r="H28" i="4"/>
  <c r="J29" i="1"/>
  <c r="J4" i="1" s="1"/>
  <c r="J7" i="3" s="1"/>
  <c r="I4" i="1"/>
  <c r="G25" i="4"/>
  <c r="G26" i="4" s="1"/>
  <c r="H24" i="4" s="1"/>
  <c r="J23" i="1"/>
  <c r="F10" i="2"/>
  <c r="F13" i="2" s="1"/>
  <c r="F14" i="2" s="1"/>
  <c r="E13" i="2"/>
  <c r="E14" i="2" s="1"/>
  <c r="I42" i="4"/>
  <c r="I28" i="4" l="1"/>
  <c r="H21" i="4"/>
  <c r="H25" i="4"/>
  <c r="H26" i="4"/>
  <c r="I24" i="4" s="1"/>
  <c r="I7" i="3"/>
  <c r="I23" i="1"/>
  <c r="H5" i="3"/>
  <c r="H4" i="3"/>
  <c r="J5" i="3"/>
  <c r="J4" i="3"/>
  <c r="I21" i="4" l="1"/>
  <c r="H22" i="4"/>
  <c r="I20" i="4" s="1"/>
  <c r="I22" i="4" s="1"/>
  <c r="I5" i="3"/>
  <c r="I4" i="3"/>
  <c r="I25" i="4"/>
  <c r="I26" i="4" s="1"/>
</calcChain>
</file>

<file path=xl/sharedStrings.xml><?xml version="1.0" encoding="utf-8"?>
<sst xmlns="http://schemas.openxmlformats.org/spreadsheetml/2006/main" count="148" uniqueCount="84">
  <si>
    <t>Cuenta</t>
  </si>
  <si>
    <t>Concepto</t>
  </si>
  <si>
    <t>Ingresos</t>
  </si>
  <si>
    <t>Costo de venta</t>
  </si>
  <si>
    <t xml:space="preserve">Gastos de Personal                                </t>
  </si>
  <si>
    <t xml:space="preserve">Impuestos                                         </t>
  </si>
  <si>
    <t xml:space="preserve">Arrendamientos                                    </t>
  </si>
  <si>
    <t xml:space="preserve">Contribuciones y Afiliaciones                     </t>
  </si>
  <si>
    <t>Seguros</t>
  </si>
  <si>
    <t xml:space="preserve">Servicios                                         </t>
  </si>
  <si>
    <t xml:space="preserve">Gastos Legales                                    </t>
  </si>
  <si>
    <t xml:space="preserve">Mantenimiento y Reparaciones                      </t>
  </si>
  <si>
    <t xml:space="preserve">Adecuación e Instalacion                          </t>
  </si>
  <si>
    <t xml:space="preserve">Gastos de Viaje                                   </t>
  </si>
  <si>
    <t xml:space="preserve">Depreciaciones                                    </t>
  </si>
  <si>
    <t>Deterioro</t>
  </si>
  <si>
    <t xml:space="preserve">Honorarios                                        </t>
  </si>
  <si>
    <t>Impuesto de renta</t>
  </si>
  <si>
    <t>Utilidad</t>
  </si>
  <si>
    <t>Año</t>
  </si>
  <si>
    <t>Promedio movil</t>
  </si>
  <si>
    <t>Modelo CAGR</t>
  </si>
  <si>
    <t>Regresión lineal</t>
  </si>
  <si>
    <t>Suavización exponencial simple 0,1</t>
  </si>
  <si>
    <t>Suavización exponencial simple 0,9</t>
  </si>
  <si>
    <t>Variable</t>
  </si>
  <si>
    <t>valor</t>
  </si>
  <si>
    <t>Desviación absoluta</t>
  </si>
  <si>
    <t>Error porcentual
Absoluto</t>
  </si>
  <si>
    <t>DAM y MAPE</t>
  </si>
  <si>
    <t>Clientes</t>
  </si>
  <si>
    <t>Inventario</t>
  </si>
  <si>
    <t>Proveedores</t>
  </si>
  <si>
    <t>Ingresos de Actividades Ordinarias</t>
  </si>
  <si>
    <t>Costos de venta</t>
  </si>
  <si>
    <t>Rotación  clientes -Veces</t>
  </si>
  <si>
    <t>Rotación  clientes  - días</t>
  </si>
  <si>
    <t>Rotación  inventarios -Veces</t>
  </si>
  <si>
    <t>Rotación  inventarios  - días</t>
  </si>
  <si>
    <t>Rotación  Proveedores -Veces</t>
  </si>
  <si>
    <t>Rotación  Proveedores  - días</t>
  </si>
  <si>
    <t>OPCIÓN 1</t>
  </si>
  <si>
    <t>Costo</t>
  </si>
  <si>
    <t>(+) Compras</t>
  </si>
  <si>
    <t>Costo final</t>
  </si>
  <si>
    <t>Depreciación Acum</t>
  </si>
  <si>
    <t>(+) Gasto dep</t>
  </si>
  <si>
    <t>Depreciacion final</t>
  </si>
  <si>
    <t>% Compras</t>
  </si>
  <si>
    <t>OPCIÓN 2</t>
  </si>
  <si>
    <t>CONCEPTO</t>
  </si>
  <si>
    <t>TERRENO</t>
  </si>
  <si>
    <t xml:space="preserve">EQUIPO DE OFICINA                                 </t>
  </si>
  <si>
    <t xml:space="preserve">EQUIPO DE COMPUTO Y COMUNICACION                  </t>
  </si>
  <si>
    <t xml:space="preserve">FLOTA Y EQUIPO DE TRANSPORTE                      </t>
  </si>
  <si>
    <t xml:space="preserve">DEPRECIACION EQUIPO DE OFICINA                                 </t>
  </si>
  <si>
    <t xml:space="preserve">DEPRECIACION EQUIPO DE COMPUTO Y COMUNICACION                  </t>
  </si>
  <si>
    <t xml:space="preserve">DEPRECIACION FLOTA Y EQUIPO DE TRANSPORTE                      </t>
  </si>
  <si>
    <t>Depreciacion</t>
  </si>
  <si>
    <t>COSTO</t>
  </si>
  <si>
    <t>DEPRECIACIÓN</t>
  </si>
  <si>
    <t>Mejoras, adiciones o ventas</t>
  </si>
  <si>
    <t>N/A</t>
  </si>
  <si>
    <t>obligacion financiera</t>
  </si>
  <si>
    <t>Saldo</t>
  </si>
  <si>
    <t>Interes</t>
  </si>
  <si>
    <t>Tiempo</t>
  </si>
  <si>
    <t>Cuota</t>
  </si>
  <si>
    <t>Saldo inicial</t>
  </si>
  <si>
    <t>Capital</t>
  </si>
  <si>
    <t>Saldo final</t>
  </si>
  <si>
    <t>Error porcentual Absoluto</t>
  </si>
  <si>
    <t>PROMEDIO MOVIL</t>
  </si>
  <si>
    <t>Ingreso</t>
  </si>
  <si>
    <t>Años</t>
  </si>
  <si>
    <t>SUAVIZACIÓN EXPONENCIAL</t>
  </si>
  <si>
    <t>0 A 1</t>
  </si>
  <si>
    <t>CAGR</t>
  </si>
  <si>
    <t>REGRESIÓN LINEAL</t>
  </si>
  <si>
    <t>AÑO 6</t>
  </si>
  <si>
    <t>IPC</t>
  </si>
  <si>
    <t>VIDA UTIL</t>
  </si>
  <si>
    <t>VALOR RESIDUAL</t>
  </si>
  <si>
    <t>Gasto por interes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</si>
</sst>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0.0%"/>
    <numFmt numFmtId="166" formatCode="_(* #,##0.0_);_(* \(#,##0.0\);_(* &quot;-&quot;_);_(@_)"/>
    <numFmt numFmtId="167" formatCode="_(&quot;$&quot;* #,##0_);_(&quot;$&quot;* \(#,##0\);_(&quot;$&quot;* &quot;-&quot;_);_(@_)"/>
    <numFmt numFmtId="168" formatCode="&quot;$&quot;#,##0.00_);[Red]\(&quot;$&quot;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b/>
      <sz val="18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2">
    <xf numFmtId="0" fontId="0" fillId="0" borderId="0" xfId="0"/>
    <xf numFmtId="164" fontId="2" fillId="2" borderId="1" xfId="1" applyFont="1" applyFill="1" applyBorder="1"/>
    <xf numFmtId="164" fontId="2" fillId="3" borderId="1" xfId="1" applyFont="1" applyFill="1" applyBorder="1"/>
    <xf numFmtId="0" fontId="0" fillId="0" borderId="1" xfId="0" applyBorder="1"/>
    <xf numFmtId="164" fontId="0" fillId="0" borderId="1" xfId="1" applyFont="1" applyFill="1" applyBorder="1"/>
    <xf numFmtId="164" fontId="0" fillId="0" borderId="1" xfId="1" applyFont="1" applyBorder="1"/>
    <xf numFmtId="164" fontId="0" fillId="0" borderId="0" xfId="1" applyFont="1"/>
    <xf numFmtId="164" fontId="0" fillId="0" borderId="0" xfId="1" applyFont="1" applyFill="1" applyBorder="1"/>
    <xf numFmtId="164" fontId="0" fillId="0" borderId="6" xfId="1" applyFont="1" applyFill="1" applyBorder="1"/>
    <xf numFmtId="164" fontId="0" fillId="0" borderId="5" xfId="1" applyFont="1" applyFill="1" applyBorder="1"/>
    <xf numFmtId="164" fontId="0" fillId="0" borderId="0" xfId="0" applyNumberFormat="1"/>
    <xf numFmtId="0" fontId="7" fillId="3" borderId="1" xfId="0" applyFont="1" applyFill="1" applyBorder="1"/>
    <xf numFmtId="164" fontId="7" fillId="5" borderId="1" xfId="1" applyFont="1" applyFill="1" applyBorder="1"/>
    <xf numFmtId="0" fontId="2" fillId="0" borderId="0" xfId="0" applyFont="1"/>
    <xf numFmtId="0" fontId="3" fillId="0" borderId="1" xfId="0" applyFont="1" applyBorder="1"/>
    <xf numFmtId="164" fontId="3" fillId="0" borderId="1" xfId="1" applyFont="1" applyBorder="1"/>
    <xf numFmtId="0" fontId="3" fillId="0" borderId="0" xfId="0" applyFont="1"/>
    <xf numFmtId="164" fontId="3" fillId="0" borderId="0" xfId="1" applyFont="1"/>
    <xf numFmtId="0" fontId="2" fillId="3" borderId="9" xfId="0" applyFont="1" applyFill="1" applyBorder="1"/>
    <xf numFmtId="0" fontId="2" fillId="3" borderId="10" xfId="0" applyFont="1" applyFill="1" applyBorder="1"/>
    <xf numFmtId="0" fontId="0" fillId="6" borderId="10" xfId="0" applyFill="1" applyBorder="1"/>
    <xf numFmtId="0" fontId="0" fillId="6" borderId="11" xfId="0" applyFill="1" applyBorder="1"/>
    <xf numFmtId="164" fontId="0" fillId="0" borderId="12" xfId="1" applyFont="1" applyBorder="1"/>
    <xf numFmtId="0" fontId="0" fillId="0" borderId="5" xfId="0" applyBorder="1"/>
    <xf numFmtId="164" fontId="0" fillId="0" borderId="0" xfId="1" applyFont="1" applyBorder="1"/>
    <xf numFmtId="164" fontId="0" fillId="0" borderId="6" xfId="1" applyFont="1" applyBorder="1"/>
    <xf numFmtId="0" fontId="0" fillId="0" borderId="9" xfId="0" applyBorder="1"/>
    <xf numFmtId="164" fontId="0" fillId="0" borderId="10" xfId="1" applyFont="1" applyBorder="1"/>
    <xf numFmtId="0" fontId="0" fillId="0" borderId="12" xfId="0" applyBorder="1"/>
    <xf numFmtId="164" fontId="0" fillId="0" borderId="1" xfId="0" applyNumberFormat="1" applyBorder="1"/>
    <xf numFmtId="0" fontId="0" fillId="0" borderId="13" xfId="0" applyBorder="1"/>
    <xf numFmtId="0" fontId="0" fillId="0" borderId="6" xfId="0" applyBorder="1"/>
    <xf numFmtId="0" fontId="0" fillId="0" borderId="15" xfId="0" applyBorder="1"/>
    <xf numFmtId="0" fontId="0" fillId="0" borderId="16" xfId="0" applyBorder="1"/>
    <xf numFmtId="9" fontId="0" fillId="0" borderId="16" xfId="3" applyFont="1" applyBorder="1"/>
    <xf numFmtId="9" fontId="0" fillId="0" borderId="16" xfId="1" applyNumberFormat="1" applyFont="1" applyBorder="1"/>
    <xf numFmtId="0" fontId="2" fillId="3" borderId="1" xfId="0" applyFont="1" applyFill="1" applyBorder="1"/>
    <xf numFmtId="167" fontId="0" fillId="0" borderId="1" xfId="2" applyFont="1" applyBorder="1"/>
    <xf numFmtId="0" fontId="0" fillId="6" borderId="1" xfId="0" applyFill="1" applyBorder="1"/>
    <xf numFmtId="9" fontId="0" fillId="0" borderId="1" xfId="0" applyNumberFormat="1" applyBorder="1"/>
    <xf numFmtId="0" fontId="2" fillId="3" borderId="0" xfId="0" applyFont="1" applyFill="1"/>
    <xf numFmtId="9" fontId="0" fillId="0" borderId="0" xfId="1" applyNumberFormat="1" applyFont="1"/>
    <xf numFmtId="168" fontId="0" fillId="0" borderId="0" xfId="1" applyNumberFormat="1" applyFont="1"/>
    <xf numFmtId="0" fontId="0" fillId="0" borderId="0" xfId="0" applyBorder="1"/>
    <xf numFmtId="164" fontId="0" fillId="0" borderId="0" xfId="0" applyNumberFormat="1" applyBorder="1"/>
    <xf numFmtId="164" fontId="0" fillId="0" borderId="14" xfId="0" applyNumberFormat="1" applyBorder="1"/>
    <xf numFmtId="0" fontId="0" fillId="0" borderId="5" xfId="0" applyFill="1" applyBorder="1"/>
    <xf numFmtId="165" fontId="0" fillId="0" borderId="5" xfId="0" applyNumberFormat="1" applyFill="1" applyBorder="1"/>
    <xf numFmtId="3" fontId="0" fillId="0" borderId="5" xfId="0" applyNumberFormat="1" applyFill="1" applyBorder="1"/>
    <xf numFmtId="3" fontId="0" fillId="0" borderId="6" xfId="0" applyNumberFormat="1" applyFill="1" applyBorder="1"/>
    <xf numFmtId="165" fontId="0" fillId="0" borderId="5" xfId="3" applyNumberFormat="1" applyFont="1" applyFill="1" applyBorder="1"/>
    <xf numFmtId="0" fontId="0" fillId="0" borderId="0" xfId="0" applyFill="1" applyBorder="1"/>
    <xf numFmtId="3" fontId="0" fillId="0" borderId="0" xfId="0" applyNumberFormat="1" applyFill="1" applyBorder="1"/>
    <xf numFmtId="165" fontId="0" fillId="0" borderId="0" xfId="0" applyNumberFormat="1" applyFill="1" applyBorder="1"/>
    <xf numFmtId="0" fontId="5" fillId="0" borderId="0" xfId="0" applyFont="1" applyFill="1" applyBorder="1" applyAlignment="1">
      <alignment wrapText="1"/>
    </xf>
    <xf numFmtId="164" fontId="0" fillId="0" borderId="0" xfId="0" applyNumberFormat="1" applyFill="1" applyBorder="1"/>
    <xf numFmtId="0" fontId="6" fillId="0" borderId="0" xfId="0" applyFont="1" applyFill="1" applyBorder="1"/>
    <xf numFmtId="9" fontId="0" fillId="0" borderId="6" xfId="3" applyFont="1" applyFill="1" applyBorder="1"/>
    <xf numFmtId="0" fontId="6" fillId="0" borderId="7" xfId="0" applyFont="1" applyFill="1" applyBorder="1"/>
    <xf numFmtId="164" fontId="6" fillId="0" borderId="8" xfId="1" applyFont="1" applyFill="1" applyBorder="1"/>
    <xf numFmtId="9" fontId="6" fillId="0" borderId="21" xfId="3" applyFont="1" applyFill="1" applyBorder="1"/>
    <xf numFmtId="0" fontId="9" fillId="3" borderId="5" xfId="0" applyFont="1" applyFill="1" applyBorder="1" applyAlignment="1">
      <alignment wrapText="1"/>
    </xf>
    <xf numFmtId="164" fontId="9" fillId="3" borderId="0" xfId="1" applyFont="1" applyFill="1" applyBorder="1" applyAlignment="1">
      <alignment wrapText="1"/>
    </xf>
    <xf numFmtId="164" fontId="9" fillId="3" borderId="6" xfId="1" applyFont="1" applyFill="1" applyBorder="1" applyAlignment="1">
      <alignment wrapText="1"/>
    </xf>
    <xf numFmtId="164" fontId="9" fillId="7" borderId="0" xfId="1" applyFont="1" applyFill="1" applyBorder="1" applyAlignment="1">
      <alignment wrapText="1"/>
    </xf>
    <xf numFmtId="0" fontId="0" fillId="0" borderId="6" xfId="0" applyFill="1" applyBorder="1"/>
    <xf numFmtId="0" fontId="9" fillId="8" borderId="5" xfId="0" applyFont="1" applyFill="1" applyBorder="1" applyAlignment="1">
      <alignment wrapText="1"/>
    </xf>
    <xf numFmtId="164" fontId="9" fillId="8" borderId="0" xfId="1" applyFont="1" applyFill="1" applyBorder="1" applyAlignment="1">
      <alignment wrapText="1"/>
    </xf>
    <xf numFmtId="164" fontId="9" fillId="8" borderId="6" xfId="1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164" fontId="9" fillId="2" borderId="0" xfId="1" applyFont="1" applyFill="1" applyBorder="1" applyAlignment="1">
      <alignment wrapText="1"/>
    </xf>
    <xf numFmtId="0" fontId="9" fillId="9" borderId="5" xfId="0" applyFont="1" applyFill="1" applyBorder="1" applyAlignment="1">
      <alignment wrapText="1"/>
    </xf>
    <xf numFmtId="164" fontId="9" fillId="9" borderId="0" xfId="1" applyFont="1" applyFill="1" applyBorder="1" applyAlignment="1">
      <alignment wrapText="1"/>
    </xf>
    <xf numFmtId="164" fontId="9" fillId="9" borderId="6" xfId="1" applyFont="1" applyFill="1" applyBorder="1" applyAlignment="1">
      <alignment wrapText="1"/>
    </xf>
    <xf numFmtId="0" fontId="9" fillId="2" borderId="5" xfId="0" applyFont="1" applyFill="1" applyBorder="1" applyAlignment="1">
      <alignment wrapText="1"/>
    </xf>
    <xf numFmtId="164" fontId="9" fillId="2" borderId="6" xfId="1" applyFont="1" applyFill="1" applyBorder="1" applyAlignment="1">
      <alignment wrapText="1"/>
    </xf>
    <xf numFmtId="165" fontId="9" fillId="7" borderId="5" xfId="0" applyNumberFormat="1" applyFont="1" applyFill="1" applyBorder="1" applyAlignment="1">
      <alignment wrapText="1"/>
    </xf>
    <xf numFmtId="164" fontId="9" fillId="7" borderId="6" xfId="1" applyFont="1" applyFill="1" applyBorder="1" applyAlignment="1">
      <alignment wrapText="1"/>
    </xf>
    <xf numFmtId="165" fontId="6" fillId="0" borderId="7" xfId="0" applyNumberFormat="1" applyFont="1" applyFill="1" applyBorder="1"/>
    <xf numFmtId="10" fontId="0" fillId="0" borderId="0" xfId="3" applyNumberFormat="1" applyFont="1" applyFill="1" applyBorder="1"/>
    <xf numFmtId="3" fontId="0" fillId="4" borderId="0" xfId="0" applyNumberFormat="1" applyFill="1" applyBorder="1"/>
    <xf numFmtId="166" fontId="3" fillId="0" borderId="1" xfId="1" applyNumberFormat="1" applyFont="1" applyBorder="1"/>
    <xf numFmtId="166" fontId="3" fillId="0" borderId="1" xfId="0" applyNumberFormat="1" applyFont="1" applyBorder="1"/>
    <xf numFmtId="0" fontId="0" fillId="0" borderId="1" xfId="0" applyFill="1" applyBorder="1"/>
    <xf numFmtId="9" fontId="0" fillId="0" borderId="0" xfId="3" applyFont="1"/>
    <xf numFmtId="165" fontId="0" fillId="0" borderId="0" xfId="3" applyNumberFormat="1" applyFont="1"/>
    <xf numFmtId="9" fontId="0" fillId="0" borderId="0" xfId="0" applyNumberFormat="1"/>
    <xf numFmtId="164" fontId="0" fillId="4" borderId="0" xfId="0" applyNumberFormat="1" applyFill="1"/>
    <xf numFmtId="164" fontId="0" fillId="4" borderId="0" xfId="1" applyFont="1" applyFill="1"/>
    <xf numFmtId="164" fontId="0" fillId="0" borderId="0" xfId="1" applyNumberFormat="1" applyFont="1"/>
    <xf numFmtId="0" fontId="0" fillId="0" borderId="0" xfId="0" applyAlignment="1">
      <alignment wrapText="1"/>
    </xf>
    <xf numFmtId="9" fontId="0" fillId="0" borderId="0" xfId="3" applyFont="1" applyFill="1" applyBorder="1"/>
    <xf numFmtId="0" fontId="0" fillId="10" borderId="0" xfId="0" applyFill="1" applyBorder="1"/>
    <xf numFmtId="165" fontId="0" fillId="10" borderId="5" xfId="0" applyNumberFormat="1" applyFill="1" applyBorder="1"/>
    <xf numFmtId="164" fontId="0" fillId="10" borderId="0" xfId="1" applyFont="1" applyFill="1" applyBorder="1"/>
    <xf numFmtId="9" fontId="0" fillId="10" borderId="6" xfId="3" applyFont="1" applyFill="1" applyBorder="1"/>
    <xf numFmtId="165" fontId="0" fillId="10" borderId="5" xfId="3" applyNumberFormat="1" applyFont="1" applyFill="1" applyBorder="1"/>
    <xf numFmtId="164" fontId="0" fillId="10" borderId="5" xfId="1" applyFont="1" applyFill="1" applyBorder="1"/>
    <xf numFmtId="164" fontId="0" fillId="10" borderId="0" xfId="0" applyNumberFormat="1" applyFill="1" applyBorder="1"/>
    <xf numFmtId="9" fontId="6" fillId="0" borderId="8" xfId="3" applyFont="1" applyFill="1" applyBorder="1"/>
    <xf numFmtId="164" fontId="0" fillId="4" borderId="1" xfId="1" applyFont="1" applyFill="1" applyBorder="1"/>
    <xf numFmtId="0" fontId="0" fillId="4" borderId="1" xfId="0" applyFill="1" applyBorder="1"/>
    <xf numFmtId="0" fontId="0" fillId="4" borderId="0" xfId="0" applyFill="1"/>
    <xf numFmtId="0" fontId="3" fillId="4" borderId="1" xfId="0" applyFont="1" applyFill="1" applyBorder="1"/>
    <xf numFmtId="0" fontId="3" fillId="11" borderId="1" xfId="0" applyFont="1" applyFill="1" applyBorder="1"/>
    <xf numFmtId="0" fontId="0" fillId="11" borderId="1" xfId="0" applyFill="1" applyBorder="1"/>
    <xf numFmtId="164" fontId="0" fillId="11" borderId="1" xfId="1" applyFont="1" applyFill="1" applyBorder="1"/>
    <xf numFmtId="0" fontId="0" fillId="11" borderId="0" xfId="0" applyFill="1"/>
    <xf numFmtId="0" fontId="3" fillId="10" borderId="1" xfId="0" applyFont="1" applyFill="1" applyBorder="1"/>
    <xf numFmtId="0" fontId="0" fillId="10" borderId="1" xfId="0" applyFill="1" applyBorder="1"/>
    <xf numFmtId="164" fontId="0" fillId="10" borderId="1" xfId="1" applyFont="1" applyFill="1" applyBorder="1"/>
    <xf numFmtId="0" fontId="0" fillId="10" borderId="0" xfId="0" applyFill="1"/>
    <xf numFmtId="0" fontId="3" fillId="12" borderId="1" xfId="0" applyFont="1" applyFill="1" applyBorder="1"/>
    <xf numFmtId="0" fontId="0" fillId="12" borderId="1" xfId="0" applyFill="1" applyBorder="1"/>
    <xf numFmtId="164" fontId="0" fillId="12" borderId="1" xfId="1" applyFont="1" applyFill="1" applyBorder="1"/>
    <xf numFmtId="0" fontId="0" fillId="12" borderId="0" xfId="0" applyFill="1"/>
    <xf numFmtId="164" fontId="3" fillId="12" borderId="1" xfId="1" applyFont="1" applyFill="1" applyBorder="1"/>
    <xf numFmtId="164" fontId="3" fillId="4" borderId="1" xfId="1" applyFont="1" applyFill="1" applyBorder="1"/>
    <xf numFmtId="9" fontId="0" fillId="4" borderId="1" xfId="3" applyFont="1" applyFill="1" applyBorder="1"/>
    <xf numFmtId="9" fontId="0" fillId="11" borderId="1" xfId="3" applyFont="1" applyFill="1" applyBorder="1"/>
    <xf numFmtId="9" fontId="0" fillId="10" borderId="1" xfId="3" applyFont="1" applyFill="1" applyBorder="1"/>
    <xf numFmtId="9" fontId="0" fillId="12" borderId="1" xfId="3" applyFont="1" applyFill="1" applyBorder="1"/>
    <xf numFmtId="9" fontId="3" fillId="12" borderId="1" xfId="3" applyFont="1" applyFill="1" applyBorder="1"/>
    <xf numFmtId="9" fontId="3" fillId="4" borderId="1" xfId="3" applyFont="1" applyFill="1" applyBorder="1"/>
    <xf numFmtId="165" fontId="0" fillId="0" borderId="0" xfId="0" applyNumberFormat="1"/>
    <xf numFmtId="165" fontId="0" fillId="0" borderId="0" xfId="1" applyNumberFormat="1" applyFont="1"/>
    <xf numFmtId="0" fontId="10" fillId="9" borderId="2" xfId="0" applyFont="1" applyFill="1" applyBorder="1" applyAlignment="1">
      <alignment horizontal="center" wrapText="1"/>
    </xf>
    <xf numFmtId="0" fontId="10" fillId="9" borderId="3" xfId="0" applyFont="1" applyFill="1" applyBorder="1" applyAlignment="1">
      <alignment horizontal="center" wrapText="1"/>
    </xf>
    <xf numFmtId="0" fontId="10" fillId="9" borderId="4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wrapText="1"/>
    </xf>
    <xf numFmtId="0" fontId="10" fillId="7" borderId="3" xfId="0" applyFont="1" applyFill="1" applyBorder="1" applyAlignment="1">
      <alignment horizontal="center" wrapText="1"/>
    </xf>
    <xf numFmtId="0" fontId="10" fillId="7" borderId="4" xfId="0" applyFont="1" applyFill="1" applyBorder="1" applyAlignment="1">
      <alignment horizontal="center" wrapText="1"/>
    </xf>
    <xf numFmtId="0" fontId="10" fillId="8" borderId="2" xfId="0" applyFont="1" applyFill="1" applyBorder="1" applyAlignment="1">
      <alignment horizontal="center" wrapText="1"/>
    </xf>
    <xf numFmtId="0" fontId="10" fillId="8" borderId="3" xfId="0" applyFont="1" applyFill="1" applyBorder="1" applyAlignment="1">
      <alignment horizontal="center" wrapText="1"/>
    </xf>
    <xf numFmtId="0" fontId="10" fillId="8" borderId="4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0" fillId="2" borderId="4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Hoja1!$C$37</c:f>
              <c:strCache>
                <c:ptCount val="1"/>
                <c:pt idx="0">
                  <c:v>Ingreso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7.5866186631851698E-2"/>
                  <c:y val="-0.17066140127699961"/>
                </c:manualLayout>
              </c:layout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</c:trendlineLbl>
          </c:trendline>
          <c:cat>
            <c:numRef>
              <c:f>Hoja1!$B$38:$B$42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Hoja1!$C$38:$C$42</c:f>
              <c:numCache>
                <c:formatCode>_(* #,##0_);_(* \(#,##0\);_(* "-"_);_(@_)</c:formatCode>
                <c:ptCount val="5"/>
                <c:pt idx="0">
                  <c:v>182815672</c:v>
                </c:pt>
                <c:pt idx="1">
                  <c:v>123066911</c:v>
                </c:pt>
                <c:pt idx="2">
                  <c:v>171232603</c:v>
                </c:pt>
                <c:pt idx="3">
                  <c:v>171831114</c:v>
                </c:pt>
                <c:pt idx="4">
                  <c:v>166637020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E5-594E-A781-DA4AC41CC4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7651360"/>
        <c:axId val="1637652992"/>
      </c:lineChart>
      <c:catAx>
        <c:axId val="163765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37652992"/>
        <c:crosses val="autoZero"/>
        <c:auto val="1"/>
        <c:lblAlgn val="ctr"/>
        <c:lblOffset val="100"/>
        <c:noMultiLvlLbl val="0"/>
      </c:catAx>
      <c:valAx>
        <c:axId val="163765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37651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74982</xdr:colOff>
      <xdr:row>17</xdr:row>
      <xdr:rowOff>117158</xdr:rowOff>
    </xdr:from>
    <xdr:to>
      <xdr:col>8</xdr:col>
      <xdr:colOff>47223</xdr:colOff>
      <xdr:row>19</xdr:row>
      <xdr:rowOff>44310</xdr:rowOff>
    </xdr:to>
    <xdr:sp macro="" textlink="">
      <xdr:nvSpPr>
        <xdr:cNvPr id="2" name="CuadroTexto 18">
          <a:extLst>
            <a:ext uri="{FF2B5EF4-FFF2-40B4-BE49-F238E27FC236}">
              <a16:creationId xmlns:a16="http://schemas.microsoft.com/office/drawing/2014/main" id="{01561FA5-496B-474A-B103-D415CE66F4DD}"/>
            </a:ext>
          </a:extLst>
        </xdr:cNvPr>
        <xdr:cNvSpPr txBox="1"/>
      </xdr:nvSpPr>
      <xdr:spPr>
        <a:xfrm>
          <a:off x="74982" y="3383542"/>
          <a:ext cx="6879916" cy="3114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_tradnl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O" sz="1400"/>
            <a:t>Nuevo Pronóstico = [(1 – </a:t>
          </a:r>
          <a:r>
            <a:rPr lang="el-GR" sz="1400"/>
            <a:t>α) </a:t>
          </a:r>
          <a:r>
            <a:rPr lang="es-CO" sz="1400"/>
            <a:t>x (última venta)] + [ </a:t>
          </a:r>
          <a:r>
            <a:rPr lang="el-GR" sz="1400"/>
            <a:t>α </a:t>
          </a:r>
          <a:r>
            <a:rPr lang="es-CO" sz="1400"/>
            <a:t>x (último pronóstico)]</a:t>
          </a:r>
        </a:p>
      </xdr:txBody>
    </xdr:sp>
    <xdr:clientData/>
  </xdr:twoCellAnchor>
  <xdr:twoCellAnchor editAs="oneCell">
    <xdr:from>
      <xdr:col>1</xdr:col>
      <xdr:colOff>0</xdr:colOff>
      <xdr:row>28</xdr:row>
      <xdr:rowOff>192140</xdr:rowOff>
    </xdr:from>
    <xdr:to>
      <xdr:col>4</xdr:col>
      <xdr:colOff>710433</xdr:colOff>
      <xdr:row>32</xdr:row>
      <xdr:rowOff>185579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BB971C-AB04-5F42-BDBB-ABE595EA3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4797" y="5572066"/>
          <a:ext cx="3619500" cy="762000"/>
        </a:xfrm>
        <a:prstGeom prst="rect">
          <a:avLst/>
        </a:prstGeom>
      </xdr:spPr>
    </xdr:pic>
    <xdr:clientData/>
  </xdr:twoCellAnchor>
  <xdr:twoCellAnchor>
    <xdr:from>
      <xdr:col>3</xdr:col>
      <xdr:colOff>710387</xdr:colOff>
      <xdr:row>33</xdr:row>
      <xdr:rowOff>181237</xdr:rowOff>
    </xdr:from>
    <xdr:to>
      <xdr:col>8</xdr:col>
      <xdr:colOff>412239</xdr:colOff>
      <xdr:row>46</xdr:row>
      <xdr:rowOff>17763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EC41A82C-7793-AF45-915D-65E011CD37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7409-A147-FB46-92A0-0B653FAC2A61}">
  <dimension ref="A1:S37"/>
  <sheetViews>
    <sheetView zoomScale="180" workbookViewId="0">
      <pane xSplit="2" ySplit="3" topLeftCell="I4" activePane="bottomRight" state="frozen"/>
      <selection activeCell="H24" sqref="H24"/>
      <selection pane="topRight" activeCell="H24" sqref="H24"/>
      <selection pane="bottomLeft" activeCell="H24" sqref="H24"/>
      <selection pane="bottomRight" activeCell="J18" sqref="J18"/>
    </sheetView>
  </sheetViews>
  <sheetFormatPr baseColWidth="10" defaultColWidth="10.85546875" defaultRowHeight="15" x14ac:dyDescent="0.25"/>
  <cols>
    <col min="1" max="1" width="9.28515625" style="51" customWidth="1"/>
    <col min="2" max="2" width="11.42578125" style="52" customWidth="1"/>
    <col min="3" max="3" width="10.85546875" style="51"/>
    <col min="4" max="4" width="12.140625" style="7" bestFit="1" customWidth="1"/>
    <col min="5" max="5" width="12.140625" style="7" customWidth="1"/>
    <col min="6" max="6" width="11.85546875" style="7" customWidth="1"/>
    <col min="7" max="7" width="8.140625" style="53" customWidth="1"/>
    <col min="8" max="8" width="13" style="7" customWidth="1"/>
    <col min="9" max="9" width="12.140625" style="7" customWidth="1"/>
    <col min="10" max="10" width="11.7109375" style="7" customWidth="1"/>
    <col min="11" max="11" width="12.140625" style="51" bestFit="1" customWidth="1"/>
    <col min="12" max="13" width="12.140625" style="51" customWidth="1"/>
    <col min="14" max="14" width="12.140625" style="51" bestFit="1" customWidth="1"/>
    <col min="15" max="15" width="12.28515625" style="51" customWidth="1"/>
    <col min="16" max="16" width="11.140625" style="51" customWidth="1"/>
    <col min="17" max="17" width="12.140625" style="51" bestFit="1" customWidth="1"/>
    <col min="18" max="18" width="12.140625" style="51" customWidth="1"/>
    <col min="19" max="19" width="11.140625" style="51" customWidth="1"/>
    <col min="20" max="16384" width="10.85546875" style="51"/>
  </cols>
  <sheetData>
    <row r="1" spans="1:19" ht="6.95" customHeight="1" thickBot="1" x14ac:dyDescent="0.3"/>
    <row r="2" spans="1:19" s="69" customFormat="1" ht="20.100000000000001" customHeight="1" x14ac:dyDescent="0.2">
      <c r="A2" s="129" t="s">
        <v>19</v>
      </c>
      <c r="B2" s="130" t="s">
        <v>2</v>
      </c>
      <c r="C2" s="133" t="s">
        <v>20</v>
      </c>
      <c r="D2" s="134"/>
      <c r="E2" s="134"/>
      <c r="F2" s="135"/>
      <c r="G2" s="136" t="s">
        <v>21</v>
      </c>
      <c r="H2" s="137"/>
      <c r="I2" s="137"/>
      <c r="J2" s="138"/>
      <c r="K2" s="139" t="s">
        <v>22</v>
      </c>
      <c r="L2" s="140"/>
      <c r="M2" s="141"/>
      <c r="N2" s="142" t="s">
        <v>23</v>
      </c>
      <c r="O2" s="143"/>
      <c r="P2" s="144"/>
      <c r="Q2" s="126" t="s">
        <v>24</v>
      </c>
      <c r="R2" s="127"/>
      <c r="S2" s="128"/>
    </row>
    <row r="3" spans="1:19" s="54" customFormat="1" ht="27.95" customHeight="1" x14ac:dyDescent="0.2">
      <c r="A3" s="129"/>
      <c r="B3" s="130"/>
      <c r="C3" s="61" t="s">
        <v>25</v>
      </c>
      <c r="D3" s="62" t="s">
        <v>26</v>
      </c>
      <c r="E3" s="62" t="s">
        <v>27</v>
      </c>
      <c r="F3" s="63" t="s">
        <v>28</v>
      </c>
      <c r="G3" s="76" t="s">
        <v>25</v>
      </c>
      <c r="H3" s="64" t="s">
        <v>26</v>
      </c>
      <c r="I3" s="64" t="s">
        <v>27</v>
      </c>
      <c r="J3" s="77" t="s">
        <v>71</v>
      </c>
      <c r="K3" s="66" t="s">
        <v>26</v>
      </c>
      <c r="L3" s="67" t="s">
        <v>27</v>
      </c>
      <c r="M3" s="68" t="s">
        <v>28</v>
      </c>
      <c r="N3" s="74" t="s">
        <v>25</v>
      </c>
      <c r="O3" s="70" t="s">
        <v>27</v>
      </c>
      <c r="P3" s="75" t="s">
        <v>28</v>
      </c>
      <c r="Q3" s="71" t="s">
        <v>25</v>
      </c>
      <c r="R3" s="72" t="s">
        <v>27</v>
      </c>
      <c r="S3" s="73" t="s">
        <v>28</v>
      </c>
    </row>
    <row r="4" spans="1:19" x14ac:dyDescent="0.25">
      <c r="A4" s="51">
        <v>1</v>
      </c>
      <c r="B4" s="52">
        <v>135763990</v>
      </c>
      <c r="C4" s="46"/>
      <c r="F4" s="8"/>
      <c r="G4" s="47"/>
      <c r="J4" s="8"/>
      <c r="K4" s="48"/>
      <c r="L4" s="52"/>
      <c r="M4" s="49"/>
      <c r="N4" s="9">
        <f>B4</f>
        <v>135763990</v>
      </c>
      <c r="P4" s="65">
        <v>0.1</v>
      </c>
      <c r="Q4" s="9">
        <f>B4</f>
        <v>135763990</v>
      </c>
      <c r="S4" s="65">
        <v>0.9</v>
      </c>
    </row>
    <row r="5" spans="1:19" x14ac:dyDescent="0.25">
      <c r="A5" s="51">
        <v>2</v>
      </c>
      <c r="B5" s="52">
        <v>146638893</v>
      </c>
      <c r="C5" s="50">
        <f>(B5/B4)-1</f>
        <v>8.0101527658401839E-2</v>
      </c>
      <c r="F5" s="8"/>
      <c r="G5" s="50"/>
      <c r="J5" s="8"/>
      <c r="K5" s="48"/>
      <c r="L5" s="52"/>
      <c r="M5" s="49"/>
      <c r="N5" s="9">
        <f>((1-$P$4)*B4)+(N4*$P$4)</f>
        <v>135763990</v>
      </c>
      <c r="P5" s="65"/>
      <c r="Q5" s="9">
        <f>((1-$S$4)*B4)+(Q4*$S$4)</f>
        <v>135763990</v>
      </c>
      <c r="S5" s="65"/>
    </row>
    <row r="6" spans="1:19" x14ac:dyDescent="0.25">
      <c r="A6" s="51">
        <v>3</v>
      </c>
      <c r="B6" s="52">
        <v>103325502</v>
      </c>
      <c r="C6" s="50">
        <f t="shared" ref="C6:C7" si="0">(B6/B5)-1</f>
        <v>-0.29537450886239303</v>
      </c>
      <c r="F6" s="8"/>
      <c r="G6" s="50"/>
      <c r="J6" s="8"/>
      <c r="K6" s="48"/>
      <c r="L6" s="52"/>
      <c r="M6" s="49"/>
      <c r="N6" s="9">
        <f t="shared" ref="N6:N8" si="1">((1-$P$4)*B5)+(N5*$P$4)</f>
        <v>145551402.69999999</v>
      </c>
      <c r="P6" s="65"/>
      <c r="Q6" s="9">
        <f t="shared" ref="Q6:Q8" si="2">((1-$S$4)*B5)+(Q5*$S$4)</f>
        <v>136851480.30000001</v>
      </c>
      <c r="S6" s="65"/>
    </row>
    <row r="7" spans="1:19" x14ac:dyDescent="0.25">
      <c r="A7" s="51">
        <v>4</v>
      </c>
      <c r="B7" s="52">
        <v>114869601</v>
      </c>
      <c r="C7" s="50">
        <f t="shared" si="0"/>
        <v>0.11172555445218157</v>
      </c>
      <c r="F7" s="8"/>
      <c r="G7" s="79">
        <f>((B7/B4)^(1/(A7-A4))-1)</f>
        <v>-5.4183600826361866E-2</v>
      </c>
      <c r="J7" s="8"/>
      <c r="K7" s="48"/>
      <c r="L7" s="52"/>
      <c r="M7" s="49"/>
      <c r="N7" s="9">
        <f t="shared" si="1"/>
        <v>107548092.06999999</v>
      </c>
      <c r="O7" s="7"/>
      <c r="P7" s="8"/>
      <c r="Q7" s="9">
        <f t="shared" si="2"/>
        <v>133498882.47000001</v>
      </c>
      <c r="R7" s="7"/>
      <c r="S7" s="8"/>
    </row>
    <row r="8" spans="1:19" s="92" customFormat="1" x14ac:dyDescent="0.25">
      <c r="A8" s="92">
        <v>5</v>
      </c>
      <c r="B8" s="80">
        <v>130000000</v>
      </c>
      <c r="C8" s="93">
        <f>AVERAGE(C5:C7)</f>
        <v>-3.4515808917269873E-2</v>
      </c>
      <c r="D8" s="94">
        <f>(B7*(1+C8))</f>
        <v>110904783.80148096</v>
      </c>
      <c r="E8" s="94">
        <f>B8-D8</f>
        <v>19095216.198519036</v>
      </c>
      <c r="F8" s="95">
        <f>E8/B8</f>
        <v>0.14688627845014643</v>
      </c>
      <c r="G8" s="96"/>
      <c r="H8" s="94">
        <f>(B7*(1+G7))</f>
        <v>108645552.39233254</v>
      </c>
      <c r="I8" s="94">
        <f>B8-H8</f>
        <v>21354447.607667461</v>
      </c>
      <c r="J8" s="95">
        <f>I8/B8</f>
        <v>0.16426498159744202</v>
      </c>
      <c r="K8" s="97">
        <f>_xlfn.FORECAST.LINEAR(A8,$B$4:B7,$A$4:A7)</f>
        <v>98650357</v>
      </c>
      <c r="L8" s="94">
        <f>B8-K8</f>
        <v>31349643</v>
      </c>
      <c r="M8" s="95">
        <f>L8/B8</f>
        <v>0.24115110000000001</v>
      </c>
      <c r="N8" s="97">
        <f t="shared" si="1"/>
        <v>114137450.10700001</v>
      </c>
      <c r="O8" s="98">
        <f>B8-N8</f>
        <v>15862549.892999992</v>
      </c>
      <c r="P8" s="95">
        <f>O8/B8</f>
        <v>0.1220196145615384</v>
      </c>
      <c r="Q8" s="97">
        <f t="shared" si="2"/>
        <v>131635954.32300001</v>
      </c>
      <c r="R8" s="98">
        <f>B8-Q8</f>
        <v>-1635954.3230000138</v>
      </c>
      <c r="S8" s="95">
        <f>R8/B8</f>
        <v>-1.2584264023077029E-2</v>
      </c>
    </row>
    <row r="9" spans="1:19" x14ac:dyDescent="0.25">
      <c r="A9" s="51">
        <v>6</v>
      </c>
      <c r="B9" s="80">
        <v>95000000</v>
      </c>
      <c r="C9" s="47">
        <f t="shared" ref="C9:C11" si="3">AVERAGE(C6:C8)</f>
        <v>-7.2721587775827115E-2</v>
      </c>
      <c r="D9" s="7">
        <f>(D8*(1+C9))</f>
        <v>102839611.83150244</v>
      </c>
      <c r="E9" s="94">
        <f>B9-D9</f>
        <v>-7839611.8315024376</v>
      </c>
      <c r="F9" s="95">
        <f t="shared" ref="F9:F11" si="4">E9/B9</f>
        <v>-8.252222980528881E-2</v>
      </c>
      <c r="G9" s="47"/>
      <c r="H9" s="7">
        <f>(H8*(1+$G$7))</f>
        <v>102758745.14994681</v>
      </c>
      <c r="I9" s="94">
        <f t="shared" ref="I9:I11" si="5">B9-H9</f>
        <v>-7758745.1499468088</v>
      </c>
      <c r="J9" s="95">
        <f t="shared" ref="J9:J11" si="6">I9/B9</f>
        <v>-8.1671001578387456E-2</v>
      </c>
      <c r="K9" s="9">
        <f>_xlfn.FORECAST.LINEAR(A9,$B$4:B8,$A$4:A8)</f>
        <v>113130415.60000001</v>
      </c>
      <c r="L9" s="94">
        <f t="shared" ref="L9:L11" si="7">B9-K9</f>
        <v>-18130415.600000009</v>
      </c>
      <c r="M9" s="95">
        <f>L9/B9</f>
        <v>-0.1908464800000001</v>
      </c>
      <c r="N9" s="9">
        <f>((1-$P$4)*N7)+(N8*$P$4)</f>
        <v>108207027.87369999</v>
      </c>
      <c r="O9" s="98">
        <f t="shared" ref="O9:O11" si="8">B9-N9</f>
        <v>-13207027.873699993</v>
      </c>
      <c r="P9" s="95">
        <f t="shared" ref="P9:P11" si="9">O9/B9</f>
        <v>-0.13902134603894728</v>
      </c>
      <c r="Q9" s="9">
        <f>((1-$S$4)*Q7)+(Q8*$S$4)</f>
        <v>131822247.13770001</v>
      </c>
      <c r="R9" s="98">
        <f t="shared" ref="R9:R11" si="10">B9-Q9</f>
        <v>-36822247.137700006</v>
      </c>
      <c r="S9" s="95">
        <f t="shared" ref="S9:S11" si="11">R9/B9</f>
        <v>-0.38760260144947373</v>
      </c>
    </row>
    <row r="10" spans="1:19" x14ac:dyDescent="0.25">
      <c r="A10" s="51">
        <v>7</v>
      </c>
      <c r="B10" s="80">
        <v>120000000</v>
      </c>
      <c r="C10" s="47">
        <f>AVERAGE(C7:C9)</f>
        <v>1.4960525863615265E-3</v>
      </c>
      <c r="D10" s="7">
        <f t="shared" ref="D10:D11" si="12">(D9*(1+C10))</f>
        <v>102993465.29876336</v>
      </c>
      <c r="E10" s="94">
        <f>B10-D10</f>
        <v>17006534.701236635</v>
      </c>
      <c r="F10" s="95">
        <f t="shared" si="4"/>
        <v>0.1417211225103053</v>
      </c>
      <c r="G10" s="47"/>
      <c r="H10" s="7">
        <f t="shared" ref="H10:H11" si="13">(H9*(1+$G$7))</f>
        <v>97190906.321324244</v>
      </c>
      <c r="I10" s="94">
        <f t="shared" si="5"/>
        <v>22809093.678675756</v>
      </c>
      <c r="J10" s="95">
        <f t="shared" si="6"/>
        <v>0.1900757806556313</v>
      </c>
      <c r="K10" s="9">
        <f>_xlfn.FORECAST.LINEAR(A10,$B$4:B9,$A$4:A9)</f>
        <v>96713744.666666687</v>
      </c>
      <c r="L10" s="94">
        <f t="shared" si="7"/>
        <v>23286255.333333313</v>
      </c>
      <c r="M10" s="95">
        <f>L10/B10</f>
        <v>0.19405212777777761</v>
      </c>
      <c r="N10" s="9">
        <f t="shared" ref="N10:N11" si="14">((1-$P$4)*N8)+(N9*$P$4)</f>
        <v>113544407.88367</v>
      </c>
      <c r="O10" s="98">
        <f t="shared" si="8"/>
        <v>6455592.1163299978</v>
      </c>
      <c r="P10" s="95">
        <f t="shared" si="9"/>
        <v>5.3796600969416651E-2</v>
      </c>
      <c r="Q10" s="9">
        <f t="shared" ref="Q10:Q11" si="15">((1-$S$4)*Q8)+(Q9*$S$4)</f>
        <v>131803617.85623001</v>
      </c>
      <c r="R10" s="98">
        <f t="shared" si="10"/>
        <v>-11803617.856230006</v>
      </c>
      <c r="S10" s="95">
        <f t="shared" si="11"/>
        <v>-9.8363482135250049E-2</v>
      </c>
    </row>
    <row r="11" spans="1:19" x14ac:dyDescent="0.25">
      <c r="A11" s="51">
        <v>8</v>
      </c>
      <c r="B11" s="80">
        <v>65000000</v>
      </c>
      <c r="C11" s="47">
        <f t="shared" si="3"/>
        <v>-3.5247114702245154E-2</v>
      </c>
      <c r="D11" s="7">
        <f t="shared" si="12"/>
        <v>99363242.813796148</v>
      </c>
      <c r="E11" s="94">
        <f>B11-D11</f>
        <v>-34363242.813796148</v>
      </c>
      <c r="F11" s="95">
        <f t="shared" si="4"/>
        <v>-0.52866527405840225</v>
      </c>
      <c r="G11" s="47"/>
      <c r="H11" s="7">
        <f t="shared" si="13"/>
        <v>91924753.049257278</v>
      </c>
      <c r="I11" s="94">
        <f t="shared" si="5"/>
        <v>-26924753.049257278</v>
      </c>
      <c r="J11" s="95">
        <f t="shared" si="6"/>
        <v>-0.4142269699885735</v>
      </c>
      <c r="K11" s="9">
        <f>_xlfn.FORECAST.LINEAR(A11,$B$4:B10,$A$4:A10)</f>
        <v>103100389.71428573</v>
      </c>
      <c r="L11" s="94">
        <f t="shared" si="7"/>
        <v>-38100389.714285731</v>
      </c>
      <c r="M11" s="95">
        <f>L11/B11</f>
        <v>-0.58615984175824198</v>
      </c>
      <c r="N11" s="9">
        <f t="shared" si="14"/>
        <v>108740765.874697</v>
      </c>
      <c r="O11" s="98">
        <f t="shared" si="8"/>
        <v>-43740765.874697</v>
      </c>
      <c r="P11" s="95">
        <f t="shared" si="9"/>
        <v>-0.67293485961072308</v>
      </c>
      <c r="Q11" s="9">
        <f t="shared" si="15"/>
        <v>131805480.78437701</v>
      </c>
      <c r="R11" s="98">
        <f t="shared" si="10"/>
        <v>-66805480.784377009</v>
      </c>
      <c r="S11" s="95">
        <f t="shared" si="11"/>
        <v>-1.027776627451954</v>
      </c>
    </row>
    <row r="12" spans="1:19" x14ac:dyDescent="0.25">
      <c r="C12" s="46"/>
      <c r="F12" s="8"/>
      <c r="G12" s="47"/>
      <c r="J12" s="8"/>
      <c r="K12" s="46"/>
      <c r="M12" s="65"/>
      <c r="N12" s="46"/>
      <c r="P12" s="65"/>
      <c r="Q12" s="46"/>
      <c r="S12" s="65"/>
    </row>
    <row r="13" spans="1:19" ht="15.75" thickBot="1" x14ac:dyDescent="0.3">
      <c r="C13" s="46"/>
      <c r="D13" s="51"/>
      <c r="E13" s="55">
        <f>SUM(E8:E11)</f>
        <v>-6101103.7455429137</v>
      </c>
      <c r="F13" s="91">
        <f>SUM(F8:F11)</f>
        <v>-0.32258010290323935</v>
      </c>
      <c r="G13" s="47"/>
      <c r="I13" s="55">
        <f>SUM(I8:I11)</f>
        <v>9480043.0871391296</v>
      </c>
      <c r="J13" s="57">
        <f>SUM(J8:J11)</f>
        <v>-0.14155720931388766</v>
      </c>
      <c r="K13" s="55"/>
      <c r="L13" s="55">
        <f>SUM(L8:L11)</f>
        <v>-1594906.9809524268</v>
      </c>
      <c r="M13" s="57">
        <f>SUM(M8:M11)</f>
        <v>-0.34180309398046449</v>
      </c>
      <c r="N13" s="46"/>
      <c r="O13" s="55">
        <f>SUM(O8:O11)</f>
        <v>-34629651.739067003</v>
      </c>
      <c r="P13" s="57">
        <f>SUM(P8:P11)</f>
        <v>-0.63613999011871536</v>
      </c>
      <c r="Q13" s="46"/>
      <c r="R13" s="55">
        <f>SUM(R8:R11)</f>
        <v>-117067300.10130703</v>
      </c>
      <c r="S13" s="57">
        <f>SUM(S8:S11)</f>
        <v>-1.5263269750597548</v>
      </c>
    </row>
    <row r="14" spans="1:19" s="56" customFormat="1" ht="15.75" thickBot="1" x14ac:dyDescent="0.3">
      <c r="A14" s="131" t="s">
        <v>29</v>
      </c>
      <c r="B14" s="132"/>
      <c r="C14" s="58"/>
      <c r="D14" s="59"/>
      <c r="E14" s="59">
        <f>E13/4</f>
        <v>-1525275.9363857284</v>
      </c>
      <c r="F14" s="99">
        <f>F13/4</f>
        <v>-8.0645025725809838E-2</v>
      </c>
      <c r="G14" s="78"/>
      <c r="H14" s="59"/>
      <c r="I14" s="59">
        <f>I13/4</f>
        <v>2370010.7717847824</v>
      </c>
      <c r="J14" s="60">
        <f>J13/4</f>
        <v>-3.5389302328471914E-2</v>
      </c>
      <c r="K14" s="59"/>
      <c r="L14" s="59">
        <f>L13/4</f>
        <v>-398726.7452381067</v>
      </c>
      <c r="M14" s="60">
        <f>M13/4</f>
        <v>-8.5450773495116122E-2</v>
      </c>
      <c r="N14" s="58"/>
      <c r="O14" s="59">
        <f>O13/4</f>
        <v>-8657412.9347667508</v>
      </c>
      <c r="P14" s="60">
        <f>P13/4</f>
        <v>-0.15903499752967884</v>
      </c>
      <c r="Q14" s="58"/>
      <c r="R14" s="59">
        <f>R13/4</f>
        <v>-29266825.025326759</v>
      </c>
      <c r="S14" s="60">
        <f>S13/4</f>
        <v>-0.3815817437649387</v>
      </c>
    </row>
    <row r="17" spans="2:19" x14ac:dyDescent="0.25">
      <c r="F17" s="79"/>
    </row>
    <row r="18" spans="2:19" x14ac:dyDescent="0.25">
      <c r="S18" s="7"/>
    </row>
    <row r="19" spans="2:19" s="7" customFormat="1" x14ac:dyDescent="0.25">
      <c r="B19" s="52"/>
      <c r="C19" s="51"/>
      <c r="G19" s="53"/>
    </row>
    <row r="20" spans="2:19" s="7" customFormat="1" x14ac:dyDescent="0.25">
      <c r="B20" s="52"/>
      <c r="C20" s="51"/>
      <c r="G20" s="53"/>
    </row>
    <row r="21" spans="2:19" s="7" customFormat="1" x14ac:dyDescent="0.25">
      <c r="B21" s="52"/>
      <c r="C21" s="51"/>
      <c r="G21" s="53"/>
    </row>
    <row r="22" spans="2:19" s="7" customFormat="1" x14ac:dyDescent="0.25">
      <c r="B22" s="52"/>
      <c r="C22" s="51"/>
      <c r="G22" s="53"/>
    </row>
    <row r="33" spans="4:4" x14ac:dyDescent="0.25">
      <c r="D33" s="51"/>
    </row>
    <row r="34" spans="4:4" x14ac:dyDescent="0.25">
      <c r="D34" s="51"/>
    </row>
    <row r="35" spans="4:4" x14ac:dyDescent="0.25">
      <c r="D35" s="51"/>
    </row>
    <row r="36" spans="4:4" x14ac:dyDescent="0.25">
      <c r="D36" s="51"/>
    </row>
    <row r="37" spans="4:4" x14ac:dyDescent="0.25">
      <c r="D37" s="51"/>
    </row>
  </sheetData>
  <mergeCells count="8">
    <mergeCell ref="Q2:S2"/>
    <mergeCell ref="A2:A3"/>
    <mergeCell ref="B2:B3"/>
    <mergeCell ref="A14:B14"/>
    <mergeCell ref="C2:F2"/>
    <mergeCell ref="G2:J2"/>
    <mergeCell ref="K2:M2"/>
    <mergeCell ref="N2: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A3DC2-27C2-CC46-AE1C-C8D4AEACDBA4}">
  <dimension ref="A2:J52"/>
  <sheetViews>
    <sheetView tabSelected="1" zoomScale="163" workbookViewId="0">
      <selection activeCell="G3" sqref="G3"/>
    </sheetView>
  </sheetViews>
  <sheetFormatPr baseColWidth="10" defaultRowHeight="15" x14ac:dyDescent="0.25"/>
  <cols>
    <col min="1" max="1" width="11" bestFit="1" customWidth="1"/>
    <col min="2" max="2" width="27.42578125" customWidth="1"/>
    <col min="3" max="8" width="12.140625" style="6" bestFit="1" customWidth="1"/>
    <col min="9" max="9" width="11.140625" style="6" bestFit="1" customWidth="1"/>
    <col min="10" max="10" width="12.140625" style="6" bestFit="1" customWidth="1"/>
  </cols>
  <sheetData>
    <row r="2" spans="1:10" x14ac:dyDescent="0.25">
      <c r="A2" s="1" t="s">
        <v>0</v>
      </c>
      <c r="B2" s="1" t="s">
        <v>1</v>
      </c>
      <c r="C2" s="1">
        <v>1</v>
      </c>
      <c r="D2" s="1">
        <v>2</v>
      </c>
      <c r="E2" s="1">
        <v>3</v>
      </c>
      <c r="F2" s="1">
        <v>4</v>
      </c>
      <c r="G2" s="2">
        <v>5</v>
      </c>
      <c r="H2" s="2">
        <v>6</v>
      </c>
      <c r="I2" s="2">
        <v>7</v>
      </c>
      <c r="J2" s="2">
        <v>8</v>
      </c>
    </row>
    <row r="3" spans="1:10" x14ac:dyDescent="0.25">
      <c r="A3" s="83">
        <v>4105</v>
      </c>
      <c r="B3" s="83" t="s">
        <v>2</v>
      </c>
      <c r="C3" s="4">
        <v>135763990</v>
      </c>
      <c r="D3" s="4">
        <v>146638893</v>
      </c>
      <c r="E3" s="4">
        <v>103325502</v>
      </c>
      <c r="F3" s="4">
        <v>114869601</v>
      </c>
      <c r="G3" s="4">
        <f>Ingresos!K8</f>
        <v>98650357</v>
      </c>
      <c r="H3" s="5">
        <f>Ingresos!K9</f>
        <v>113130415.60000001</v>
      </c>
      <c r="I3" s="5">
        <f>Ingresos!K10</f>
        <v>96713744.666666687</v>
      </c>
      <c r="J3" s="5">
        <f>Ingresos!K11</f>
        <v>103100389.71428573</v>
      </c>
    </row>
    <row r="4" spans="1:10" s="102" customFormat="1" x14ac:dyDescent="0.25">
      <c r="A4" s="101">
        <v>6105</v>
      </c>
      <c r="B4" s="101" t="s">
        <v>3</v>
      </c>
      <c r="C4" s="100">
        <v>67881995</v>
      </c>
      <c r="D4" s="100">
        <v>65987501.850000001</v>
      </c>
      <c r="E4" s="100">
        <v>46496475.899999999</v>
      </c>
      <c r="F4" s="100">
        <v>50542624.439999998</v>
      </c>
      <c r="G4" s="100">
        <f t="shared" ref="G4:J6" si="0">G$3*G29</f>
        <v>43899408.865000002</v>
      </c>
      <c r="H4" s="100">
        <f t="shared" si="0"/>
        <v>50060208.903000005</v>
      </c>
      <c r="I4" s="100">
        <f t="shared" si="0"/>
        <v>42916724.19583334</v>
      </c>
      <c r="J4" s="100">
        <f t="shared" si="0"/>
        <v>45686360.192142867</v>
      </c>
    </row>
    <row r="5" spans="1:10" s="102" customFormat="1" x14ac:dyDescent="0.25">
      <c r="A5" s="103">
        <v>5105</v>
      </c>
      <c r="B5" s="101" t="s">
        <v>4</v>
      </c>
      <c r="C5" s="100">
        <v>8145839.3999999994</v>
      </c>
      <c r="D5" s="100">
        <v>8798333.5800000001</v>
      </c>
      <c r="E5" s="100">
        <v>6199530.1200000001</v>
      </c>
      <c r="F5" s="100">
        <v>6892176.0599999996</v>
      </c>
      <c r="G5" s="100">
        <f t="shared" si="0"/>
        <v>5919021.4199999999</v>
      </c>
      <c r="H5" s="100">
        <f t="shared" si="0"/>
        <v>6787824.9360000007</v>
      </c>
      <c r="I5" s="100">
        <f t="shared" si="0"/>
        <v>5802824.6800000006</v>
      </c>
      <c r="J5" s="100">
        <f t="shared" si="0"/>
        <v>6186023.3828571439</v>
      </c>
    </row>
    <row r="6" spans="1:10" s="102" customFormat="1" x14ac:dyDescent="0.25">
      <c r="A6" s="103">
        <v>5115</v>
      </c>
      <c r="B6" s="101" t="s">
        <v>5</v>
      </c>
      <c r="C6" s="100">
        <v>5430559.6000000006</v>
      </c>
      <c r="D6" s="100">
        <v>5865555.7199999997</v>
      </c>
      <c r="E6" s="100">
        <v>4133020.08</v>
      </c>
      <c r="F6" s="100">
        <v>4594784.04</v>
      </c>
      <c r="G6" s="100">
        <f t="shared" si="0"/>
        <v>3946014.2800000003</v>
      </c>
      <c r="H6" s="100">
        <f t="shared" si="0"/>
        <v>4525216.6240000008</v>
      </c>
      <c r="I6" s="100">
        <f t="shared" si="0"/>
        <v>3868549.7866666676</v>
      </c>
      <c r="J6" s="100">
        <f t="shared" si="0"/>
        <v>4124015.5885714293</v>
      </c>
    </row>
    <row r="7" spans="1:10" s="107" customFormat="1" x14ac:dyDescent="0.25">
      <c r="A7" s="104">
        <v>5120</v>
      </c>
      <c r="B7" s="105" t="s">
        <v>6</v>
      </c>
      <c r="C7" s="106">
        <v>5000000</v>
      </c>
      <c r="D7" s="106">
        <v>5300000</v>
      </c>
      <c r="E7" s="106">
        <v>5618000</v>
      </c>
      <c r="F7" s="106">
        <v>5955080</v>
      </c>
      <c r="G7" s="106">
        <f>(F7*(1+$C$52))</f>
        <v>6098001.9199999999</v>
      </c>
      <c r="H7" s="106">
        <f>(G7*(1+$D$52))</f>
        <v>6280941.9775999999</v>
      </c>
      <c r="I7" s="106">
        <f>(H7*(1+$E$52))</f>
        <v>6544741.5406592004</v>
      </c>
      <c r="J7" s="106">
        <f>(I7*(1+$F$52))</f>
        <v>6839254.9099888643</v>
      </c>
    </row>
    <row r="8" spans="1:10" s="102" customFormat="1" x14ac:dyDescent="0.25">
      <c r="A8" s="103">
        <v>5125</v>
      </c>
      <c r="B8" s="101" t="s">
        <v>7</v>
      </c>
      <c r="C8" s="100">
        <v>3500000</v>
      </c>
      <c r="D8" s="100">
        <v>3710000</v>
      </c>
      <c r="E8" s="100">
        <v>3932600</v>
      </c>
      <c r="F8" s="100">
        <v>4168556</v>
      </c>
      <c r="G8" s="100">
        <f t="shared" ref="G8:J8" si="1">G$3*G33</f>
        <v>3667315.4624541989</v>
      </c>
      <c r="H8" s="100">
        <f t="shared" si="1"/>
        <v>4155525.9210413806</v>
      </c>
      <c r="I8" s="100">
        <f t="shared" si="1"/>
        <v>3573914.0305952448</v>
      </c>
      <c r="J8" s="100">
        <f t="shared" si="1"/>
        <v>3798512.1881333566</v>
      </c>
    </row>
    <row r="9" spans="1:10" s="102" customFormat="1" x14ac:dyDescent="0.25">
      <c r="A9" s="103">
        <v>5130</v>
      </c>
      <c r="B9" s="101" t="s">
        <v>8</v>
      </c>
      <c r="C9" s="100">
        <v>2000000</v>
      </c>
      <c r="D9" s="100">
        <v>2120000</v>
      </c>
      <c r="E9" s="100">
        <v>2247200</v>
      </c>
      <c r="F9" s="100">
        <v>2382032</v>
      </c>
      <c r="G9" s="100">
        <f t="shared" ref="G9:J9" si="2">G$3*G34</f>
        <v>2095608.8356881135</v>
      </c>
      <c r="H9" s="100">
        <f t="shared" si="2"/>
        <v>2374586.2405950744</v>
      </c>
      <c r="I9" s="100">
        <f t="shared" si="2"/>
        <v>2042236.5889115685</v>
      </c>
      <c r="J9" s="100">
        <f t="shared" si="2"/>
        <v>2170578.3932190607</v>
      </c>
    </row>
    <row r="10" spans="1:10" s="102" customFormat="1" x14ac:dyDescent="0.25">
      <c r="A10" s="103">
        <v>5135</v>
      </c>
      <c r="B10" s="101" t="s">
        <v>9</v>
      </c>
      <c r="C10" s="100">
        <v>2300000</v>
      </c>
      <c r="D10" s="100">
        <v>2438000</v>
      </c>
      <c r="E10" s="100">
        <v>2584280</v>
      </c>
      <c r="F10" s="100">
        <v>2739336.8000000003</v>
      </c>
      <c r="G10" s="100">
        <f t="shared" ref="G10:J10" si="3">G$3*G35</f>
        <v>2409950.1610413305</v>
      </c>
      <c r="H10" s="100">
        <f t="shared" si="3"/>
        <v>2730774.1766843358</v>
      </c>
      <c r="I10" s="100">
        <f t="shared" si="3"/>
        <v>2348572.0772483037</v>
      </c>
      <c r="J10" s="100">
        <f t="shared" si="3"/>
        <v>2496165.1522019203</v>
      </c>
    </row>
    <row r="11" spans="1:10" s="111" customFormat="1" x14ac:dyDescent="0.25">
      <c r="A11" s="108">
        <v>5140</v>
      </c>
      <c r="B11" s="109" t="s">
        <v>10</v>
      </c>
      <c r="C11" s="110">
        <v>400000</v>
      </c>
      <c r="D11" s="110">
        <v>424000</v>
      </c>
      <c r="E11" s="110">
        <v>449440</v>
      </c>
      <c r="F11" s="110">
        <v>476406.4</v>
      </c>
      <c r="G11" s="106">
        <f>(F11*(1+$C$52))</f>
        <v>487840.15360000002</v>
      </c>
      <c r="H11" s="106">
        <f>(G11*(1+$D$52))</f>
        <v>502475.35820800002</v>
      </c>
      <c r="I11" s="106">
        <f>(H11*(1+$E$52))</f>
        <v>523579.32325273607</v>
      </c>
      <c r="J11" s="106">
        <f>(I11*(1+$F$52))</f>
        <v>547140.3927991091</v>
      </c>
    </row>
    <row r="12" spans="1:10" s="111" customFormat="1" x14ac:dyDescent="0.25">
      <c r="A12" s="108">
        <v>5145</v>
      </c>
      <c r="B12" s="109" t="s">
        <v>11</v>
      </c>
      <c r="C12" s="110">
        <v>700000</v>
      </c>
      <c r="D12" s="110">
        <v>742000</v>
      </c>
      <c r="E12" s="110">
        <v>786520</v>
      </c>
      <c r="F12" s="110">
        <v>833711.20000000007</v>
      </c>
      <c r="G12" s="106">
        <f>(F12*(1+$C$52))</f>
        <v>853720.26880000008</v>
      </c>
      <c r="H12" s="106">
        <f>(G12*(1+$D$52))</f>
        <v>879331.87686400011</v>
      </c>
      <c r="I12" s="106">
        <f>(H12*(1+$E$52))</f>
        <v>916263.8156922881</v>
      </c>
      <c r="J12" s="106">
        <f>(I12*(1+$F$52))</f>
        <v>957495.68739844102</v>
      </c>
    </row>
    <row r="13" spans="1:10" s="111" customFormat="1" x14ac:dyDescent="0.25">
      <c r="A13" s="108">
        <v>5150</v>
      </c>
      <c r="B13" s="109" t="s">
        <v>12</v>
      </c>
      <c r="C13" s="110">
        <v>0</v>
      </c>
      <c r="D13" s="110">
        <v>800000</v>
      </c>
      <c r="E13" s="110">
        <v>880000.00000000012</v>
      </c>
      <c r="F13" s="110">
        <v>968000.00000000023</v>
      </c>
      <c r="G13" s="106">
        <f>(F13*(1+$C$52))</f>
        <v>991232.00000000023</v>
      </c>
      <c r="H13" s="106">
        <f>(G13*(1+$D$52))</f>
        <v>1020968.9600000003</v>
      </c>
      <c r="I13" s="106">
        <f>(H13*(1+$E$52))</f>
        <v>1063849.6563200003</v>
      </c>
      <c r="J13" s="106">
        <f>(I13*(1+$F$52))</f>
        <v>1111722.8908544003</v>
      </c>
    </row>
    <row r="14" spans="1:10" s="102" customFormat="1" x14ac:dyDescent="0.25">
      <c r="A14" s="103">
        <v>5155</v>
      </c>
      <c r="B14" s="101" t="s">
        <v>13</v>
      </c>
      <c r="C14" s="100">
        <v>2000000</v>
      </c>
      <c r="D14" s="100">
        <v>2200000</v>
      </c>
      <c r="E14" s="100">
        <v>2420000</v>
      </c>
      <c r="F14" s="100">
        <v>2662000</v>
      </c>
      <c r="G14" s="100">
        <f t="shared" ref="G14:J14" si="4">G$3*G39</f>
        <v>2298318.1929447469</v>
      </c>
      <c r="H14" s="100">
        <f t="shared" si="4"/>
        <v>2628682.4920757846</v>
      </c>
      <c r="I14" s="100">
        <f t="shared" si="4"/>
        <v>2250213.3834450161</v>
      </c>
      <c r="J14" s="100">
        <f t="shared" si="4"/>
        <v>2397217.9987581386</v>
      </c>
    </row>
    <row r="15" spans="1:10" s="115" customFormat="1" x14ac:dyDescent="0.25">
      <c r="A15" s="112">
        <v>5160</v>
      </c>
      <c r="B15" s="113" t="s">
        <v>14</v>
      </c>
      <c r="C15" s="114">
        <v>489090</v>
      </c>
      <c r="D15" s="114">
        <v>537999</v>
      </c>
      <c r="E15" s="114">
        <v>591798.9</v>
      </c>
      <c r="F15" s="114">
        <v>650978.79</v>
      </c>
      <c r="G15" s="106">
        <f>-'CAPEX y Financiacion'!F43</f>
        <v>6961723.3720238116</v>
      </c>
      <c r="H15" s="106">
        <f>-'CAPEX y Financiacion'!G43</f>
        <v>12391485.276785716</v>
      </c>
      <c r="I15" s="106">
        <f>-'CAPEX y Financiacion'!H43</f>
        <v>12991485.276785713</v>
      </c>
      <c r="J15" s="106">
        <f>-'CAPEX y Financiacion'!I43</f>
        <v>12991485.276785716</v>
      </c>
    </row>
    <row r="16" spans="1:10" s="115" customFormat="1" x14ac:dyDescent="0.25">
      <c r="A16" s="112">
        <v>5199</v>
      </c>
      <c r="B16" s="113" t="s">
        <v>15</v>
      </c>
      <c r="C16" s="116">
        <v>2500000</v>
      </c>
      <c r="D16" s="114">
        <v>2750000</v>
      </c>
      <c r="E16" s="114">
        <v>3025000.0000000005</v>
      </c>
      <c r="F16" s="114">
        <v>3327500.0000000009</v>
      </c>
      <c r="G16" s="106">
        <f>(F16*(1+$C$52))</f>
        <v>3407360.0000000009</v>
      </c>
      <c r="H16" s="106">
        <f>(G16*(1+$D$52))</f>
        <v>3509580.8000000012</v>
      </c>
      <c r="I16" s="106">
        <f>(H16*(1+$E$52))</f>
        <v>3656983.1936000013</v>
      </c>
      <c r="J16" s="106">
        <f>(I16*(1+$F$52))</f>
        <v>3821547.4373120009</v>
      </c>
    </row>
    <row r="17" spans="1:10" s="102" customFormat="1" x14ac:dyDescent="0.25">
      <c r="A17" s="102">
        <v>5210</v>
      </c>
      <c r="B17" s="102" t="s">
        <v>16</v>
      </c>
      <c r="C17" s="117">
        <v>2000000</v>
      </c>
      <c r="D17" s="100">
        <v>2060000</v>
      </c>
      <c r="E17" s="100">
        <v>2121800</v>
      </c>
      <c r="F17" s="100">
        <v>2185454</v>
      </c>
      <c r="G17" s="100">
        <f t="shared" ref="G17:J17" si="5">G$3*G42</f>
        <v>1951334.9207749311</v>
      </c>
      <c r="H17" s="100">
        <f t="shared" si="5"/>
        <v>2195060.0506022731</v>
      </c>
      <c r="I17" s="100">
        <f t="shared" si="5"/>
        <v>1894778.4360199296</v>
      </c>
      <c r="J17" s="100">
        <f t="shared" si="5"/>
        <v>2010175.7089956063</v>
      </c>
    </row>
    <row r="18" spans="1:10" s="115" customFormat="1" x14ac:dyDescent="0.25">
      <c r="A18" s="112">
        <v>5220</v>
      </c>
      <c r="B18" s="113" t="s">
        <v>6</v>
      </c>
      <c r="C18" s="116">
        <v>6000000</v>
      </c>
      <c r="D18" s="114">
        <v>6600000.0000000009</v>
      </c>
      <c r="E18" s="114">
        <v>7260000.0000000019</v>
      </c>
      <c r="F18" s="114">
        <v>7986000.0000000028</v>
      </c>
      <c r="G18" s="106">
        <f>(F18*(1+$C$52))</f>
        <v>8177664.0000000028</v>
      </c>
      <c r="H18" s="106">
        <f>(G18*(1+$D$52))</f>
        <v>8422993.9200000037</v>
      </c>
      <c r="I18" s="106">
        <f>(H18*(1+$E$52))</f>
        <v>8776759.6646400038</v>
      </c>
      <c r="J18" s="106">
        <f>(I18*(1+$F$52))</f>
        <v>9171713.8495488036</v>
      </c>
    </row>
    <row r="19" spans="1:10" s="115" customFormat="1" x14ac:dyDescent="0.25">
      <c r="A19" s="112">
        <v>5240</v>
      </c>
      <c r="B19" s="113" t="s">
        <v>10</v>
      </c>
      <c r="C19" s="116">
        <v>800000</v>
      </c>
      <c r="D19" s="114">
        <v>824000</v>
      </c>
      <c r="E19" s="114">
        <v>848720</v>
      </c>
      <c r="F19" s="114">
        <v>874181.6</v>
      </c>
      <c r="G19" s="106">
        <f>(F19*(1+$C$52))</f>
        <v>895161.9584</v>
      </c>
      <c r="H19" s="106">
        <f>(G19*(1+$D$52))</f>
        <v>922016.81715200003</v>
      </c>
      <c r="I19" s="106">
        <f>(H19*(1+$E$52))</f>
        <v>960741.52347238408</v>
      </c>
      <c r="J19" s="106">
        <f>(I19*(1+$F$52))</f>
        <v>1003974.8920286413</v>
      </c>
    </row>
    <row r="20" spans="1:10" s="115" customFormat="1" x14ac:dyDescent="0.25">
      <c r="A20" s="112">
        <v>5245</v>
      </c>
      <c r="B20" s="113" t="s">
        <v>11</v>
      </c>
      <c r="C20" s="116">
        <v>2500000</v>
      </c>
      <c r="D20" s="114">
        <v>2600000</v>
      </c>
      <c r="E20" s="114">
        <v>2704000</v>
      </c>
      <c r="F20" s="114">
        <v>2812160</v>
      </c>
      <c r="G20" s="106">
        <f>(F20*(1+$C$52))</f>
        <v>2879651.8399999999</v>
      </c>
      <c r="H20" s="106">
        <f>(G20*(1+$D$52))</f>
        <v>2966041.3952000001</v>
      </c>
      <c r="I20" s="106">
        <f>(H20*(1+$E$52))</f>
        <v>3090615.1337984004</v>
      </c>
      <c r="J20" s="106">
        <f>(I20*(1+$F$52))</f>
        <v>3229692.814819328</v>
      </c>
    </row>
    <row r="21" spans="1:10" s="102" customFormat="1" x14ac:dyDescent="0.25">
      <c r="A21" s="103">
        <v>5405</v>
      </c>
      <c r="B21" s="101" t="s">
        <v>17</v>
      </c>
      <c r="C21" s="100">
        <v>5926116.8600000003</v>
      </c>
      <c r="D21" s="100">
        <v>6365403.0420000013</v>
      </c>
      <c r="E21" s="100">
        <v>261318.18900000185</v>
      </c>
      <c r="F21" s="100">
        <v>4467005.5460999962</v>
      </c>
      <c r="G21" s="100">
        <f t="shared" ref="G21:J21" si="6">G$3*G46</f>
        <v>2042886.0563648143</v>
      </c>
      <c r="H21" s="100">
        <f t="shared" si="6"/>
        <v>3371058.465659298</v>
      </c>
      <c r="I21" s="100">
        <f t="shared" si="6"/>
        <v>2442328.3787249527</v>
      </c>
      <c r="J21" s="100">
        <f t="shared" si="6"/>
        <v>2837897.6481199088</v>
      </c>
    </row>
    <row r="22" spans="1:10" s="102" customFormat="1" x14ac:dyDescent="0.25">
      <c r="A22" s="103"/>
      <c r="B22" s="101" t="s">
        <v>83</v>
      </c>
      <c r="C22" s="100"/>
      <c r="D22" s="100"/>
      <c r="E22" s="100"/>
      <c r="F22" s="100"/>
      <c r="G22" s="100">
        <f>'CAPEX y Financiacion'!C66</f>
        <v>0</v>
      </c>
      <c r="H22" s="100">
        <f>'CAPEX y Financiacion'!D66</f>
        <v>0</v>
      </c>
      <c r="I22" s="100">
        <f>'CAPEX y Financiacion'!E66</f>
        <v>0</v>
      </c>
      <c r="J22" s="100">
        <f>'CAPEX y Financiacion'!F66</f>
        <v>0</v>
      </c>
    </row>
    <row r="23" spans="1:10" x14ac:dyDescent="0.25">
      <c r="A23" s="83" t="s">
        <v>18</v>
      </c>
      <c r="B23" s="83"/>
      <c r="C23" s="4">
        <v>18190389.140000001</v>
      </c>
      <c r="D23" s="4">
        <v>26516099.807999998</v>
      </c>
      <c r="E23" s="4">
        <v>10765798.811000004</v>
      </c>
      <c r="F23" s="4">
        <v>10351614.123900011</v>
      </c>
      <c r="G23" s="4">
        <f>G3-SUM(G4:G22)</f>
        <v>-331856.70709197223</v>
      </c>
      <c r="H23" s="4">
        <f t="shared" ref="H23:J23" si="7">H3-SUM(H4:H22)</f>
        <v>-2594358.5914678425</v>
      </c>
      <c r="I23" s="4">
        <f t="shared" si="7"/>
        <v>-8951416.0189990699</v>
      </c>
      <c r="J23" s="4">
        <f t="shared" si="7"/>
        <v>-8280584.6902490109</v>
      </c>
    </row>
    <row r="25" spans="1:10" x14ac:dyDescent="0.25">
      <c r="C25" s="84"/>
    </row>
    <row r="27" spans="1:10" x14ac:dyDescent="0.25">
      <c r="A27" s="1" t="s">
        <v>0</v>
      </c>
      <c r="B27" s="1" t="s">
        <v>1</v>
      </c>
      <c r="C27" s="1">
        <v>1</v>
      </c>
      <c r="D27" s="1">
        <v>2</v>
      </c>
      <c r="E27" s="1">
        <v>3</v>
      </c>
      <c r="F27" s="1">
        <v>4</v>
      </c>
      <c r="G27" s="2">
        <v>5</v>
      </c>
      <c r="H27" s="2">
        <v>6</v>
      </c>
      <c r="I27" s="2">
        <v>7</v>
      </c>
      <c r="J27" s="2">
        <v>8</v>
      </c>
    </row>
    <row r="28" spans="1:10" x14ac:dyDescent="0.25">
      <c r="A28" s="83">
        <v>4105</v>
      </c>
      <c r="B28" s="83" t="s">
        <v>2</v>
      </c>
      <c r="C28" s="4"/>
      <c r="D28" s="4"/>
      <c r="E28" s="4"/>
      <c r="F28" s="4"/>
      <c r="G28" s="4"/>
      <c r="H28" s="5"/>
      <c r="I28" s="5"/>
      <c r="J28" s="5"/>
    </row>
    <row r="29" spans="1:10" x14ac:dyDescent="0.25">
      <c r="A29" s="101">
        <v>6105</v>
      </c>
      <c r="B29" s="101" t="s">
        <v>3</v>
      </c>
      <c r="C29" s="118">
        <f t="array" ref="C29:F46">C4:F21/C3:F3</f>
        <v>0.5</v>
      </c>
      <c r="D29" s="118">
        <v>0.45</v>
      </c>
      <c r="E29" s="118">
        <v>0.45</v>
      </c>
      <c r="F29" s="118">
        <v>0.44</v>
      </c>
      <c r="G29" s="118">
        <f>AVERAGE(E29:F29)</f>
        <v>0.44500000000000001</v>
      </c>
      <c r="H29" s="118">
        <f t="shared" ref="H29:J29" si="8">AVERAGE(F29:G29)</f>
        <v>0.4425</v>
      </c>
      <c r="I29" s="118">
        <f t="shared" si="8"/>
        <v>0.44374999999999998</v>
      </c>
      <c r="J29" s="118">
        <f t="shared" si="8"/>
        <v>0.44312499999999999</v>
      </c>
    </row>
    <row r="30" spans="1:10" x14ac:dyDescent="0.25">
      <c r="A30" s="103">
        <v>5105</v>
      </c>
      <c r="B30" s="101" t="s">
        <v>4</v>
      </c>
      <c r="C30" s="118">
        <v>0.06</v>
      </c>
      <c r="D30" s="118">
        <v>0.06</v>
      </c>
      <c r="E30" s="118">
        <v>0.06</v>
      </c>
      <c r="F30" s="118">
        <v>0.06</v>
      </c>
      <c r="G30" s="118">
        <f t="shared" ref="G30:J30" si="9">AVERAGE(E30:F30)</f>
        <v>0.06</v>
      </c>
      <c r="H30" s="118">
        <f t="shared" si="9"/>
        <v>0.06</v>
      </c>
      <c r="I30" s="118">
        <f t="shared" si="9"/>
        <v>0.06</v>
      </c>
      <c r="J30" s="118">
        <f t="shared" si="9"/>
        <v>0.06</v>
      </c>
    </row>
    <row r="31" spans="1:10" x14ac:dyDescent="0.25">
      <c r="A31" s="103">
        <v>5115</v>
      </c>
      <c r="B31" s="101" t="s">
        <v>5</v>
      </c>
      <c r="C31" s="118">
        <v>0.04</v>
      </c>
      <c r="D31" s="118">
        <v>0.04</v>
      </c>
      <c r="E31" s="118">
        <v>0.04</v>
      </c>
      <c r="F31" s="118">
        <v>0.04</v>
      </c>
      <c r="G31" s="118">
        <f t="shared" ref="G31:J31" si="10">AVERAGE(E31:F31)</f>
        <v>0.04</v>
      </c>
      <c r="H31" s="118">
        <f t="shared" si="10"/>
        <v>0.04</v>
      </c>
      <c r="I31" s="118">
        <f t="shared" si="10"/>
        <v>0.04</v>
      </c>
      <c r="J31" s="118">
        <f t="shared" si="10"/>
        <v>0.04</v>
      </c>
    </row>
    <row r="32" spans="1:10" x14ac:dyDescent="0.25">
      <c r="A32" s="104">
        <v>5120</v>
      </c>
      <c r="B32" s="105" t="s">
        <v>6</v>
      </c>
      <c r="C32" s="119">
        <v>3.6828617072907181E-2</v>
      </c>
      <c r="D32" s="119">
        <v>3.6143207927790341E-2</v>
      </c>
      <c r="E32" s="119">
        <v>5.4371862621098131E-2</v>
      </c>
      <c r="F32" s="119">
        <v>5.1842088317169306E-2</v>
      </c>
      <c r="G32" s="106"/>
      <c r="H32" s="106"/>
      <c r="I32" s="106"/>
      <c r="J32" s="106"/>
    </row>
    <row r="33" spans="1:10" x14ac:dyDescent="0.25">
      <c r="A33" s="103">
        <v>5125</v>
      </c>
      <c r="B33" s="101" t="s">
        <v>7</v>
      </c>
      <c r="C33" s="118">
        <v>2.5780031951035027E-2</v>
      </c>
      <c r="D33" s="118">
        <v>2.5300245549453242E-2</v>
      </c>
      <c r="E33" s="118">
        <v>3.8060303834768688E-2</v>
      </c>
      <c r="F33" s="118">
        <v>3.6289461822018518E-2</v>
      </c>
      <c r="G33" s="118">
        <f>AVERAGE(E33:F33)</f>
        <v>3.7174882828393603E-2</v>
      </c>
      <c r="H33" s="118">
        <f t="shared" ref="H33:H35" si="11">AVERAGE(F33:G33)</f>
        <v>3.6732172325206064E-2</v>
      </c>
      <c r="I33" s="118">
        <f t="shared" ref="I33:I35" si="12">AVERAGE(G33:H33)</f>
        <v>3.695352757679983E-2</v>
      </c>
      <c r="J33" s="118">
        <f t="shared" ref="J33:J35" si="13">AVERAGE(H33:I33)</f>
        <v>3.6842849951002947E-2</v>
      </c>
    </row>
    <row r="34" spans="1:10" x14ac:dyDescent="0.25">
      <c r="A34" s="103">
        <v>5130</v>
      </c>
      <c r="B34" s="101" t="s">
        <v>8</v>
      </c>
      <c r="C34" s="118">
        <v>1.4731446829162873E-2</v>
      </c>
      <c r="D34" s="118">
        <v>1.4457283171116138E-2</v>
      </c>
      <c r="E34" s="118">
        <v>2.1748745048439252E-2</v>
      </c>
      <c r="F34" s="118">
        <v>2.0736835326867722E-2</v>
      </c>
      <c r="G34" s="118">
        <f t="shared" ref="G34:G35" si="14">AVERAGE(E34:F34)</f>
        <v>2.1242790187653487E-2</v>
      </c>
      <c r="H34" s="118">
        <f t="shared" si="11"/>
        <v>2.0989812757260605E-2</v>
      </c>
      <c r="I34" s="118">
        <f t="shared" si="12"/>
        <v>2.1116301472457046E-2</v>
      </c>
      <c r="J34" s="118">
        <f t="shared" si="13"/>
        <v>2.1053057114858824E-2</v>
      </c>
    </row>
    <row r="35" spans="1:10" x14ac:dyDescent="0.25">
      <c r="A35" s="103">
        <v>5135</v>
      </c>
      <c r="B35" s="101" t="s">
        <v>9</v>
      </c>
      <c r="C35" s="118">
        <v>1.6941163853537305E-2</v>
      </c>
      <c r="D35" s="118">
        <v>1.6625875646783559E-2</v>
      </c>
      <c r="E35" s="118">
        <v>2.5011056805705138E-2</v>
      </c>
      <c r="F35" s="118">
        <v>2.3847360625897884E-2</v>
      </c>
      <c r="G35" s="118">
        <f t="shared" si="14"/>
        <v>2.4429208715801509E-2</v>
      </c>
      <c r="H35" s="118">
        <f t="shared" si="11"/>
        <v>2.4138284670849698E-2</v>
      </c>
      <c r="I35" s="118">
        <f t="shared" si="12"/>
        <v>2.4283746693325604E-2</v>
      </c>
      <c r="J35" s="118">
        <f t="shared" si="13"/>
        <v>2.4211015682087653E-2</v>
      </c>
    </row>
    <row r="36" spans="1:10" x14ac:dyDescent="0.25">
      <c r="A36" s="108">
        <v>5140</v>
      </c>
      <c r="B36" s="109" t="s">
        <v>10</v>
      </c>
      <c r="C36" s="120">
        <v>2.9462893658325747E-3</v>
      </c>
      <c r="D36" s="120">
        <v>2.8914566342232275E-3</v>
      </c>
      <c r="E36" s="120">
        <v>4.3497490096878503E-3</v>
      </c>
      <c r="F36" s="120">
        <v>4.147367065373545E-3</v>
      </c>
      <c r="G36" s="110"/>
      <c r="H36" s="110"/>
      <c r="I36" s="110"/>
      <c r="J36" s="110"/>
    </row>
    <row r="37" spans="1:10" x14ac:dyDescent="0.25">
      <c r="A37" s="108">
        <v>5145</v>
      </c>
      <c r="B37" s="109" t="s">
        <v>11</v>
      </c>
      <c r="C37" s="120">
        <v>5.1560063902070059E-3</v>
      </c>
      <c r="D37" s="120">
        <v>5.0600491098906483E-3</v>
      </c>
      <c r="E37" s="120">
        <v>7.6120607669537379E-3</v>
      </c>
      <c r="F37" s="120">
        <v>7.2578923644037036E-3</v>
      </c>
      <c r="G37" s="110"/>
      <c r="H37" s="110"/>
      <c r="I37" s="110"/>
      <c r="J37" s="110"/>
    </row>
    <row r="38" spans="1:10" x14ac:dyDescent="0.25">
      <c r="A38" s="108">
        <v>5150</v>
      </c>
      <c r="B38" s="109" t="s">
        <v>12</v>
      </c>
      <c r="C38" s="120">
        <v>0</v>
      </c>
      <c r="D38" s="120">
        <v>5.4555785551381655E-3</v>
      </c>
      <c r="E38" s="120">
        <v>8.5167744938708361E-3</v>
      </c>
      <c r="F38" s="120">
        <v>8.4269466557997386E-3</v>
      </c>
      <c r="G38" s="110"/>
      <c r="H38" s="110"/>
      <c r="I38" s="110"/>
      <c r="J38" s="110"/>
    </row>
    <row r="39" spans="1:10" x14ac:dyDescent="0.25">
      <c r="A39" s="103">
        <v>5155</v>
      </c>
      <c r="B39" s="101" t="s">
        <v>13</v>
      </c>
      <c r="C39" s="118">
        <v>1.4731446829162873E-2</v>
      </c>
      <c r="D39" s="118">
        <v>1.5002841026629955E-2</v>
      </c>
      <c r="E39" s="118">
        <v>2.3421129858144797E-2</v>
      </c>
      <c r="F39" s="118">
        <v>2.3174103303449274E-2</v>
      </c>
      <c r="G39" s="118">
        <f t="shared" ref="G39" si="15">AVERAGE(E39:F39)</f>
        <v>2.3297616580797036E-2</v>
      </c>
      <c r="H39" s="118">
        <f t="shared" ref="H39" si="16">AVERAGE(F39:G39)</f>
        <v>2.3235859942123155E-2</v>
      </c>
      <c r="I39" s="118">
        <f t="shared" ref="I39" si="17">AVERAGE(G39:H39)</f>
        <v>2.3266738261460095E-2</v>
      </c>
      <c r="J39" s="118">
        <f t="shared" ref="J39" si="18">AVERAGE(H39:I39)</f>
        <v>2.3251299101791627E-2</v>
      </c>
    </row>
    <row r="40" spans="1:10" x14ac:dyDescent="0.25">
      <c r="A40" s="112">
        <v>5160</v>
      </c>
      <c r="B40" s="113" t="s">
        <v>14</v>
      </c>
      <c r="C40" s="121">
        <v>3.6025016648376347E-3</v>
      </c>
      <c r="D40" s="121">
        <v>3.6688697588572222E-3</v>
      </c>
      <c r="E40" s="121">
        <v>5.7275202011600199E-3</v>
      </c>
      <c r="F40" s="121">
        <v>5.6671110923420028E-3</v>
      </c>
      <c r="G40" s="114"/>
      <c r="H40" s="114"/>
      <c r="I40" s="114"/>
      <c r="J40" s="114"/>
    </row>
    <row r="41" spans="1:10" x14ac:dyDescent="0.25">
      <c r="A41" s="112">
        <v>5199</v>
      </c>
      <c r="B41" s="113" t="s">
        <v>15</v>
      </c>
      <c r="C41" s="122">
        <v>1.8414308536453591E-2</v>
      </c>
      <c r="D41" s="121">
        <v>1.8753551283287442E-2</v>
      </c>
      <c r="E41" s="121">
        <v>2.9276412322681002E-2</v>
      </c>
      <c r="F41" s="121">
        <v>2.8967629129311601E-2</v>
      </c>
      <c r="G41" s="114"/>
      <c r="H41" s="114"/>
      <c r="I41" s="114"/>
      <c r="J41" s="114"/>
    </row>
    <row r="42" spans="1:10" x14ac:dyDescent="0.25">
      <c r="A42" s="102">
        <v>5210</v>
      </c>
      <c r="B42" s="102" t="s">
        <v>16</v>
      </c>
      <c r="C42" s="123">
        <v>1.4731446829162873E-2</v>
      </c>
      <c r="D42" s="118">
        <v>1.4048114779480775E-2</v>
      </c>
      <c r="E42" s="118">
        <v>2.0535104683062657E-2</v>
      </c>
      <c r="F42" s="118">
        <v>1.9025520947008427E-2</v>
      </c>
      <c r="G42" s="118">
        <f t="shared" ref="G42" si="19">AVERAGE(E42:F42)</f>
        <v>1.978031281503554E-2</v>
      </c>
      <c r="H42" s="118">
        <f t="shared" ref="H42" si="20">AVERAGE(F42:G42)</f>
        <v>1.9402916881021984E-2</v>
      </c>
      <c r="I42" s="118">
        <f t="shared" ref="I42" si="21">AVERAGE(G42:H42)</f>
        <v>1.9591614848028762E-2</v>
      </c>
      <c r="J42" s="118">
        <f t="shared" ref="J42" si="22">AVERAGE(H42:I42)</f>
        <v>1.9497265864525375E-2</v>
      </c>
    </row>
    <row r="43" spans="1:10" x14ac:dyDescent="0.25">
      <c r="A43" s="112">
        <v>5220</v>
      </c>
      <c r="B43" s="113" t="s">
        <v>6</v>
      </c>
      <c r="C43" s="122">
        <v>4.4194340487488618E-2</v>
      </c>
      <c r="D43" s="121">
        <v>4.5008523079889867E-2</v>
      </c>
      <c r="E43" s="121">
        <v>7.0263389574434412E-2</v>
      </c>
      <c r="F43" s="121">
        <v>6.9522309910347843E-2</v>
      </c>
      <c r="G43" s="114"/>
      <c r="H43" s="114"/>
      <c r="I43" s="114"/>
      <c r="J43" s="114"/>
    </row>
    <row r="44" spans="1:10" x14ac:dyDescent="0.25">
      <c r="A44" s="112">
        <v>5240</v>
      </c>
      <c r="B44" s="113" t="s">
        <v>10</v>
      </c>
      <c r="C44" s="122">
        <v>5.8925787316651494E-3</v>
      </c>
      <c r="D44" s="121">
        <v>5.6192459117923102E-3</v>
      </c>
      <c r="E44" s="121">
        <v>8.2140418732250635E-3</v>
      </c>
      <c r="F44" s="121">
        <v>7.61020837880337E-3</v>
      </c>
      <c r="G44" s="114"/>
      <c r="H44" s="114"/>
      <c r="I44" s="114"/>
      <c r="J44" s="114"/>
    </row>
    <row r="45" spans="1:10" x14ac:dyDescent="0.25">
      <c r="A45" s="112">
        <v>5245</v>
      </c>
      <c r="B45" s="113" t="s">
        <v>11</v>
      </c>
      <c r="C45" s="122">
        <v>1.8414308536453591E-2</v>
      </c>
      <c r="D45" s="121">
        <v>1.7730630304199038E-2</v>
      </c>
      <c r="E45" s="121">
        <v>2.616972526298493E-2</v>
      </c>
      <c r="F45" s="121">
        <v>2.4481324697906804E-2</v>
      </c>
      <c r="G45" s="114"/>
      <c r="H45" s="114"/>
      <c r="I45" s="114"/>
      <c r="J45" s="114"/>
    </row>
    <row r="46" spans="1:10" x14ac:dyDescent="0.25">
      <c r="A46" s="103">
        <v>5405</v>
      </c>
      <c r="B46" s="101" t="s">
        <v>17</v>
      </c>
      <c r="C46" s="118">
        <v>4.365013771324782E-2</v>
      </c>
      <c r="D46" s="118">
        <v>4.3408695413433063E-2</v>
      </c>
      <c r="E46" s="118">
        <v>2.529077371431516E-3</v>
      </c>
      <c r="F46" s="118">
        <v>3.888762133072958E-2</v>
      </c>
      <c r="G46" s="118">
        <f t="shared" ref="G46" si="23">AVERAGE(E46:F46)</f>
        <v>2.0708349351080547E-2</v>
      </c>
      <c r="H46" s="118">
        <f t="shared" ref="H46" si="24">AVERAGE(F46:G46)</f>
        <v>2.9797985340905064E-2</v>
      </c>
      <c r="I46" s="118">
        <f t="shared" ref="I46" si="25">AVERAGE(G46:H46)</f>
        <v>2.5253167345992804E-2</v>
      </c>
      <c r="J46" s="118">
        <f t="shared" ref="J46" si="26">AVERAGE(H46:I46)</f>
        <v>2.7525576343448932E-2</v>
      </c>
    </row>
    <row r="47" spans="1:10" x14ac:dyDescent="0.25">
      <c r="G47" s="4"/>
      <c r="H47" s="4"/>
      <c r="I47" s="4"/>
      <c r="J47" s="4"/>
    </row>
    <row r="51" spans="2:10" x14ac:dyDescent="0.25">
      <c r="C51" s="6">
        <v>2021</v>
      </c>
      <c r="D51" s="6">
        <v>2022</v>
      </c>
      <c r="E51" s="6">
        <v>2023</v>
      </c>
      <c r="F51" s="6">
        <v>2024</v>
      </c>
    </row>
    <row r="52" spans="2:10" s="124" customFormat="1" x14ac:dyDescent="0.25">
      <c r="B52" s="124" t="s">
        <v>80</v>
      </c>
      <c r="C52" s="85">
        <v>2.4E-2</v>
      </c>
      <c r="D52" s="85">
        <v>0.03</v>
      </c>
      <c r="E52" s="85">
        <v>4.2000000000000003E-2</v>
      </c>
      <c r="F52" s="85">
        <v>4.4999999999999998E-2</v>
      </c>
      <c r="G52" s="125"/>
      <c r="H52" s="125"/>
      <c r="I52" s="125"/>
      <c r="J52" s="1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C1CE-3E29-8B47-90C0-3551D0BA16BC}">
  <dimension ref="B1:F52"/>
  <sheetViews>
    <sheetView topLeftCell="A47" zoomScale="247" workbookViewId="0">
      <selection activeCell="D50" sqref="D50"/>
    </sheetView>
  </sheetViews>
  <sheetFormatPr baseColWidth="10" defaultRowHeight="15" x14ac:dyDescent="0.25"/>
  <cols>
    <col min="3" max="4" width="13.7109375" bestFit="1" customWidth="1"/>
    <col min="5" max="6" width="12.140625" bestFit="1" customWidth="1"/>
  </cols>
  <sheetData>
    <row r="1" spans="2:6" x14ac:dyDescent="0.25">
      <c r="B1" s="145" t="s">
        <v>72</v>
      </c>
      <c r="C1" s="145"/>
      <c r="D1" s="145"/>
    </row>
    <row r="2" spans="2:6" x14ac:dyDescent="0.25">
      <c r="B2" t="s">
        <v>74</v>
      </c>
      <c r="C2" t="s">
        <v>73</v>
      </c>
    </row>
    <row r="3" spans="2:6" x14ac:dyDescent="0.25">
      <c r="B3">
        <v>1</v>
      </c>
      <c r="C3" s="6">
        <v>182815672</v>
      </c>
    </row>
    <row r="4" spans="2:6" x14ac:dyDescent="0.25">
      <c r="B4">
        <v>2</v>
      </c>
      <c r="C4" s="6">
        <v>123066911</v>
      </c>
      <c r="D4" s="84">
        <f>(C4/C3)-1</f>
        <v>-0.32682515862206829</v>
      </c>
    </row>
    <row r="5" spans="2:6" x14ac:dyDescent="0.25">
      <c r="B5">
        <v>3</v>
      </c>
      <c r="C5" s="6">
        <v>171232603</v>
      </c>
      <c r="D5" s="84">
        <f>(C5/C4)-1</f>
        <v>0.39137808537341123</v>
      </c>
    </row>
    <row r="6" spans="2:6" x14ac:dyDescent="0.25">
      <c r="B6">
        <v>4</v>
      </c>
      <c r="C6" s="6">
        <v>171831114</v>
      </c>
      <c r="D6" s="85">
        <f>(C6/C5)-1</f>
        <v>3.4953098271828242E-3</v>
      </c>
    </row>
    <row r="7" spans="2:6" x14ac:dyDescent="0.25">
      <c r="B7">
        <v>5</v>
      </c>
      <c r="C7" s="6">
        <v>166637020</v>
      </c>
      <c r="D7" s="85">
        <f>(C7/C6)-1</f>
        <v>-3.0227901566185489E-2</v>
      </c>
    </row>
    <row r="8" spans="2:6" x14ac:dyDescent="0.25">
      <c r="B8">
        <v>6</v>
      </c>
      <c r="C8" s="87">
        <f>(C7*(1+D8))</f>
        <v>186891499.47188896</v>
      </c>
      <c r="D8" s="86">
        <f>AVERAGE(D5:D7)</f>
        <v>0.12154849787813619</v>
      </c>
    </row>
    <row r="10" spans="2:6" x14ac:dyDescent="0.25">
      <c r="B10" s="145" t="s">
        <v>75</v>
      </c>
      <c r="C10" s="145"/>
      <c r="D10" s="145"/>
      <c r="E10" t="s">
        <v>76</v>
      </c>
      <c r="F10">
        <v>0.3</v>
      </c>
    </row>
    <row r="11" spans="2:6" x14ac:dyDescent="0.25">
      <c r="B11" t="s">
        <v>74</v>
      </c>
      <c r="C11" t="s">
        <v>73</v>
      </c>
    </row>
    <row r="12" spans="2:6" x14ac:dyDescent="0.25">
      <c r="B12">
        <v>1</v>
      </c>
      <c r="C12" s="6">
        <v>182815672</v>
      </c>
      <c r="D12" s="87">
        <f>C12</f>
        <v>182815672</v>
      </c>
    </row>
    <row r="13" spans="2:6" x14ac:dyDescent="0.25">
      <c r="B13">
        <v>2</v>
      </c>
      <c r="C13" s="6">
        <v>123066911</v>
      </c>
      <c r="D13" s="6">
        <f>((1-$F$10)*C12)+($F$10*D12)</f>
        <v>182815672</v>
      </c>
    </row>
    <row r="14" spans="2:6" x14ac:dyDescent="0.25">
      <c r="B14">
        <v>3</v>
      </c>
      <c r="C14" s="6">
        <v>171232603</v>
      </c>
      <c r="D14" s="6">
        <f>((1-$F$10)*C13)+($F$10*D13)</f>
        <v>140991539.29999998</v>
      </c>
    </row>
    <row r="15" spans="2:6" x14ac:dyDescent="0.25">
      <c r="B15">
        <v>4</v>
      </c>
      <c r="C15" s="6">
        <v>171831114</v>
      </c>
      <c r="D15" s="6">
        <f>((1-$F$10)*C14)+($F$10*D14)</f>
        <v>162160283.88999999</v>
      </c>
    </row>
    <row r="16" spans="2:6" x14ac:dyDescent="0.25">
      <c r="B16">
        <v>5</v>
      </c>
      <c r="C16" s="6">
        <v>166637020</v>
      </c>
      <c r="D16" s="6">
        <f>((1-$F$10)*C15)+($F$10*D15)</f>
        <v>168929864.96700001</v>
      </c>
    </row>
    <row r="17" spans="2:4" x14ac:dyDescent="0.25">
      <c r="B17">
        <v>6</v>
      </c>
      <c r="D17" s="88">
        <f>((1-$F$10)*C16)+($F$10*D16)</f>
        <v>167324873.4901</v>
      </c>
    </row>
    <row r="22" spans="2:4" x14ac:dyDescent="0.25">
      <c r="B22" t="s">
        <v>74</v>
      </c>
      <c r="C22" t="s">
        <v>73</v>
      </c>
    </row>
    <row r="23" spans="2:4" x14ac:dyDescent="0.25">
      <c r="B23">
        <v>1</v>
      </c>
      <c r="C23" s="6">
        <v>182815672</v>
      </c>
    </row>
    <row r="24" spans="2:4" x14ac:dyDescent="0.25">
      <c r="B24">
        <v>2</v>
      </c>
      <c r="C24" s="6">
        <v>123066911</v>
      </c>
    </row>
    <row r="25" spans="2:4" x14ac:dyDescent="0.25">
      <c r="B25">
        <v>3</v>
      </c>
      <c r="C25" s="6">
        <v>171232603</v>
      </c>
    </row>
    <row r="26" spans="2:4" x14ac:dyDescent="0.25">
      <c r="B26">
        <v>4</v>
      </c>
      <c r="C26" s="6">
        <v>171831114</v>
      </c>
    </row>
    <row r="27" spans="2:4" x14ac:dyDescent="0.25">
      <c r="B27">
        <v>5</v>
      </c>
      <c r="C27" s="6">
        <v>166637020</v>
      </c>
      <c r="D27" s="84">
        <f>((C27/C23)^(1/(B27-B23))-1)</f>
        <v>-2.2898867131976752E-2</v>
      </c>
    </row>
    <row r="28" spans="2:4" x14ac:dyDescent="0.25">
      <c r="B28">
        <v>6</v>
      </c>
      <c r="C28" s="10">
        <f>(C27*(1+D27))</f>
        <v>162821221.01975146</v>
      </c>
    </row>
    <row r="37" spans="2:4" x14ac:dyDescent="0.25">
      <c r="B37" t="s">
        <v>74</v>
      </c>
      <c r="C37" t="s">
        <v>73</v>
      </c>
    </row>
    <row r="38" spans="2:4" x14ac:dyDescent="0.25">
      <c r="B38">
        <v>1</v>
      </c>
      <c r="C38" s="6">
        <v>182815672</v>
      </c>
    </row>
    <row r="39" spans="2:4" x14ac:dyDescent="0.25">
      <c r="B39">
        <v>2</v>
      </c>
      <c r="C39" s="6">
        <v>123066911</v>
      </c>
    </row>
    <row r="40" spans="2:4" x14ac:dyDescent="0.25">
      <c r="B40">
        <v>3</v>
      </c>
      <c r="C40" s="6">
        <v>171232603</v>
      </c>
    </row>
    <row r="41" spans="2:4" x14ac:dyDescent="0.25">
      <c r="B41">
        <v>4</v>
      </c>
      <c r="C41" s="6">
        <v>171831114</v>
      </c>
    </row>
    <row r="42" spans="2:4" x14ac:dyDescent="0.25">
      <c r="B42">
        <v>5</v>
      </c>
      <c r="C42" s="6">
        <v>166637020</v>
      </c>
    </row>
    <row r="43" spans="2:4" x14ac:dyDescent="0.25">
      <c r="B43">
        <v>6</v>
      </c>
      <c r="C43" s="89">
        <f>(1640690*B43)+158194594</f>
        <v>168038734</v>
      </c>
      <c r="D43" s="10">
        <f>_xlfn.FORECAST.LINEAR(B43,C38:C42,B38:B42)</f>
        <v>168038733.70000002</v>
      </c>
    </row>
    <row r="51" spans="2:6" s="90" customFormat="1" ht="30" x14ac:dyDescent="0.25">
      <c r="C51" s="90" t="s">
        <v>72</v>
      </c>
      <c r="D51" s="90" t="str">
        <f>B10</f>
        <v>SUAVIZACIÓN EXPONENCIAL</v>
      </c>
      <c r="E51" s="90" t="s">
        <v>77</v>
      </c>
      <c r="F51" s="90" t="s">
        <v>78</v>
      </c>
    </row>
    <row r="52" spans="2:6" x14ac:dyDescent="0.25">
      <c r="B52" t="s">
        <v>79</v>
      </c>
      <c r="C52" s="10">
        <f>C8</f>
        <v>186891499.47188896</v>
      </c>
      <c r="D52" s="10">
        <f>D17</f>
        <v>167324873.4901</v>
      </c>
      <c r="E52" s="10">
        <f>C28</f>
        <v>162821221.01975146</v>
      </c>
      <c r="F52" s="10">
        <f>C43</f>
        <v>168038734</v>
      </c>
    </row>
  </sheetData>
  <mergeCells count="2">
    <mergeCell ref="B1:D1"/>
    <mergeCell ref="B10:D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9F0C0-455F-D847-B5B2-2F7A4EE4F2FD}">
  <dimension ref="B2:J14"/>
  <sheetViews>
    <sheetView showGridLines="0" zoomScale="163" workbookViewId="0">
      <selection activeCell="H12" sqref="H12"/>
    </sheetView>
  </sheetViews>
  <sheetFormatPr baseColWidth="10" defaultRowHeight="15" x14ac:dyDescent="0.25"/>
  <cols>
    <col min="2" max="2" width="30.140625" bestFit="1" customWidth="1"/>
    <col min="3" max="10" width="12.42578125" bestFit="1" customWidth="1"/>
  </cols>
  <sheetData>
    <row r="2" spans="2:10" s="13" customFormat="1" x14ac:dyDescent="0.25">
      <c r="B2" s="11" t="s">
        <v>1</v>
      </c>
      <c r="C2" s="11">
        <v>1</v>
      </c>
      <c r="D2" s="11">
        <v>2</v>
      </c>
      <c r="E2" s="11">
        <v>3</v>
      </c>
      <c r="F2" s="11">
        <v>4</v>
      </c>
      <c r="G2" s="12">
        <v>5</v>
      </c>
      <c r="H2" s="12">
        <v>6</v>
      </c>
      <c r="I2" s="12">
        <v>7</v>
      </c>
      <c r="J2" s="12">
        <v>8</v>
      </c>
    </row>
    <row r="3" spans="2:10" x14ac:dyDescent="0.25">
      <c r="B3" s="14" t="s">
        <v>30</v>
      </c>
      <c r="C3" s="15">
        <v>398877250</v>
      </c>
      <c r="D3" s="15">
        <v>434000000</v>
      </c>
      <c r="E3" s="15">
        <v>338877250</v>
      </c>
      <c r="F3" s="15">
        <v>338877250</v>
      </c>
      <c r="G3" s="15">
        <f>G6*G9</f>
        <v>291028796.13622278</v>
      </c>
      <c r="H3" s="15">
        <f>H6*H9</f>
        <v>333746472.48827046</v>
      </c>
      <c r="I3" s="15">
        <f>I6*I9</f>
        <v>285315588.67208195</v>
      </c>
      <c r="J3" s="15">
        <f>J6*J9</f>
        <v>304156854.69565994</v>
      </c>
    </row>
    <row r="4" spans="2:10" x14ac:dyDescent="0.25">
      <c r="B4" s="3" t="s">
        <v>31</v>
      </c>
      <c r="C4" s="15">
        <v>74548346</v>
      </c>
      <c r="D4" s="15">
        <v>84548346</v>
      </c>
      <c r="E4" s="15">
        <v>45048346</v>
      </c>
      <c r="F4" s="15">
        <v>63448346</v>
      </c>
      <c r="G4" s="15">
        <f>G7*G11</f>
        <v>55108829.700137898</v>
      </c>
      <c r="H4" s="15">
        <f t="shared" ref="H4:J4" si="0">H7*H11</f>
        <v>62842748.877838545</v>
      </c>
      <c r="I4" s="15">
        <f t="shared" si="0"/>
        <v>53875223.06437251</v>
      </c>
      <c r="J4" s="15">
        <f t="shared" si="0"/>
        <v>57352067.113033108</v>
      </c>
    </row>
    <row r="5" spans="2:10" x14ac:dyDescent="0.25">
      <c r="B5" s="3" t="s">
        <v>32</v>
      </c>
      <c r="C5" s="15">
        <v>134483462</v>
      </c>
      <c r="D5" s="15">
        <v>185483462</v>
      </c>
      <c r="E5" s="15">
        <v>193483462</v>
      </c>
      <c r="F5" s="15">
        <v>194830462</v>
      </c>
      <c r="G5" s="15">
        <f>G7*G13</f>
        <v>169222358.46395725</v>
      </c>
      <c r="H5" s="15">
        <f>H7*H13</f>
        <v>192970858.48730028</v>
      </c>
      <c r="I5" s="15">
        <f>I7*I13</f>
        <v>165434329.84028852</v>
      </c>
      <c r="J5" s="15">
        <f>J7*J13</f>
        <v>176110654.36264083</v>
      </c>
    </row>
    <row r="6" spans="2:10" x14ac:dyDescent="0.25">
      <c r="B6" s="14" t="s">
        <v>33</v>
      </c>
      <c r="C6" s="15">
        <v>135763990</v>
      </c>
      <c r="D6" s="15">
        <v>146638893</v>
      </c>
      <c r="E6" s="15">
        <v>103325502</v>
      </c>
      <c r="F6" s="15">
        <v>114869601</v>
      </c>
      <c r="G6" s="15">
        <f>'Costos y gastos'!G3</f>
        <v>98650357</v>
      </c>
      <c r="H6" s="15">
        <f>'Costos y gastos'!H3</f>
        <v>113130415.60000001</v>
      </c>
      <c r="I6" s="15">
        <f>'Costos y gastos'!I3</f>
        <v>96713744.666666687</v>
      </c>
      <c r="J6" s="15">
        <f>'Costos y gastos'!J3</f>
        <v>103100389.71428573</v>
      </c>
    </row>
    <row r="7" spans="2:10" x14ac:dyDescent="0.25">
      <c r="B7" s="14" t="s">
        <v>34</v>
      </c>
      <c r="C7" s="15">
        <v>67881995</v>
      </c>
      <c r="D7" s="15">
        <v>65987501.850000001</v>
      </c>
      <c r="E7" s="15">
        <v>46496475.899999999</v>
      </c>
      <c r="F7" s="15">
        <v>50542624.439999998</v>
      </c>
      <c r="G7" s="15">
        <f>'Costos y gastos'!G4</f>
        <v>43899408.865000002</v>
      </c>
      <c r="H7" s="15">
        <f>'Costos y gastos'!H4</f>
        <v>50060208.903000005</v>
      </c>
      <c r="I7" s="15">
        <f>'Costos y gastos'!I4</f>
        <v>42916724.19583334</v>
      </c>
      <c r="J7" s="15">
        <f>'Costos y gastos'!J4</f>
        <v>45686360.192142867</v>
      </c>
    </row>
    <row r="8" spans="2:10" x14ac:dyDescent="0.25">
      <c r="B8" s="16"/>
      <c r="C8" s="16"/>
      <c r="D8" s="16"/>
      <c r="E8" s="16"/>
      <c r="F8" s="16"/>
      <c r="G8" s="17"/>
      <c r="H8" s="17"/>
      <c r="I8" s="17"/>
      <c r="J8" s="17"/>
    </row>
    <row r="9" spans="2:10" x14ac:dyDescent="0.25">
      <c r="B9" s="14" t="s">
        <v>35</v>
      </c>
      <c r="C9" s="81">
        <f>C3/C6</f>
        <v>2.9380194998688531</v>
      </c>
      <c r="D9" s="81">
        <f>D3/D6</f>
        <v>2.9596513661624546</v>
      </c>
      <c r="E9" s="81">
        <f t="shared" ref="E9" si="1">E3/E6</f>
        <v>3.2797058174466938</v>
      </c>
      <c r="F9" s="81">
        <f t="shared" ref="F9" si="2">F3/F6</f>
        <v>2.9501038312129246</v>
      </c>
      <c r="G9" s="81">
        <f>F9</f>
        <v>2.9501038312129246</v>
      </c>
      <c r="H9" s="81">
        <f t="shared" ref="H9:J9" si="3">G9</f>
        <v>2.9501038312129246</v>
      </c>
      <c r="I9" s="81">
        <f t="shared" si="3"/>
        <v>2.9501038312129246</v>
      </c>
      <c r="J9" s="81">
        <f t="shared" si="3"/>
        <v>2.9501038312129246</v>
      </c>
    </row>
    <row r="10" spans="2:10" x14ac:dyDescent="0.25">
      <c r="B10" s="14" t="s">
        <v>36</v>
      </c>
      <c r="C10" s="81">
        <f>360/C9</f>
        <v>122.5315216648731</v>
      </c>
      <c r="D10" s="81">
        <f>360/D9</f>
        <v>121.63594811059907</v>
      </c>
      <c r="E10" s="81">
        <f t="shared" ref="E10:F10" si="4">360/E9</f>
        <v>109.7659424467119</v>
      </c>
      <c r="F10" s="81">
        <f t="shared" si="4"/>
        <v>122.02960322653705</v>
      </c>
      <c r="G10" s="81">
        <f t="shared" ref="G10:J14" si="5">F10</f>
        <v>122.02960322653705</v>
      </c>
      <c r="H10" s="81">
        <f t="shared" si="5"/>
        <v>122.02960322653705</v>
      </c>
      <c r="I10" s="81">
        <f t="shared" si="5"/>
        <v>122.02960322653705</v>
      </c>
      <c r="J10" s="81">
        <f t="shared" si="5"/>
        <v>122.02960322653705</v>
      </c>
    </row>
    <row r="11" spans="2:10" x14ac:dyDescent="0.25">
      <c r="B11" s="14" t="s">
        <v>37</v>
      </c>
      <c r="C11" s="82">
        <f>C4/C7</f>
        <v>1.0982049953010367</v>
      </c>
      <c r="D11" s="82">
        <f t="shared" ref="D11:F11" si="6">D4/D7</f>
        <v>1.2812781758611158</v>
      </c>
      <c r="E11" s="82">
        <f t="shared" si="6"/>
        <v>0.96885506112087949</v>
      </c>
      <c r="F11" s="82">
        <f t="shared" si="6"/>
        <v>1.2553433206722497</v>
      </c>
      <c r="G11" s="81">
        <f t="shared" si="5"/>
        <v>1.2553433206722497</v>
      </c>
      <c r="H11" s="81">
        <f t="shared" si="5"/>
        <v>1.2553433206722497</v>
      </c>
      <c r="I11" s="81">
        <f t="shared" si="5"/>
        <v>1.2553433206722497</v>
      </c>
      <c r="J11" s="81">
        <f t="shared" si="5"/>
        <v>1.2553433206722497</v>
      </c>
    </row>
    <row r="12" spans="2:10" x14ac:dyDescent="0.25">
      <c r="B12" s="14" t="s">
        <v>38</v>
      </c>
      <c r="C12" s="82">
        <f>360/C11</f>
        <v>327.80765115835032</v>
      </c>
      <c r="D12" s="82">
        <f t="shared" ref="D12:F12" si="7">360/D11</f>
        <v>280.96943098094431</v>
      </c>
      <c r="E12" s="82">
        <f t="shared" si="7"/>
        <v>371.57260610633739</v>
      </c>
      <c r="F12" s="82">
        <f t="shared" si="7"/>
        <v>286.77413905163104</v>
      </c>
      <c r="G12" s="81">
        <f t="shared" si="5"/>
        <v>286.77413905163104</v>
      </c>
      <c r="H12" s="81">
        <f t="shared" si="5"/>
        <v>286.77413905163104</v>
      </c>
      <c r="I12" s="81">
        <f t="shared" si="5"/>
        <v>286.77413905163104</v>
      </c>
      <c r="J12" s="81">
        <f t="shared" si="5"/>
        <v>286.77413905163104</v>
      </c>
    </row>
    <row r="13" spans="2:10" x14ac:dyDescent="0.25">
      <c r="B13" s="14" t="s">
        <v>39</v>
      </c>
      <c r="C13" s="82">
        <f>C5/C7</f>
        <v>1.9811359698547457</v>
      </c>
      <c r="D13" s="82">
        <f t="shared" ref="D13:F13" si="8">D5/D7</f>
        <v>2.8108877711666245</v>
      </c>
      <c r="E13" s="82">
        <f t="shared" si="8"/>
        <v>4.1612500357258257</v>
      </c>
      <c r="F13" s="82">
        <f t="shared" si="8"/>
        <v>3.8547753338627384</v>
      </c>
      <c r="G13" s="81">
        <f t="shared" si="5"/>
        <v>3.8547753338627384</v>
      </c>
      <c r="H13" s="81">
        <f t="shared" si="5"/>
        <v>3.8547753338627384</v>
      </c>
      <c r="I13" s="81">
        <f t="shared" si="5"/>
        <v>3.8547753338627384</v>
      </c>
      <c r="J13" s="81">
        <f t="shared" si="5"/>
        <v>3.8547753338627384</v>
      </c>
    </row>
    <row r="14" spans="2:10" x14ac:dyDescent="0.25">
      <c r="B14" s="14" t="s">
        <v>40</v>
      </c>
      <c r="C14" s="82">
        <f>360/C13</f>
        <v>181.71392851263749</v>
      </c>
      <c r="D14" s="82">
        <f t="shared" ref="D14:F14" si="9">360/D13</f>
        <v>128.07341641056925</v>
      </c>
      <c r="E14" s="82">
        <f t="shared" si="9"/>
        <v>86.512465463327302</v>
      </c>
      <c r="F14" s="82">
        <f t="shared" si="9"/>
        <v>93.390656736214069</v>
      </c>
      <c r="G14" s="81">
        <f t="shared" si="5"/>
        <v>93.390656736214069</v>
      </c>
      <c r="H14" s="81">
        <f t="shared" si="5"/>
        <v>93.390656736214069</v>
      </c>
      <c r="I14" s="81">
        <f t="shared" si="5"/>
        <v>93.390656736214069</v>
      </c>
      <c r="J14" s="81">
        <f t="shared" si="5"/>
        <v>93.390656736214069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0714A-6A05-A440-983A-E47FE79BCD5F}">
  <dimension ref="A3:O67"/>
  <sheetViews>
    <sheetView topLeftCell="A52" zoomScale="219" zoomScaleNormal="115" workbookViewId="0">
      <selection activeCell="B58" sqref="B58"/>
    </sheetView>
  </sheetViews>
  <sheetFormatPr baseColWidth="10" defaultRowHeight="15" x14ac:dyDescent="0.25"/>
  <cols>
    <col min="1" max="1" width="30.140625" customWidth="1"/>
    <col min="2" max="2" width="15" bestFit="1" customWidth="1"/>
    <col min="3" max="3" width="15.42578125" bestFit="1" customWidth="1"/>
    <col min="4" max="4" width="13.42578125" bestFit="1" customWidth="1"/>
    <col min="5" max="5" width="14.42578125" bestFit="1" customWidth="1"/>
    <col min="6" max="8" width="13.42578125" bestFit="1" customWidth="1"/>
    <col min="9" max="9" width="15.140625" customWidth="1"/>
    <col min="11" max="11" width="42.7109375" style="6" bestFit="1" customWidth="1"/>
    <col min="12" max="14" width="12.140625" style="6" bestFit="1" customWidth="1"/>
    <col min="15" max="15" width="13.140625" style="6" bestFit="1" customWidth="1"/>
  </cols>
  <sheetData>
    <row r="3" spans="1:5" ht="15.75" thickBot="1" x14ac:dyDescent="0.3"/>
    <row r="4" spans="1:5" x14ac:dyDescent="0.25">
      <c r="A4" s="36" t="s">
        <v>50</v>
      </c>
      <c r="B4" s="19">
        <v>1</v>
      </c>
      <c r="C4" s="19">
        <v>2</v>
      </c>
      <c r="D4" s="19">
        <v>3</v>
      </c>
      <c r="E4" s="19">
        <v>4</v>
      </c>
    </row>
    <row r="5" spans="1:5" x14ac:dyDescent="0.25">
      <c r="A5" s="3" t="s">
        <v>51</v>
      </c>
      <c r="B5" s="37">
        <v>0</v>
      </c>
      <c r="C5" s="37">
        <v>0</v>
      </c>
      <c r="D5" s="37">
        <v>0</v>
      </c>
      <c r="E5" s="37">
        <v>107819257</v>
      </c>
    </row>
    <row r="6" spans="1:5" x14ac:dyDescent="0.25">
      <c r="A6" s="3" t="s">
        <v>52</v>
      </c>
      <c r="B6" s="37">
        <v>202005</v>
      </c>
      <c r="C6" s="37">
        <v>118205</v>
      </c>
      <c r="D6" s="37">
        <v>118205</v>
      </c>
      <c r="E6" s="37">
        <v>9249723</v>
      </c>
    </row>
    <row r="7" spans="1:5" x14ac:dyDescent="0.25">
      <c r="A7" s="3" t="s">
        <v>53</v>
      </c>
      <c r="B7" s="37">
        <v>18754968</v>
      </c>
      <c r="C7" s="37">
        <v>15708121</v>
      </c>
      <c r="D7" s="37">
        <v>18506121</v>
      </c>
      <c r="E7" s="37">
        <v>19623694</v>
      </c>
    </row>
    <row r="8" spans="1:5" x14ac:dyDescent="0.25">
      <c r="A8" s="3" t="s">
        <v>54</v>
      </c>
      <c r="B8" s="37">
        <v>0</v>
      </c>
      <c r="C8" s="37">
        <v>10393699</v>
      </c>
      <c r="D8" s="37">
        <v>10393699</v>
      </c>
      <c r="E8" s="37">
        <v>10393699</v>
      </c>
    </row>
    <row r="9" spans="1:5" x14ac:dyDescent="0.25">
      <c r="A9" s="3" t="s">
        <v>55</v>
      </c>
      <c r="B9" s="5">
        <v>202005</v>
      </c>
      <c r="C9" s="5">
        <v>118205</v>
      </c>
      <c r="D9" s="5">
        <v>118205</v>
      </c>
      <c r="E9" s="5">
        <v>3543925</v>
      </c>
    </row>
    <row r="10" spans="1:5" x14ac:dyDescent="0.25">
      <c r="A10" s="3" t="s">
        <v>56</v>
      </c>
      <c r="B10" s="5">
        <v>6646973</v>
      </c>
      <c r="C10" s="5">
        <v>8992760</v>
      </c>
      <c r="D10" s="5">
        <v>11119157</v>
      </c>
      <c r="E10" s="5">
        <v>13245554</v>
      </c>
    </row>
    <row r="11" spans="1:5" x14ac:dyDescent="0.25">
      <c r="A11" s="3" t="s">
        <v>57</v>
      </c>
      <c r="B11" s="5">
        <v>0</v>
      </c>
      <c r="C11" s="5">
        <v>2078739.8</v>
      </c>
      <c r="D11" s="5">
        <v>4157479.6</v>
      </c>
      <c r="E11" s="5">
        <v>6236219.4000000004</v>
      </c>
    </row>
    <row r="12" spans="1:5" x14ac:dyDescent="0.25">
      <c r="B12" s="10"/>
      <c r="C12" s="10"/>
      <c r="D12" s="10"/>
      <c r="E12" s="10"/>
    </row>
    <row r="13" spans="1:5" x14ac:dyDescent="0.25">
      <c r="A13" s="3" t="s">
        <v>59</v>
      </c>
      <c r="B13" s="29">
        <f>+SUM(B5:B8)</f>
        <v>18956973</v>
      </c>
      <c r="C13" s="29">
        <f t="shared" ref="C13:E13" si="0">+SUM(C5:C8)</f>
        <v>26220025</v>
      </c>
      <c r="D13" s="29">
        <f t="shared" si="0"/>
        <v>29018025</v>
      </c>
      <c r="E13" s="29">
        <f t="shared" si="0"/>
        <v>147086373</v>
      </c>
    </row>
    <row r="14" spans="1:5" x14ac:dyDescent="0.25">
      <c r="A14" s="3" t="s">
        <v>60</v>
      </c>
      <c r="B14" s="29">
        <f t="shared" ref="B14:E14" si="1">+SUM(B9:B11)</f>
        <v>6848978</v>
      </c>
      <c r="C14" s="29">
        <f t="shared" si="1"/>
        <v>11189704.800000001</v>
      </c>
      <c r="D14" s="29">
        <f t="shared" si="1"/>
        <v>15394841.6</v>
      </c>
      <c r="E14" s="29">
        <f t="shared" si="1"/>
        <v>23025698.399999999</v>
      </c>
    </row>
    <row r="15" spans="1:5" x14ac:dyDescent="0.25">
      <c r="A15" s="43"/>
      <c r="B15" s="44"/>
      <c r="C15" s="44"/>
      <c r="D15" s="44"/>
      <c r="E15" s="44"/>
    </row>
    <row r="17" spans="1:9" x14ac:dyDescent="0.25">
      <c r="A17" s="146" t="s">
        <v>41</v>
      </c>
      <c r="B17" s="146"/>
      <c r="C17" s="146"/>
      <c r="D17" s="146"/>
      <c r="E17" s="146"/>
      <c r="F17" s="146"/>
      <c r="G17" s="146"/>
      <c r="H17" s="146"/>
      <c r="I17" s="146"/>
    </row>
    <row r="18" spans="1:9" ht="15.75" thickBot="1" x14ac:dyDescent="0.3">
      <c r="A18" s="147"/>
      <c r="B18" s="147"/>
      <c r="C18" s="147"/>
      <c r="D18" s="147"/>
      <c r="E18" s="147"/>
      <c r="F18" s="147"/>
      <c r="G18" s="147"/>
      <c r="H18" s="147"/>
      <c r="I18" s="147"/>
    </row>
    <row r="19" spans="1:9" x14ac:dyDescent="0.25">
      <c r="A19" s="18" t="s">
        <v>1</v>
      </c>
      <c r="B19" s="19">
        <v>1</v>
      </c>
      <c r="C19" s="19">
        <v>2</v>
      </c>
      <c r="D19" s="19">
        <v>3</v>
      </c>
      <c r="E19" s="19">
        <v>4</v>
      </c>
      <c r="F19" s="20">
        <v>5</v>
      </c>
      <c r="G19" s="20">
        <v>6</v>
      </c>
      <c r="H19" s="20">
        <v>7</v>
      </c>
      <c r="I19" s="21">
        <v>8</v>
      </c>
    </row>
    <row r="20" spans="1:9" x14ac:dyDescent="0.25">
      <c r="A20" s="22" t="s">
        <v>42</v>
      </c>
      <c r="B20" s="5"/>
      <c r="C20" s="5">
        <f>B22</f>
        <v>18956973</v>
      </c>
      <c r="D20" s="5">
        <f t="shared" ref="D20:E20" si="2">C22</f>
        <v>26220025</v>
      </c>
      <c r="E20" s="5">
        <f t="shared" si="2"/>
        <v>29018025</v>
      </c>
      <c r="F20" s="5">
        <f>E22</f>
        <v>147086373</v>
      </c>
      <c r="G20" s="5">
        <f t="shared" ref="G20:I20" si="3">F22</f>
        <v>301473061.26899314</v>
      </c>
      <c r="H20" s="5">
        <f t="shared" si="3"/>
        <v>509524232.42218703</v>
      </c>
      <c r="I20" s="5">
        <f t="shared" si="3"/>
        <v>777871857.50152397</v>
      </c>
    </row>
    <row r="21" spans="1:9" x14ac:dyDescent="0.25">
      <c r="A21" s="22" t="s">
        <v>43</v>
      </c>
      <c r="B21" s="5"/>
      <c r="C21" s="5">
        <f>C22-C20</f>
        <v>7263052</v>
      </c>
      <c r="D21" s="5">
        <f t="shared" ref="D21:E21" si="4">D22-D20</f>
        <v>2798000</v>
      </c>
      <c r="E21" s="5">
        <f t="shared" si="4"/>
        <v>118068348</v>
      </c>
      <c r="F21" s="5">
        <f>(F28*'Costos y gastos'!G3)+E21</f>
        <v>154386688.26899314</v>
      </c>
      <c r="G21" s="5">
        <f>(G28*'Costos y gastos'!H3)+F21</f>
        <v>208051171.15319389</v>
      </c>
      <c r="H21" s="5">
        <f>(H28*'Costos y gastos'!I3)+G21</f>
        <v>268347625.079337</v>
      </c>
      <c r="I21" s="5">
        <f>(I28*'Costos y gastos'!J3)+H21</f>
        <v>318728125.13377285</v>
      </c>
    </row>
    <row r="22" spans="1:9" x14ac:dyDescent="0.25">
      <c r="A22" s="22" t="s">
        <v>44</v>
      </c>
      <c r="B22" s="5">
        <f>B13</f>
        <v>18956973</v>
      </c>
      <c r="C22" s="5">
        <f>C13</f>
        <v>26220025</v>
      </c>
      <c r="D22" s="5">
        <f>D13</f>
        <v>29018025</v>
      </c>
      <c r="E22" s="5">
        <f>E13</f>
        <v>147086373</v>
      </c>
      <c r="F22" s="5">
        <f>F20+F21</f>
        <v>301473061.26899314</v>
      </c>
      <c r="G22" s="5">
        <f t="shared" ref="G22:I22" si="5">G20+G21</f>
        <v>509524232.42218703</v>
      </c>
      <c r="H22" s="5">
        <f t="shared" si="5"/>
        <v>777871857.50152397</v>
      </c>
      <c r="I22" s="5">
        <f t="shared" si="5"/>
        <v>1096599982.6352968</v>
      </c>
    </row>
    <row r="23" spans="1:9" ht="15.75" thickBot="1" x14ac:dyDescent="0.3">
      <c r="A23" s="23"/>
      <c r="B23" s="24"/>
      <c r="C23" s="24"/>
      <c r="D23" s="24"/>
      <c r="E23" s="24"/>
      <c r="F23" s="24"/>
      <c r="G23" s="24"/>
      <c r="H23" s="24"/>
      <c r="I23" s="25"/>
    </row>
    <row r="24" spans="1:9" x14ac:dyDescent="0.25">
      <c r="A24" s="26" t="s">
        <v>45</v>
      </c>
      <c r="B24" s="27"/>
      <c r="C24" s="27">
        <f>B26</f>
        <v>6848978</v>
      </c>
      <c r="D24" s="27">
        <f t="shared" ref="D24:E24" si="6">C26</f>
        <v>11189704.800000001</v>
      </c>
      <c r="E24" s="27">
        <f t="shared" si="6"/>
        <v>15394841.6</v>
      </c>
      <c r="F24" s="27">
        <f>E26</f>
        <v>23025698.399999999</v>
      </c>
      <c r="G24" s="27">
        <f t="shared" ref="G24:I24" si="7">F26</f>
        <v>31502658.594096519</v>
      </c>
      <c r="H24" s="27">
        <f t="shared" si="7"/>
        <v>46446242.721880026</v>
      </c>
      <c r="I24" s="27">
        <f t="shared" si="7"/>
        <v>75403282.323382854</v>
      </c>
    </row>
    <row r="25" spans="1:9" x14ac:dyDescent="0.25">
      <c r="A25" s="28" t="s">
        <v>46</v>
      </c>
      <c r="B25" s="3"/>
      <c r="C25" s="29">
        <f>C26-C24</f>
        <v>4340726.8000000007</v>
      </c>
      <c r="D25" s="29">
        <f t="shared" ref="D25:E25" si="8">D26-D24</f>
        <v>4205136.7999999989</v>
      </c>
      <c r="E25" s="29">
        <f t="shared" si="8"/>
        <v>7630856.7999999989</v>
      </c>
      <c r="F25" s="5">
        <f>F24*F28</f>
        <v>8476960.1940965205</v>
      </c>
      <c r="G25" s="5">
        <f t="shared" ref="G25:I25" si="9">G24*G28</f>
        <v>14943584.127783509</v>
      </c>
      <c r="H25" s="5">
        <f t="shared" si="9"/>
        <v>28957039.601502821</v>
      </c>
      <c r="I25" s="5">
        <f t="shared" si="9"/>
        <v>36846175.65195737</v>
      </c>
    </row>
    <row r="26" spans="1:9" ht="15.75" thickBot="1" x14ac:dyDescent="0.3">
      <c r="A26" s="30" t="s">
        <v>47</v>
      </c>
      <c r="B26" s="45">
        <f>B14</f>
        <v>6848978</v>
      </c>
      <c r="C26" s="45">
        <f t="shared" ref="C26:E26" si="10">C14</f>
        <v>11189704.800000001</v>
      </c>
      <c r="D26" s="45">
        <f t="shared" si="10"/>
        <v>15394841.6</v>
      </c>
      <c r="E26" s="45">
        <f t="shared" si="10"/>
        <v>23025698.399999999</v>
      </c>
      <c r="F26" s="45">
        <f>F24+F25</f>
        <v>31502658.594096519</v>
      </c>
      <c r="G26" s="45">
        <f t="shared" ref="G26:I26" si="11">G24+G25</f>
        <v>46446242.721880026</v>
      </c>
      <c r="H26" s="45">
        <f t="shared" si="11"/>
        <v>75403282.323382854</v>
      </c>
      <c r="I26" s="45">
        <f t="shared" si="11"/>
        <v>112249457.97534022</v>
      </c>
    </row>
    <row r="27" spans="1:9" ht="15.75" thickBot="1" x14ac:dyDescent="0.3">
      <c r="A27" s="23"/>
      <c r="F27" s="24"/>
      <c r="G27" s="24"/>
      <c r="H27" s="24"/>
      <c r="I27" s="31"/>
    </row>
    <row r="28" spans="1:9" ht="15.75" thickBot="1" x14ac:dyDescent="0.3">
      <c r="A28" s="32" t="s">
        <v>48</v>
      </c>
      <c r="B28" s="33"/>
      <c r="C28" s="34">
        <f>C21/'Costos y gastos'!D3</f>
        <v>4.9530188420066699E-2</v>
      </c>
      <c r="D28" s="34">
        <f>D21/'Costos y gastos'!E3</f>
        <v>2.7079471629375681E-2</v>
      </c>
      <c r="E28" s="34">
        <f>E21/'Costos y gastos'!F3</f>
        <v>1.0278467668743796</v>
      </c>
      <c r="F28" s="35">
        <f>AVERAGE(C28:E28)</f>
        <v>0.36815214230794063</v>
      </c>
      <c r="G28" s="35">
        <f t="shared" ref="G28:I28" si="12">AVERAGE(D28:F28)</f>
        <v>0.47435946027056525</v>
      </c>
      <c r="H28" s="35">
        <f t="shared" si="12"/>
        <v>0.62345278981762842</v>
      </c>
      <c r="I28" s="35">
        <f t="shared" si="12"/>
        <v>0.4886547974653781</v>
      </c>
    </row>
    <row r="29" spans="1:9" x14ac:dyDescent="0.25">
      <c r="F29" s="6"/>
      <c r="G29" s="6"/>
      <c r="H29" s="6"/>
    </row>
    <row r="30" spans="1:9" x14ac:dyDescent="0.25">
      <c r="A30" s="146" t="s">
        <v>49</v>
      </c>
      <c r="B30" s="146"/>
      <c r="C30" s="146"/>
      <c r="D30" s="146"/>
      <c r="E30" s="146"/>
      <c r="F30" s="146"/>
      <c r="G30" s="146"/>
      <c r="H30" s="146"/>
      <c r="I30" s="146"/>
    </row>
    <row r="31" spans="1:9" ht="15.75" thickBot="1" x14ac:dyDescent="0.3">
      <c r="A31" s="147"/>
      <c r="B31" s="147"/>
      <c r="C31" s="147"/>
      <c r="D31" s="147"/>
      <c r="E31" s="147"/>
      <c r="F31" s="147"/>
      <c r="G31" s="147"/>
      <c r="H31" s="147"/>
      <c r="I31" s="147"/>
    </row>
    <row r="32" spans="1:9" x14ac:dyDescent="0.25">
      <c r="A32" s="36" t="s">
        <v>50</v>
      </c>
      <c r="B32" s="19">
        <v>1</v>
      </c>
      <c r="C32" s="19">
        <v>2</v>
      </c>
      <c r="D32" s="19">
        <v>3</v>
      </c>
      <c r="E32" s="19">
        <v>4</v>
      </c>
      <c r="F32" s="20">
        <v>5</v>
      </c>
      <c r="G32" s="20">
        <v>6</v>
      </c>
      <c r="H32" s="20">
        <v>7</v>
      </c>
      <c r="I32" s="21">
        <v>8</v>
      </c>
    </row>
    <row r="33" spans="1:10" x14ac:dyDescent="0.25">
      <c r="A33" s="3" t="s">
        <v>51</v>
      </c>
      <c r="B33" s="37">
        <v>0</v>
      </c>
      <c r="C33" s="37">
        <v>0</v>
      </c>
      <c r="D33" s="37">
        <v>0</v>
      </c>
      <c r="E33" s="37">
        <v>107819257</v>
      </c>
      <c r="F33" s="5">
        <f>E33+D47</f>
        <v>107819257</v>
      </c>
      <c r="G33" s="5">
        <f>F33+E47</f>
        <v>127819257</v>
      </c>
      <c r="H33" s="5">
        <f>G33+F47</f>
        <v>127819257</v>
      </c>
      <c r="I33" s="5">
        <f>H33+G47</f>
        <v>127819257</v>
      </c>
    </row>
    <row r="34" spans="1:10" x14ac:dyDescent="0.25">
      <c r="A34" s="3" t="s">
        <v>52</v>
      </c>
      <c r="B34" s="37">
        <v>202005</v>
      </c>
      <c r="C34" s="37">
        <v>118205</v>
      </c>
      <c r="D34" s="37">
        <v>118205</v>
      </c>
      <c r="E34" s="37">
        <v>9249723</v>
      </c>
      <c r="F34" s="5">
        <f t="shared" ref="F34:I34" si="13">E34+D48</f>
        <v>29249723</v>
      </c>
      <c r="G34" s="5">
        <f t="shared" si="13"/>
        <v>27249723</v>
      </c>
      <c r="H34" s="5">
        <f t="shared" si="13"/>
        <v>27249723</v>
      </c>
      <c r="I34" s="5">
        <f t="shared" si="13"/>
        <v>27249723</v>
      </c>
    </row>
    <row r="35" spans="1:10" x14ac:dyDescent="0.25">
      <c r="A35" s="3" t="s">
        <v>53</v>
      </c>
      <c r="B35" s="37">
        <v>18754968</v>
      </c>
      <c r="C35" s="37">
        <v>15708121</v>
      </c>
      <c r="D35" s="37">
        <v>18506121</v>
      </c>
      <c r="E35" s="37">
        <v>19623694</v>
      </c>
      <c r="F35" s="5">
        <f t="shared" ref="F35:I35" si="14">E35+D49</f>
        <v>19623694</v>
      </c>
      <c r="G35" s="5">
        <f t="shared" si="14"/>
        <v>19623694</v>
      </c>
      <c r="H35" s="5">
        <f t="shared" si="14"/>
        <v>22623694</v>
      </c>
      <c r="I35" s="5">
        <f t="shared" si="14"/>
        <v>22623694</v>
      </c>
    </row>
    <row r="36" spans="1:10" x14ac:dyDescent="0.25">
      <c r="A36" s="3" t="s">
        <v>54</v>
      </c>
      <c r="B36" s="37">
        <v>0</v>
      </c>
      <c r="C36" s="37">
        <v>10393699</v>
      </c>
      <c r="D36" s="37">
        <v>10393699</v>
      </c>
      <c r="E36" s="37">
        <v>10393699</v>
      </c>
      <c r="F36" s="5">
        <f t="shared" ref="F36:I36" si="15">E36+D50</f>
        <v>10393699</v>
      </c>
      <c r="G36" s="5">
        <f t="shared" si="15"/>
        <v>70393699</v>
      </c>
      <c r="H36" s="5">
        <f t="shared" si="15"/>
        <v>70393699</v>
      </c>
      <c r="I36" s="5">
        <f t="shared" si="15"/>
        <v>70393699</v>
      </c>
    </row>
    <row r="37" spans="1:10" x14ac:dyDescent="0.25">
      <c r="A37" s="3" t="s">
        <v>55</v>
      </c>
      <c r="B37" s="5">
        <v>202005</v>
      </c>
      <c r="C37" s="5">
        <v>118205</v>
      </c>
      <c r="D37" s="5">
        <v>118205</v>
      </c>
      <c r="E37" s="5">
        <v>3543925</v>
      </c>
      <c r="F37" s="5">
        <f>((F34-(F34*C48))/B48)+E37</f>
        <v>5615780.3791666664</v>
      </c>
      <c r="G37" s="5">
        <f>((G34-(G34*C48))/B48)+F37</f>
        <v>7545969.0916666668</v>
      </c>
      <c r="H37" s="5">
        <f>((H34-(H34*C48))/B48)+G37</f>
        <v>9476157.8041666672</v>
      </c>
      <c r="I37" s="5">
        <f>((I34-(I34*C48))/B48)+H37</f>
        <v>11406346.516666668</v>
      </c>
    </row>
    <row r="38" spans="1:10" x14ac:dyDescent="0.25">
      <c r="A38" s="3" t="s">
        <v>56</v>
      </c>
      <c r="B38" s="5">
        <v>6646973</v>
      </c>
      <c r="C38" s="5">
        <v>8992760</v>
      </c>
      <c r="D38" s="5">
        <v>11119157</v>
      </c>
      <c r="E38" s="5">
        <v>13245554</v>
      </c>
      <c r="F38" s="5">
        <f t="shared" ref="F38:F39" si="16">((F35-(F35*C49))/B49)+E38</f>
        <v>17170292.800000001</v>
      </c>
      <c r="G38" s="5">
        <f t="shared" ref="G38:G39" si="17">((G35-(G35*C49))/B49)+F38</f>
        <v>21095031.600000001</v>
      </c>
      <c r="H38" s="5">
        <f t="shared" ref="H38:H39" si="18">((H35-(H35*C49))/B49)+G38</f>
        <v>25619770.400000002</v>
      </c>
      <c r="I38" s="5">
        <f t="shared" ref="I38:I39" si="19">((I35-(I35*C49))/B49)+H38</f>
        <v>30144509.200000003</v>
      </c>
    </row>
    <row r="39" spans="1:10" x14ac:dyDescent="0.25">
      <c r="A39" s="3" t="s">
        <v>57</v>
      </c>
      <c r="B39" s="5">
        <v>0</v>
      </c>
      <c r="C39" s="5">
        <v>2078739.8</v>
      </c>
      <c r="D39" s="5">
        <v>4157479.6</v>
      </c>
      <c r="E39" s="5">
        <v>6236219.4000000004</v>
      </c>
      <c r="F39" s="5">
        <f t="shared" si="16"/>
        <v>7201348.5928571429</v>
      </c>
      <c r="G39" s="5">
        <f t="shared" si="17"/>
        <v>13737906.357142858</v>
      </c>
      <c r="H39" s="5">
        <f t="shared" si="18"/>
        <v>20274464.121428572</v>
      </c>
      <c r="I39" s="5">
        <f t="shared" si="19"/>
        <v>26811021.885714285</v>
      </c>
    </row>
    <row r="40" spans="1:10" x14ac:dyDescent="0.25">
      <c r="B40" s="10"/>
      <c r="C40" s="10"/>
      <c r="D40" s="10"/>
      <c r="E40" s="10"/>
      <c r="F40" s="10"/>
    </row>
    <row r="41" spans="1:10" x14ac:dyDescent="0.25">
      <c r="A41" s="3" t="s">
        <v>42</v>
      </c>
      <c r="B41" s="29">
        <f>+SUM(B33:B36)</f>
        <v>18956973</v>
      </c>
      <c r="C41" s="29">
        <f t="shared" ref="C41:I41" si="20">+SUM(C33:C36)</f>
        <v>26220025</v>
      </c>
      <c r="D41" s="29">
        <f t="shared" si="20"/>
        <v>29018025</v>
      </c>
      <c r="E41" s="29">
        <f t="shared" si="20"/>
        <v>147086373</v>
      </c>
      <c r="F41" s="29">
        <f t="shared" si="20"/>
        <v>167086373</v>
      </c>
      <c r="G41" s="29">
        <f t="shared" si="20"/>
        <v>245086373</v>
      </c>
      <c r="H41" s="29">
        <f t="shared" si="20"/>
        <v>248086373</v>
      </c>
      <c r="I41" s="29">
        <f t="shared" si="20"/>
        <v>248086373</v>
      </c>
    </row>
    <row r="42" spans="1:10" x14ac:dyDescent="0.25">
      <c r="A42" s="3" t="s">
        <v>58</v>
      </c>
      <c r="B42" s="29">
        <f t="shared" ref="B42:I42" si="21">+SUM(B37:B39)</f>
        <v>6848978</v>
      </c>
      <c r="C42" s="29">
        <f t="shared" si="21"/>
        <v>11189704.800000001</v>
      </c>
      <c r="D42" s="29">
        <f>+SUM(D37:D39)</f>
        <v>15394841.6</v>
      </c>
      <c r="E42" s="29">
        <f t="shared" si="21"/>
        <v>23025698.399999999</v>
      </c>
      <c r="F42" s="29">
        <f t="shared" si="21"/>
        <v>29987421.772023812</v>
      </c>
      <c r="G42" s="29">
        <f t="shared" si="21"/>
        <v>42378907.048809528</v>
      </c>
      <c r="H42" s="29">
        <f t="shared" si="21"/>
        <v>55370392.325595237</v>
      </c>
      <c r="I42" s="29">
        <f t="shared" si="21"/>
        <v>68361877.602380961</v>
      </c>
    </row>
    <row r="43" spans="1:10" x14ac:dyDescent="0.25">
      <c r="C43" s="10">
        <f>B37+B38+B39-C37-C38-C39</f>
        <v>-4340726.8</v>
      </c>
      <c r="D43" s="10">
        <f t="shared" ref="D43:I43" si="22">C37+C38+C39-D37-D38-D39</f>
        <v>-4205136.7999999989</v>
      </c>
      <c r="E43" s="10">
        <f t="shared" si="22"/>
        <v>-7630856.8000000007</v>
      </c>
      <c r="F43" s="10">
        <f t="shared" si="22"/>
        <v>-6961723.3720238116</v>
      </c>
      <c r="G43" s="10">
        <f t="shared" si="22"/>
        <v>-12391485.276785716</v>
      </c>
      <c r="H43" s="10">
        <f t="shared" si="22"/>
        <v>-12991485.276785713</v>
      </c>
      <c r="I43" s="10">
        <f t="shared" si="22"/>
        <v>-12991485.276785716</v>
      </c>
    </row>
    <row r="44" spans="1:10" x14ac:dyDescent="0.25">
      <c r="B44" s="10"/>
      <c r="C44" s="10"/>
      <c r="D44" s="10"/>
      <c r="E44" s="10"/>
      <c r="F44" s="10"/>
      <c r="G44" s="10"/>
      <c r="H44" s="10"/>
      <c r="I44" s="10"/>
    </row>
    <row r="45" spans="1:10" x14ac:dyDescent="0.25">
      <c r="A45" s="148" t="s">
        <v>50</v>
      </c>
      <c r="B45" s="148"/>
      <c r="C45" s="148"/>
      <c r="D45" s="149" t="s">
        <v>61</v>
      </c>
      <c r="E45" s="150"/>
      <c r="F45" s="150"/>
      <c r="G45" s="151"/>
    </row>
    <row r="46" spans="1:10" x14ac:dyDescent="0.25">
      <c r="A46" s="148"/>
      <c r="B46" s="148"/>
      <c r="C46" s="148"/>
      <c r="D46" s="38">
        <v>5</v>
      </c>
      <c r="E46" s="38">
        <v>6</v>
      </c>
      <c r="F46" s="38">
        <v>7</v>
      </c>
      <c r="G46" s="38">
        <v>8</v>
      </c>
    </row>
    <row r="47" spans="1:10" x14ac:dyDescent="0.25">
      <c r="A47" s="14" t="s">
        <v>51</v>
      </c>
      <c r="B47" s="39" t="s">
        <v>62</v>
      </c>
      <c r="C47" s="39" t="s">
        <v>62</v>
      </c>
      <c r="D47" s="5"/>
      <c r="E47" s="5">
        <v>20000000</v>
      </c>
      <c r="F47" s="5"/>
      <c r="G47" s="5"/>
    </row>
    <row r="48" spans="1:10" s="6" customFormat="1" x14ac:dyDescent="0.25">
      <c r="A48" s="14" t="s">
        <v>52</v>
      </c>
      <c r="B48" s="3">
        <v>12</v>
      </c>
      <c r="C48" s="39">
        <v>0.15</v>
      </c>
      <c r="D48" s="5">
        <v>20000000</v>
      </c>
      <c r="E48" s="5">
        <v>-2000000</v>
      </c>
      <c r="F48" s="5"/>
      <c r="G48" s="5"/>
      <c r="H48"/>
      <c r="I48"/>
      <c r="J48"/>
    </row>
    <row r="49" spans="1:10" s="6" customFormat="1" x14ac:dyDescent="0.25">
      <c r="A49" s="14" t="s">
        <v>53</v>
      </c>
      <c r="B49" s="3">
        <v>5</v>
      </c>
      <c r="C49" s="39">
        <v>0</v>
      </c>
      <c r="D49" s="5"/>
      <c r="E49" s="5"/>
      <c r="F49" s="5">
        <v>3000000</v>
      </c>
      <c r="G49" s="5"/>
      <c r="H49"/>
      <c r="I49"/>
      <c r="J49"/>
    </row>
    <row r="50" spans="1:10" s="6" customFormat="1" x14ac:dyDescent="0.25">
      <c r="A50" s="14" t="s">
        <v>54</v>
      </c>
      <c r="B50" s="3">
        <v>7</v>
      </c>
      <c r="C50" s="39">
        <v>0.35</v>
      </c>
      <c r="D50" s="5"/>
      <c r="E50" s="5">
        <v>60000000</v>
      </c>
      <c r="F50" s="5"/>
      <c r="G50" s="5"/>
      <c r="H50"/>
      <c r="I50"/>
      <c r="J50"/>
    </row>
    <row r="51" spans="1:10" x14ac:dyDescent="0.25">
      <c r="B51" t="s">
        <v>81</v>
      </c>
      <c r="C51" t="s">
        <v>82</v>
      </c>
    </row>
    <row r="52" spans="1:10" s="6" customFormat="1" x14ac:dyDescent="0.25">
      <c r="A52"/>
      <c r="B52"/>
      <c r="C52"/>
      <c r="D52"/>
      <c r="E52"/>
      <c r="F52"/>
      <c r="G52"/>
      <c r="H52"/>
      <c r="I52"/>
      <c r="J52"/>
    </row>
    <row r="55" spans="1:10" s="6" customFormat="1" x14ac:dyDescent="0.25">
      <c r="A55" s="40" t="s">
        <v>63</v>
      </c>
      <c r="B55" s="40"/>
      <c r="C55"/>
      <c r="G55"/>
      <c r="H55"/>
      <c r="I55"/>
      <c r="J55"/>
    </row>
    <row r="56" spans="1:10" s="6" customFormat="1" x14ac:dyDescent="0.25">
      <c r="A56"/>
      <c r="B56"/>
      <c r="C56"/>
      <c r="G56"/>
      <c r="H56"/>
      <c r="I56"/>
      <c r="J56"/>
    </row>
    <row r="57" spans="1:10" s="6" customFormat="1" x14ac:dyDescent="0.25">
      <c r="A57" t="s">
        <v>64</v>
      </c>
      <c r="B57" s="6">
        <v>0</v>
      </c>
      <c r="G57"/>
      <c r="H57"/>
      <c r="I57"/>
      <c r="J57"/>
    </row>
    <row r="58" spans="1:10" s="6" customFormat="1" x14ac:dyDescent="0.25">
      <c r="A58" t="s">
        <v>65</v>
      </c>
      <c r="B58" s="41">
        <v>0.17</v>
      </c>
    </row>
    <row r="59" spans="1:10" s="6" customFormat="1" x14ac:dyDescent="0.25">
      <c r="A59" t="s">
        <v>66</v>
      </c>
      <c r="B59" s="6">
        <v>4</v>
      </c>
    </row>
    <row r="60" spans="1:10" s="6" customFormat="1" x14ac:dyDescent="0.25">
      <c r="A60" t="s">
        <v>67</v>
      </c>
      <c r="B60" s="6">
        <f>PMT(B58,B59,-B57)</f>
        <v>0</v>
      </c>
    </row>
    <row r="61" spans="1:10" s="6" customFormat="1" x14ac:dyDescent="0.25">
      <c r="A61"/>
      <c r="B61" s="42"/>
    </row>
    <row r="62" spans="1:10" s="6" customFormat="1" x14ac:dyDescent="0.25">
      <c r="A62" s="36" t="s">
        <v>1</v>
      </c>
      <c r="B62" s="2">
        <v>0</v>
      </c>
      <c r="C62" s="2">
        <v>1</v>
      </c>
      <c r="D62" s="2">
        <v>2</v>
      </c>
      <c r="E62" s="2">
        <v>3</v>
      </c>
      <c r="F62" s="2">
        <v>4</v>
      </c>
    </row>
    <row r="63" spans="1:10" s="6" customFormat="1" x14ac:dyDescent="0.25">
      <c r="A63" s="3" t="s">
        <v>68</v>
      </c>
      <c r="B63" s="3"/>
      <c r="C63" s="5">
        <f>B67</f>
        <v>0</v>
      </c>
      <c r="D63" s="5">
        <f t="shared" ref="D63:F63" si="23">C67</f>
        <v>0</v>
      </c>
      <c r="E63" s="5">
        <f t="shared" si="23"/>
        <v>0</v>
      </c>
      <c r="F63" s="5">
        <f t="shared" si="23"/>
        <v>0</v>
      </c>
    </row>
    <row r="64" spans="1:10" s="6" customFormat="1" x14ac:dyDescent="0.25">
      <c r="A64" s="3" t="s">
        <v>67</v>
      </c>
      <c r="B64" s="5"/>
      <c r="C64" s="5">
        <f>$B$60</f>
        <v>0</v>
      </c>
      <c r="D64" s="5">
        <f t="shared" ref="D64:F64" si="24">$B$60</f>
        <v>0</v>
      </c>
      <c r="E64" s="5">
        <f t="shared" si="24"/>
        <v>0</v>
      </c>
      <c r="F64" s="5">
        <f t="shared" si="24"/>
        <v>0</v>
      </c>
    </row>
    <row r="65" spans="1:10" s="6" customFormat="1" x14ac:dyDescent="0.25">
      <c r="A65" s="3" t="s">
        <v>69</v>
      </c>
      <c r="B65" s="3"/>
      <c r="C65" s="29">
        <f>C64-C66</f>
        <v>0</v>
      </c>
      <c r="D65" s="29">
        <f t="shared" ref="D65:F65" si="25">D64-D66</f>
        <v>0</v>
      </c>
      <c r="E65" s="29">
        <f t="shared" si="25"/>
        <v>0</v>
      </c>
      <c r="F65" s="29">
        <f t="shared" si="25"/>
        <v>0</v>
      </c>
      <c r="G65"/>
      <c r="H65"/>
      <c r="I65"/>
      <c r="J65"/>
    </row>
    <row r="66" spans="1:10" s="6" customFormat="1" x14ac:dyDescent="0.25">
      <c r="A66" s="3" t="s">
        <v>65</v>
      </c>
      <c r="B66" s="3"/>
      <c r="C66" s="29">
        <f>C63*$B$58</f>
        <v>0</v>
      </c>
      <c r="D66" s="29">
        <f t="shared" ref="D66:F66" si="26">D63*$B$58</f>
        <v>0</v>
      </c>
      <c r="E66" s="29">
        <f t="shared" si="26"/>
        <v>0</v>
      </c>
      <c r="F66" s="29">
        <f t="shared" si="26"/>
        <v>0</v>
      </c>
      <c r="G66"/>
      <c r="H66"/>
      <c r="I66"/>
      <c r="J66"/>
    </row>
    <row r="67" spans="1:10" s="6" customFormat="1" x14ac:dyDescent="0.25">
      <c r="A67" s="3" t="s">
        <v>70</v>
      </c>
      <c r="B67" s="5">
        <f>B57</f>
        <v>0</v>
      </c>
      <c r="C67" s="29">
        <f>C63-C65</f>
        <v>0</v>
      </c>
      <c r="D67" s="29">
        <f t="shared" ref="D67:F67" si="27">D63-D65</f>
        <v>0</v>
      </c>
      <c r="E67" s="29">
        <f t="shared" si="27"/>
        <v>0</v>
      </c>
      <c r="F67" s="29">
        <f t="shared" si="27"/>
        <v>0</v>
      </c>
      <c r="G67"/>
      <c r="H67"/>
      <c r="I67"/>
      <c r="J67"/>
    </row>
  </sheetData>
  <mergeCells count="4">
    <mergeCell ref="A17:I18"/>
    <mergeCell ref="A30:I31"/>
    <mergeCell ref="A45:C46"/>
    <mergeCell ref="D45:G4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Ingresos</vt:lpstr>
      <vt:lpstr>Costos y gastos</vt:lpstr>
      <vt:lpstr>Hoja1</vt:lpstr>
      <vt:lpstr>Ciclo operacional</vt:lpstr>
      <vt:lpstr>CAPEX y Financiacion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Triana Gallo</dc:creator>
  <cp:lastModifiedBy>CONTABILIDAD</cp:lastModifiedBy>
  <dcterms:created xsi:type="dcterms:W3CDTF">2021-06-10T03:57:12Z</dcterms:created>
  <dcterms:modified xsi:type="dcterms:W3CDTF">2021-06-11T13:35:43Z</dcterms:modified>
</cp:coreProperties>
</file>