
<file path=[Content_Types].xml><?xml version="1.0" encoding="utf-8"?>
<Types xmlns="http://schemas.openxmlformats.org/package/2006/content-type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CCOUNTER\Pictures\"/>
    </mc:Choice>
  </mc:AlternateContent>
  <bookViews>
    <workbookView xWindow="0" yWindow="456" windowWidth="28800" windowHeight="16524"/>
  </bookViews>
  <sheets>
    <sheet name="Caso No. 1" sheetId="3" r:id="rId1"/>
    <sheet name="Caso No. 2" sheetId="2" r:id="rId2"/>
    <sheet name="Caso No. 3" sheetId="4" r:id="rId3"/>
    <sheet name="Caso No. 4" sheetId="6" r:id="rId4"/>
    <sheet name="Caso No. 5" sheetId="7" r:id="rId5"/>
    <sheet name="Caso No. 6" sheetId="8" r:id="rId6"/>
    <sheet name="Caso No. 7" sheetId="9" r:id="rId7"/>
    <sheet name="Caso No. 8" sheetId="10" r:id="rId8"/>
    <sheet name="Caso No. 9" sheetId="11" r:id="rId9"/>
  </sheets>
  <externalReferences>
    <externalReference r:id="rId10"/>
    <externalReference r:id="rId11"/>
    <externalReference r:id="rId12"/>
    <externalReference r:id="rId13"/>
    <externalReference r:id="rId14"/>
    <externalReference r:id="rId15"/>
    <externalReference r:id="rId16"/>
  </externalReferences>
  <definedNames>
    <definedName name="\a">#REF!</definedName>
    <definedName name="\p">#REF!</definedName>
    <definedName name="_DAT1">#REF!</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A_impresión_IM">#REF!</definedName>
    <definedName name="A640A692">#REF!</definedName>
    <definedName name="adyhweywr">#REF!</definedName>
    <definedName name="ARA_Threshold">#REF!</definedName>
    <definedName name="ARP_Threshold">#REF!</definedName>
    <definedName name="AS2DocOpenMode" hidden="1">"AS2DocumentEdit"</definedName>
    <definedName name="AS2ReportLS" hidden="1">1</definedName>
    <definedName name="AS2StaticLS" hidden="1">#REF!</definedName>
    <definedName name="AS2SyncStepLS" hidden="1">0</definedName>
    <definedName name="AS2TickmarkLS" hidden="1">#REF!</definedName>
    <definedName name="AS2VersionLS" hidden="1">300</definedName>
    <definedName name="ashwet">#REF!</definedName>
    <definedName name="BG_Del" hidden="1">15</definedName>
    <definedName name="BG_Ins" hidden="1">4</definedName>
    <definedName name="BG_Mod" hidden="1">6</definedName>
    <definedName name="df">#REF!</definedName>
    <definedName name="dsfhwet">#REF!</definedName>
    <definedName name="eshwr">#REF!</definedName>
    <definedName name="ffffffffffffff">#REF!</definedName>
    <definedName name="FGHFGH">#REF!</definedName>
    <definedName name="frfrf" hidden="1">{"'MONEDA NACIONAL'!$A$15:$K$18"}</definedName>
    <definedName name="g">#REF!</definedName>
    <definedName name="gdddddddddddd456">#REF!</definedName>
    <definedName name="HTML_CodePage" hidden="1">1252</definedName>
    <definedName name="HTML_Control" hidden="1">{"'MONEDA NACIONAL'!$A$15:$K$18"}</definedName>
    <definedName name="HTML_Description" hidden="1">""</definedName>
    <definedName name="HTML_Email" hidden="1">""</definedName>
    <definedName name="HTML_Header" hidden="1">"MONEDA NACIONAL"</definedName>
    <definedName name="HTML_LastUpdate" hidden="1">"02/11/2001"</definedName>
    <definedName name="HTML_LineAfter" hidden="1">FALSE</definedName>
    <definedName name="HTML_LineBefore" hidden="1">FALSE</definedName>
    <definedName name="HTML_Name" hidden="1">"Arthur Andersen"</definedName>
    <definedName name="HTML_OBDlg2" hidden="1">TRUE</definedName>
    <definedName name="HTML_OBDlg4" hidden="1">TRUE</definedName>
    <definedName name="HTML_OS" hidden="1">0</definedName>
    <definedName name="HTML_PathFile" hidden="1">"C:\DATA\Clientes\El Tiempo\2001\SEPTIEMBRE\PRUEBAS DE AUDITORIA\MyHTML.htm"</definedName>
    <definedName name="HTML_Title" hidden="1">"gasto por intereses"</definedName>
    <definedName name="jlgvo">#REF!</definedName>
    <definedName name="L_Adjust">[1]Links!$H:$H</definedName>
    <definedName name="L_AJE_Tot">[1]Links!$G:$G</definedName>
    <definedName name="L_CY_Beg">[1]Links!$F:$F</definedName>
    <definedName name="L_CY_End">[1]Links!$J:$J</definedName>
    <definedName name="L_PY_End">[1]Links!$K:$K</definedName>
    <definedName name="L_RJE_Tot">[1]Links!$I:$I</definedName>
    <definedName name="NIT">'[2]Datos de entrada'!$T$15</definedName>
    <definedName name="RTAPP">'[2]Renta Presuntiva'!$J$67</definedName>
    <definedName name="S_AcctDes">#REF!</definedName>
    <definedName name="S_Adjust">#REF!</definedName>
    <definedName name="S_Adjust_Data">#REF!</definedName>
    <definedName name="S_Adjust_GT">#REF!</definedName>
    <definedName name="S_AJE_Tot">#REF!</definedName>
    <definedName name="S_AJE_Tot_Data">#REF!</definedName>
    <definedName name="S_AJE_Tot_GT">#REF!</definedName>
    <definedName name="S_CompNum">#REF!</definedName>
    <definedName name="S_CY_Beg">#REF!</definedName>
    <definedName name="S_CY_Beg_Data">#REF!</definedName>
    <definedName name="S_CY_Beg_GT">#REF!</definedName>
    <definedName name="S_CY_End">#REF!</definedName>
    <definedName name="S_CY_End_Data">#REF!</definedName>
    <definedName name="S_CY_End_GT">#REF!</definedName>
    <definedName name="S_Diff_Amt">#REF!</definedName>
    <definedName name="S_Diff_Pct">#REF!</definedName>
    <definedName name="S_GrpNum">#REF!</definedName>
    <definedName name="S_Headings">#REF!</definedName>
    <definedName name="S_KeyValue">#REF!</definedName>
    <definedName name="S_PY_End">#REF!</definedName>
    <definedName name="S_PY_End_Data">#REF!</definedName>
    <definedName name="S_PY_End_GT">#REF!</definedName>
    <definedName name="S_RJE_Tot">#REF!</definedName>
    <definedName name="S_RJE_Tot_Data">#REF!</definedName>
    <definedName name="S_RJE_Tot_GT">#REF!</definedName>
    <definedName name="S_RowNum">#REF!</definedName>
    <definedName name="sg">#REF!</definedName>
    <definedName name="TEST1">#REF!</definedName>
    <definedName name="TESTHKEY">#REF!</definedName>
    <definedName name="TESTKEYS">#REF!</definedName>
    <definedName name="TESTVKEY">#REF!</definedName>
    <definedName name="TextRefCopy1">#REF!</definedName>
    <definedName name="TextRefCopy10">#REF!</definedName>
    <definedName name="TextRefCopy100">#REF!</definedName>
    <definedName name="TextRefCopy101">#REF!</definedName>
    <definedName name="TextRefCopy102">#REF!</definedName>
    <definedName name="TextRefCopy103">#REF!</definedName>
    <definedName name="TextRefCopy104">#REF!</definedName>
    <definedName name="TextRefCopy105">#REF!</definedName>
    <definedName name="TextRefCopy106">#REF!</definedName>
    <definedName name="TextRefCopy107">#REF!</definedName>
    <definedName name="TextRefCopy108">#REF!</definedName>
    <definedName name="TextRefCopy109">#REF!</definedName>
    <definedName name="TextRefCopy11">#REF!</definedName>
    <definedName name="TextRefCopy110">#REF!</definedName>
    <definedName name="TextRefCopy111">#REF!</definedName>
    <definedName name="TextRefCopy112">#REF!</definedName>
    <definedName name="TextRefCopy113">#REF!</definedName>
    <definedName name="TextRefCopy114">#REF!</definedName>
    <definedName name="TextRefCopy115">#REF!</definedName>
    <definedName name="TextRefCopy116">#REF!</definedName>
    <definedName name="TextRefCopy117">#REF!</definedName>
    <definedName name="TextRefCopy118">#REF!</definedName>
    <definedName name="TextRefCopy119">#REF!</definedName>
    <definedName name="TextRefCopy12">#REF!</definedName>
    <definedName name="TextRefCopy120">#REF!</definedName>
    <definedName name="TextRefCopy121">#REF!</definedName>
    <definedName name="TextRefCopy122">#REF!</definedName>
    <definedName name="TextRefCopy123">#REF!</definedName>
    <definedName name="TextRefCopy124">#REF!</definedName>
    <definedName name="TextRefCopy125">#REF!</definedName>
    <definedName name="TextRefCopy126">#REF!</definedName>
    <definedName name="TextRefCopy127">#REF!</definedName>
    <definedName name="TextRefCopy128">#REF!</definedName>
    <definedName name="TextRefCopy129">#REF!</definedName>
    <definedName name="TextRefCopy13">#REF!</definedName>
    <definedName name="TextRefCopy130">#REF!</definedName>
    <definedName name="TextRefCopy131">#REF!</definedName>
    <definedName name="TextRefCopy132">#REF!</definedName>
    <definedName name="TextRefCopy133">#REF!</definedName>
    <definedName name="TextRefCopy134">#REF!</definedName>
    <definedName name="TextRefCopy135">#REF!</definedName>
    <definedName name="TextRefCopy136">#REF!</definedName>
    <definedName name="TextRefCopy137">#REF!</definedName>
    <definedName name="TextRefCopy138">#REF!</definedName>
    <definedName name="TextRefCopy139">#REF!</definedName>
    <definedName name="TextRefCopy14">#REF!</definedName>
    <definedName name="TextRefCopy140">#REF!</definedName>
    <definedName name="TextRefCopy141">#REF!</definedName>
    <definedName name="TextRefCopy142">#REF!</definedName>
    <definedName name="TextRefCopy143">#REF!</definedName>
    <definedName name="TextRefCopy144">#REF!</definedName>
    <definedName name="TextRefCopy145">#REF!</definedName>
    <definedName name="TextRefCopy146">'[3]Metodo de Costo'!$K$29</definedName>
    <definedName name="TextRefCopy147">#REF!</definedName>
    <definedName name="TextRefCopy148">#REF!</definedName>
    <definedName name="TextRefCopy149">#REF!</definedName>
    <definedName name="TextRefCopy15">#REF!</definedName>
    <definedName name="TextRefCopy150">#REF!</definedName>
    <definedName name="TextRefCopy151">#REF!</definedName>
    <definedName name="TextRefCopy152">#REF!</definedName>
    <definedName name="TextRefCopy153">#REF!</definedName>
    <definedName name="TextRefCopy154">'[3]Metodo de Costo'!$K$30</definedName>
    <definedName name="TextRefCopy155">#REF!</definedName>
    <definedName name="TextRefCopy156">#REF!</definedName>
    <definedName name="TextRefCopy157">#REF!</definedName>
    <definedName name="TextRefCopy158">'[3]Metodo de Costo'!#REF!</definedName>
    <definedName name="TextRefCopy159">'[4]Metodo de Costo'!#REF!</definedName>
    <definedName name="TextRefCopy16">#REF!</definedName>
    <definedName name="TextRefCopy160">#REF!</definedName>
    <definedName name="TextRefCopy161">#REF!</definedName>
    <definedName name="TextRefCopy162">'[4]Metodo de Costo'!#REF!</definedName>
    <definedName name="TextRefCopy163">#REF!</definedName>
    <definedName name="TextRefCopy164">#REF!</definedName>
    <definedName name="TextRefCopy165">#REF!</definedName>
    <definedName name="TextRefCopy166">#REF!</definedName>
    <definedName name="TextRefCopy167">#REF!</definedName>
    <definedName name="TextRefCopy169">'[3]Metodo de Costo'!#REF!</definedName>
    <definedName name="TextRefCopy17">#REF!</definedName>
    <definedName name="TextRefCopy170">'[3]Metodo de Costo'!#REF!</definedName>
    <definedName name="TextRefCopy171">'[3]Metodo de Costo'!#REF!</definedName>
    <definedName name="TextRefCopy172">'[3]Metodo de Costo'!#REF!</definedName>
    <definedName name="TextRefCopy173">#REF!</definedName>
    <definedName name="TextRefCopy174">#REF!</definedName>
    <definedName name="TextRefCopy175">#REF!</definedName>
    <definedName name="TextRefCopy176">#REF!</definedName>
    <definedName name="TextRefCopy177">#REF!</definedName>
    <definedName name="TextRefCopy178">#REF!</definedName>
    <definedName name="TextRefCopy179">#REF!</definedName>
    <definedName name="TextRefCopy18">#REF!</definedName>
    <definedName name="TextRefCopy180">#REF!</definedName>
    <definedName name="TextRefCopy181">#REF!</definedName>
    <definedName name="TextRefCopy182">#REF!</definedName>
    <definedName name="TextRefCopy183">#REF!</definedName>
    <definedName name="TextRefCopy184">#REF!</definedName>
    <definedName name="TextRefCopy185">#REF!</definedName>
    <definedName name="TextRefCopy186">'[3]Metodo de Costo'!#REF!</definedName>
    <definedName name="TextRefCopy187">#REF!</definedName>
    <definedName name="TextRefCopy188">#REF!</definedName>
    <definedName name="TextRefCopy189">#REF!</definedName>
    <definedName name="TextRefCopy19">#REF!</definedName>
    <definedName name="TextRefCopy190">#REF!</definedName>
    <definedName name="TextRefCopy191">#REF!</definedName>
    <definedName name="TextRefCopy192">#REF!</definedName>
    <definedName name="TextRefCopy193">#REF!</definedName>
    <definedName name="TextRefCopy194">#REF!</definedName>
    <definedName name="TextRefCopy195">#REF!</definedName>
    <definedName name="TextRefCopy196">#REF!</definedName>
    <definedName name="TextRefCopy197">#REF!</definedName>
    <definedName name="TextRefCopy198">#REF!</definedName>
    <definedName name="TextRefCopy199">#REF!</definedName>
    <definedName name="TextRefCopy2">'[5]Metodo del Costo'!#REF!</definedName>
    <definedName name="TextRefCopy20">#REF!</definedName>
    <definedName name="TextRefCopy200">#REF!</definedName>
    <definedName name="TextRefCopy201">'[4]Metodo de Costo'!#REF!</definedName>
    <definedName name="TextRefCopy202">#REF!</definedName>
    <definedName name="TextRefCopy203">#REF!</definedName>
    <definedName name="TextRefCopy204">#REF!</definedName>
    <definedName name="TextRefCopy205">#REF!</definedName>
    <definedName name="TextRefCopy206">#REF!</definedName>
    <definedName name="TextRefCopy207">#REF!</definedName>
    <definedName name="TextRefCopy208">#REF!</definedName>
    <definedName name="TextRefCopy209">#REF!</definedName>
    <definedName name="TextRefCopy21">#REF!</definedName>
    <definedName name="TextRefCopy210">#REF!</definedName>
    <definedName name="TextRefCopy211">#REF!</definedName>
    <definedName name="TextRefCopy212">#REF!</definedName>
    <definedName name="TextRefCopy213">#REF!</definedName>
    <definedName name="TextRefCopy214">#REF!</definedName>
    <definedName name="TextRefCopy215">#REF!</definedName>
    <definedName name="TextRefCopy216">#REF!</definedName>
    <definedName name="TextRefCopy217">#REF!</definedName>
    <definedName name="TextRefCopy218">'[3]Metodo de Costo'!$K$39</definedName>
    <definedName name="TextRefCopy219">'[4]Metodo de Costo'!#REF!</definedName>
    <definedName name="TextRefCopy22">#REF!</definedName>
    <definedName name="TextRefCopy220">'[4]Metodo de Costo'!#REF!</definedName>
    <definedName name="TextRefCopy223">'[3]Metodo de Costo'!#REF!</definedName>
    <definedName name="TextRefCopy23">#REF!</definedName>
    <definedName name="TextRefCopy231">#REF!</definedName>
    <definedName name="TextRefCopy232">#REF!</definedName>
    <definedName name="TextRefCopy233">#REF!</definedName>
    <definedName name="TextRefCopy234">#REF!</definedName>
    <definedName name="TextRefCopy235">#REF!</definedName>
    <definedName name="TextRefCopy236">#REF!</definedName>
    <definedName name="TextRefCopy237">#REF!</definedName>
    <definedName name="TextRefCopy238">#REF!</definedName>
    <definedName name="TextRefCopy239">#REF!</definedName>
    <definedName name="TextRefCopy24">#REF!</definedName>
    <definedName name="TextRefCopy240">#REF!</definedName>
    <definedName name="TextRefCopy241">#REF!</definedName>
    <definedName name="TextRefCopy242">#REF!</definedName>
    <definedName name="TextRefCopy243">#REF!</definedName>
    <definedName name="TextRefCopy244">#REF!</definedName>
    <definedName name="TextRefCopy245">#REF!</definedName>
    <definedName name="TextRefCopy246">#REF!</definedName>
    <definedName name="TextRefCopy247">#REF!</definedName>
    <definedName name="TextRefCopy248">#REF!</definedName>
    <definedName name="TextRefCopy249">#REF!</definedName>
    <definedName name="TextRefCopy25">#REF!</definedName>
    <definedName name="TextRefCopy250">#REF!</definedName>
    <definedName name="TextRefCopy251">#REF!</definedName>
    <definedName name="TextRefCopy252">#REF!</definedName>
    <definedName name="TextRefCopy253">#REF!</definedName>
    <definedName name="TextRefCopy254">#REF!</definedName>
    <definedName name="TextRefCopy255">#REF!</definedName>
    <definedName name="TextRefCopy256">#REF!</definedName>
    <definedName name="TextRefCopy257">#REF!</definedName>
    <definedName name="TextRefCopy258">#REF!</definedName>
    <definedName name="TextRefCopy259">#REF!</definedName>
    <definedName name="TextRefCopy26">#REF!</definedName>
    <definedName name="TextRefCopy260">#REF!</definedName>
    <definedName name="TextRefCopy261">#REF!</definedName>
    <definedName name="TextRefCopy262">#REF!</definedName>
    <definedName name="TextRefCopy263">#REF!</definedName>
    <definedName name="TextRefCopy264">#REF!</definedName>
    <definedName name="TextRefCopy265">#REF!</definedName>
    <definedName name="TextRefCopy266">#REF!</definedName>
    <definedName name="TextRefCopy267">#REF!</definedName>
    <definedName name="TextRefCopy268">#REF!</definedName>
    <definedName name="TextRefCopy269">#REF!</definedName>
    <definedName name="TextRefCopy27">#REF!</definedName>
    <definedName name="TextRefCopy270">#REF!</definedName>
    <definedName name="TextRefCopy271">#REF!</definedName>
    <definedName name="TextRefCopy272">#REF!</definedName>
    <definedName name="TextRefCopy273">#REF!</definedName>
    <definedName name="TextRefCopy274">#REF!</definedName>
    <definedName name="TextRefCopy275">#REF!</definedName>
    <definedName name="TextRefCopy276">#REF!</definedName>
    <definedName name="TextRefCopy277">#REF!</definedName>
    <definedName name="TextRefCopy278">#REF!</definedName>
    <definedName name="TextRefCopy279">#REF!</definedName>
    <definedName name="TextRefCopy28">#REF!</definedName>
    <definedName name="TextRefCopy280">#REF!</definedName>
    <definedName name="TextRefCopy281">#REF!</definedName>
    <definedName name="TextRefCopy282">#REF!</definedName>
    <definedName name="TextRefCopy283">#REF!</definedName>
    <definedName name="TextRefCopy284">#REF!</definedName>
    <definedName name="TextRefCopy285">#REF!</definedName>
    <definedName name="TextRefCopy286">#REF!</definedName>
    <definedName name="TextRefCopy287">#REF!</definedName>
    <definedName name="TextRefCopy288">#REF!</definedName>
    <definedName name="TextRefCopy289">#REF!</definedName>
    <definedName name="TextRefCopy29">#REF!</definedName>
    <definedName name="TextRefCopy290">#REF!</definedName>
    <definedName name="TextRefCopy291">#REF!</definedName>
    <definedName name="TextRefCopy292">#REF!</definedName>
    <definedName name="TextRefCopy293">#REF!</definedName>
    <definedName name="TextRefCopy294">#REF!</definedName>
    <definedName name="TextRefCopy295">#REF!</definedName>
    <definedName name="TextRefCopy296">#REF!</definedName>
    <definedName name="TextRefCopy297">#REF!</definedName>
    <definedName name="TextRefCopy298">#REF!</definedName>
    <definedName name="TextRefCopy299">#REF!</definedName>
    <definedName name="TextRefCopy3">'[5]Metodo del Costo'!#REF!</definedName>
    <definedName name="TextRefCopy30">#REF!</definedName>
    <definedName name="TextRefCopy300">#REF!</definedName>
    <definedName name="TextRefCopy301">#REF!</definedName>
    <definedName name="TextRefCopy302">#REF!</definedName>
    <definedName name="TextRefCopy303">#REF!</definedName>
    <definedName name="TextRefCopy304">#REF!</definedName>
    <definedName name="TextRefCopy305">#REF!</definedName>
    <definedName name="TextRefCopy306">#REF!</definedName>
    <definedName name="TextRefCopy307">#REF!</definedName>
    <definedName name="TextRefCopy308">#REF!</definedName>
    <definedName name="TextRefCopy309">#REF!</definedName>
    <definedName name="TextRefCopy31">#REF!</definedName>
    <definedName name="TextRefCopy310">#REF!</definedName>
    <definedName name="TextRefCopy311">#REF!</definedName>
    <definedName name="TextRefCopy312">#REF!</definedName>
    <definedName name="TextRefCopy313">#REF!</definedName>
    <definedName name="TextRefCopy314">#REF!</definedName>
    <definedName name="TextRefCopy316">#REF!</definedName>
    <definedName name="TextRefCopy317">'[3]Metodo de Costo'!#REF!</definedName>
    <definedName name="TextRefCopy318">#REF!</definedName>
    <definedName name="TextRefCopy319">'[3]Metodo de Costo'!#REF!</definedName>
    <definedName name="TextRefCopy32">#REF!</definedName>
    <definedName name="TextRefCopy320">#REF!</definedName>
    <definedName name="TextRefCopy321">'[3]Metodo de Costo'!#REF!</definedName>
    <definedName name="TextRefCopy322">#REF!</definedName>
    <definedName name="TextRefCopy323">'[3]Metodo de Costo'!#REF!</definedName>
    <definedName name="TextRefCopy324">#REF!</definedName>
    <definedName name="TextRefCopy325">#REF!</definedName>
    <definedName name="TextRefCopy326">'[3]Metodo de Costo'!#REF!</definedName>
    <definedName name="TextRefCopy327">#REF!</definedName>
    <definedName name="TextRefCopy328">#REF!</definedName>
    <definedName name="TextRefCopy329">'[3]Metodo de Costo'!#REF!</definedName>
    <definedName name="TextRefCopy33">#REF!</definedName>
    <definedName name="TextRefCopy331">'[3]Metodo de Costo'!#REF!</definedName>
    <definedName name="TextRefCopy332">'[3]Metodo de Costo'!#REF!</definedName>
    <definedName name="TextRefCopy333">'[3]Metodo de Costo'!#REF!</definedName>
    <definedName name="TextRefCopy335">#REF!</definedName>
    <definedName name="TextRefCopy336">'[3]Metodo de Costo'!#REF!</definedName>
    <definedName name="TextRefCopy337">#REF!</definedName>
    <definedName name="TextRefCopy338">'[3]Metodo de Costo'!#REF!</definedName>
    <definedName name="TextRefCopy339">#REF!</definedName>
    <definedName name="TextRefCopy34">#REF!</definedName>
    <definedName name="TextRefCopy340">#REF!</definedName>
    <definedName name="TextRefCopy341">#REF!</definedName>
    <definedName name="TextRefCopy342">#REF!</definedName>
    <definedName name="TextRefCopy343">#REF!</definedName>
    <definedName name="TextRefCopy344">#REF!</definedName>
    <definedName name="TextRefCopy345">#REF!</definedName>
    <definedName name="TextRefCopy346">#REF!</definedName>
    <definedName name="TextRefCopy347">#REF!</definedName>
    <definedName name="TextRefCopy348">#REF!</definedName>
    <definedName name="TextRefCopy349">#REF!</definedName>
    <definedName name="TextRefCopy35">#REF!</definedName>
    <definedName name="TextRefCopy350">#REF!</definedName>
    <definedName name="TextRefCopy351">#REF!</definedName>
    <definedName name="TextRefCopy352">#REF!</definedName>
    <definedName name="TextRefCopy353">#REF!</definedName>
    <definedName name="TextRefCopy354">#REF!</definedName>
    <definedName name="TextRefCopy355">#REF!</definedName>
    <definedName name="TextRefCopy356">#REF!</definedName>
    <definedName name="TextRefCopy357">'[3]Metodo de Costo'!#REF!</definedName>
    <definedName name="TextRefCopy358">#REF!</definedName>
    <definedName name="TextRefCopy359">#REF!</definedName>
    <definedName name="TextRefCopy36">#REF!</definedName>
    <definedName name="TextRefCopy360">#REF!</definedName>
    <definedName name="TextRefCopy361">#REF!</definedName>
    <definedName name="TextRefCopy362">#REF!</definedName>
    <definedName name="TextRefCopy363">#REF!</definedName>
    <definedName name="TextRefCopy364">#REF!</definedName>
    <definedName name="TextRefCopy365">#REF!</definedName>
    <definedName name="TextRefCopy366">'[3]Metodo de Costo'!#REF!</definedName>
    <definedName name="TextRefCopy367">#REF!</definedName>
    <definedName name="TextRefCopy368">'[3]Metodo de Costo'!#REF!</definedName>
    <definedName name="TextRefCopy369">#REF!</definedName>
    <definedName name="TextRefCopy37">#REF!</definedName>
    <definedName name="TextRefCopy370">'[4]Metodo de Costo'!#REF!</definedName>
    <definedName name="TextRefCopy371">'[4]Metodo de Costo'!#REF!</definedName>
    <definedName name="TextRefCopy372">'[4]Metodo de Costo'!#REF!</definedName>
    <definedName name="TextRefCopy373">'[4]Metodo de Costo'!#REF!</definedName>
    <definedName name="TextRefCopy374">'[4]Metodo de Costo'!#REF!</definedName>
    <definedName name="TextRefCopy375">'[4]Metodo de Costo'!#REF!</definedName>
    <definedName name="TextRefCopy376">#REF!</definedName>
    <definedName name="TextRefCopy378">#REF!</definedName>
    <definedName name="TextRefCopy379">'[3]Metodo de Costo'!#REF!</definedName>
    <definedName name="TextRefCopy38">#REF!</definedName>
    <definedName name="TextRefCopy380">#REF!</definedName>
    <definedName name="TextRefCopy381">'[3]Metodo de Costo'!#REF!</definedName>
    <definedName name="TextRefCopy382">'[4]Metodo de Costo'!#REF!</definedName>
    <definedName name="TextRefCopy383">'[4]Metodo de Costo'!#REF!</definedName>
    <definedName name="TextRefCopy384">'[4]Metodo de Costo'!#REF!</definedName>
    <definedName name="TextRefCopy386">#REF!</definedName>
    <definedName name="TextRefCopy388">#REF!</definedName>
    <definedName name="TextRefCopy39">#REF!</definedName>
    <definedName name="TextRefCopy390">#REF!</definedName>
    <definedName name="TextRefCopy391">#REF!</definedName>
    <definedName name="TextRefCopy392">#REF!</definedName>
    <definedName name="TextRefCopy393">#REF!</definedName>
    <definedName name="TextRefCopy395">#REF!</definedName>
    <definedName name="TextRefCopy397">#REF!</definedName>
    <definedName name="TextRefCopy399">#REF!</definedName>
    <definedName name="TextRefCopy4">'[5]Metodo del Costo'!#REF!</definedName>
    <definedName name="TextRefCopy40">#REF!</definedName>
    <definedName name="TextRefCopy401">#REF!</definedName>
    <definedName name="TextRefCopy403">#REF!</definedName>
    <definedName name="TextRefCopy405">#REF!</definedName>
    <definedName name="TextRefCopy407">#REF!</definedName>
    <definedName name="TextRefCopy409">#REF!</definedName>
    <definedName name="TextRefCopy41">#REF!</definedName>
    <definedName name="TextRefCopy410">#REF!</definedName>
    <definedName name="TextRefCopy412">#REF!</definedName>
    <definedName name="TextRefCopy414">#REF!</definedName>
    <definedName name="TextRefCopy416">#REF!</definedName>
    <definedName name="TextRefCopy417">#REF!</definedName>
    <definedName name="TextRefCopy419">#REF!</definedName>
    <definedName name="TextRefCopy42">#REF!</definedName>
    <definedName name="TextRefCopy421">#REF!</definedName>
    <definedName name="TextRefCopy422">#REF!</definedName>
    <definedName name="TextRefCopy423">#REF!</definedName>
    <definedName name="TextRefCopy425">#REF!</definedName>
    <definedName name="TextRefCopy426">#REF!</definedName>
    <definedName name="TextRefCopy428">#REF!</definedName>
    <definedName name="TextRefCopy429">#REF!</definedName>
    <definedName name="TextRefCopy43">#REF!</definedName>
    <definedName name="TextRefCopy431">#REF!</definedName>
    <definedName name="TextRefCopy433">#REF!</definedName>
    <definedName name="TextRefCopy435">#REF!</definedName>
    <definedName name="TextRefCopy437">#REF!</definedName>
    <definedName name="TextRefCopy439">#REF!</definedName>
    <definedName name="TextRefCopy44">#REF!</definedName>
    <definedName name="TextRefCopy442">#REF!</definedName>
    <definedName name="TextRefCopy444">#REF!</definedName>
    <definedName name="TextRefCopy445">#REF!</definedName>
    <definedName name="TextRefCopy447">#REF!</definedName>
    <definedName name="TextRefCopy448">'[6]Metodo de participación'!#REF!</definedName>
    <definedName name="TextRefCopy449">'[6]Metodo de participación'!#REF!</definedName>
    <definedName name="TextRefCopy45">#REF!</definedName>
    <definedName name="TextRefCopy46">'[5]Metodo del Costo'!#REF!</definedName>
    <definedName name="TextRefCopy47">#REF!</definedName>
    <definedName name="TextRefCopy48">#REF!</definedName>
    <definedName name="TextRefCopy49">#REF!</definedName>
    <definedName name="TextRefCopy5">'[5]Metodo del Costo'!#REF!</definedName>
    <definedName name="TextRefCopy50">'[5]Metodo del Costo'!#REF!</definedName>
    <definedName name="TextRefCopy51">'[5]Metodo del Costo'!#REF!</definedName>
    <definedName name="TextRefCopy52">'[5]Metodo del Costo'!#REF!</definedName>
    <definedName name="TextRefCopy53">#REF!</definedName>
    <definedName name="TextRefCopy54">'[5]Metodo del Costo'!#REF!</definedName>
    <definedName name="TextRefCopy55">#REF!</definedName>
    <definedName name="TextRefCopy56">#REF!</definedName>
    <definedName name="TextRefCopy57">'[5]Metodo del Costo'!#REF!</definedName>
    <definedName name="TextRefCopy58">#REF!</definedName>
    <definedName name="TextRefCopy59">#REF!</definedName>
    <definedName name="TextRefCopy6">'[5]Metodo del Costo'!#REF!</definedName>
    <definedName name="TextRefCopy60">'[5]Metodo del Costo'!#REF!</definedName>
    <definedName name="TextRefCopy61">#REF!</definedName>
    <definedName name="TextRefCopy62">#REF!</definedName>
    <definedName name="TextRefCopy63">#REF!</definedName>
    <definedName name="TextRefCopy64">#REF!</definedName>
    <definedName name="TextRefCopy65">#REF!</definedName>
    <definedName name="TextRefCopy66">#REF!</definedName>
    <definedName name="TextRefCopy67">#REF!</definedName>
    <definedName name="TextRefCopy68">#REF!</definedName>
    <definedName name="TextRefCopy69">#REF!</definedName>
    <definedName name="TextRefCopy7">'[5]Metodo del Costo'!#REF!</definedName>
    <definedName name="TextRefCopy70">#REF!</definedName>
    <definedName name="TextRefCopy71">#REF!</definedName>
    <definedName name="TextRefCopy72">#REF!</definedName>
    <definedName name="TextRefCopy73">#REF!</definedName>
    <definedName name="TextRefCopy74">#REF!</definedName>
    <definedName name="TextRefCopy75">#REF!</definedName>
    <definedName name="TextRefCopy76">#REF!</definedName>
    <definedName name="TextRefCopy77">#REF!</definedName>
    <definedName name="TextRefCopy78">#REF!</definedName>
    <definedName name="TextRefCopy79">#REF!</definedName>
    <definedName name="TextRefCopy8">#REF!</definedName>
    <definedName name="TextRefCopy80">#REF!</definedName>
    <definedName name="TextRefCopy81">#REF!</definedName>
    <definedName name="TextRefCopy82">#REF!</definedName>
    <definedName name="TextRefCopy83">#REF!</definedName>
    <definedName name="TextRefCopy84">#REF!</definedName>
    <definedName name="TextRefCopy85">#REF!</definedName>
    <definedName name="TextRefCopy86">#REF!</definedName>
    <definedName name="TextRefCopy87">#REF!</definedName>
    <definedName name="TextRefCopy88">#REF!</definedName>
    <definedName name="TextRefCopy89">#REF!</definedName>
    <definedName name="TextRefCopy9">#REF!</definedName>
    <definedName name="TextRefCopy90">#REF!</definedName>
    <definedName name="TextRefCopy91">#REF!</definedName>
    <definedName name="TextRefCopy92">#REF!</definedName>
    <definedName name="TextRefCopy93">#REF!</definedName>
    <definedName name="TextRefCopy94">#REF!</definedName>
    <definedName name="TextRefCopy95">#REF!</definedName>
    <definedName name="TextRefCopy96">#REF!</definedName>
    <definedName name="TextRefCopy97">#REF!</definedName>
    <definedName name="TextRefCopy98">#REF!</definedName>
    <definedName name="TextRefCopy99">#REF!</definedName>
    <definedName name="TextRefCopyRangeCount" hidden="1">47</definedName>
    <definedName name="Títulos_a_imprimir_IM">#REF!</definedName>
    <definedName name="wefqwy">#REF!</definedName>
    <definedName name="wefrgw4thw">#REF!</definedName>
    <definedName name="werg">#REF!</definedName>
    <definedName name="wrn.Aging._.and._.Trend._.Analysis." hidden="1">{#N/A,#N/A,FALSE,"Aging Summary";#N/A,#N/A,FALSE,"Ratio Analysis";#N/A,#N/A,FALSE,"Test 120 Day Accts";#N/A,#N/A,FALSE,"Tickmarks"}</definedName>
    <definedName name="XREF_COLUMN_1" hidden="1">#REF!</definedName>
    <definedName name="XREF_COLUMN_2" hidden="1">#REF!</definedName>
    <definedName name="XREF_COLUMN_3" hidden="1">#REF!</definedName>
    <definedName name="XREF_COLUMN_4" hidden="1">#REF!</definedName>
    <definedName name="XREF_COLUMN_7" hidden="1">'[4]Metodo de Costo'!#REF!</definedName>
    <definedName name="XREF_COLUMN_8" hidden="1">#REF!</definedName>
    <definedName name="XRefActiveRow" hidden="1">#REF!</definedName>
    <definedName name="XRefColumnsCount" hidden="1">4</definedName>
    <definedName name="XRefCopy1" hidden="1">#REF!</definedName>
    <definedName name="XRefCopy10" hidden="1">#REF!</definedName>
    <definedName name="XRefCopy10Row" hidden="1">#REF!</definedName>
    <definedName name="XRefCopy11" hidden="1">#REF!</definedName>
    <definedName name="XRefCopy11Row" hidden="1">#REF!</definedName>
    <definedName name="XRefCopy12Row" hidden="1">#REF!</definedName>
    <definedName name="XRefCopy13Row" hidden="1">#REF!</definedName>
    <definedName name="XRefCopy14" hidden="1">'[4]Método Participación (Nal)'!#REF!</definedName>
    <definedName name="XRefCopy14Row" hidden="1">#REF!</definedName>
    <definedName name="XRefCopy15Row" hidden="1">#REF!</definedName>
    <definedName name="XRefCopy17Row" hidden="1">#REF!</definedName>
    <definedName name="XRefCopy18" hidden="1">#REF!</definedName>
    <definedName name="XRefCopy18Row" hidden="1">#REF!</definedName>
    <definedName name="XRefCopy19" hidden="1">#REF!</definedName>
    <definedName name="XRefCopy19Row" hidden="1">#REF!</definedName>
    <definedName name="XRefCopy1Row" hidden="1">#REF!</definedName>
    <definedName name="XRefCopy20" hidden="1">#REF!</definedName>
    <definedName name="XRefCopy20Row" hidden="1">#REF!</definedName>
    <definedName name="XRefCopy21" hidden="1">#REF!</definedName>
    <definedName name="XRefCopy22" hidden="1">#REF!</definedName>
    <definedName name="XRefCopy22Row" hidden="1">#REF!</definedName>
    <definedName name="XRefCopy23" hidden="1">#REF!</definedName>
    <definedName name="XRefCopy24" hidden="1">#REF!</definedName>
    <definedName name="XRefCopy24Row" hidden="1">#REF!</definedName>
    <definedName name="XRefCopy3" hidden="1">#REF!</definedName>
    <definedName name="XRefCopy3Row" hidden="1">#REF!</definedName>
    <definedName name="XRefCopy4" hidden="1">#REF!</definedName>
    <definedName name="XRefCopy4Row" hidden="1">#REF!</definedName>
    <definedName name="XRefCopy5" hidden="1">#REF!</definedName>
    <definedName name="XRefCopy5Row" hidden="1">#REF!</definedName>
    <definedName name="XRefCopy6" hidden="1">#REF!</definedName>
    <definedName name="XRefCopy6Row" hidden="1">#REF!</definedName>
    <definedName name="XRefCopy7" hidden="1">#REF!</definedName>
    <definedName name="XRefCopy7Row" hidden="1">#REF!</definedName>
    <definedName name="XRefCopy8" hidden="1">#REF!</definedName>
    <definedName name="XRefCopy8Row" hidden="1">#REF!</definedName>
    <definedName name="XRefCopy9" hidden="1">#REF!</definedName>
    <definedName name="XRefCopy9Row" hidden="1">#REF!</definedName>
    <definedName name="XRefCopyRangeCount" hidden="1">14</definedName>
    <definedName name="XRefPaste1Row" hidden="1">#REF!</definedName>
    <definedName name="XRefPaste2Row" hidden="1">#REF!</definedName>
    <definedName name="XRefPaste3" hidden="1">'[4]Metodo de Costo'!#REF!</definedName>
    <definedName name="XRefPaste3Row" hidden="1">#REF!</definedName>
    <definedName name="XRefPaste4" hidden="1">'[4]Método Participación (Nal)'!#REF!</definedName>
    <definedName name="XRefPaste4Row" hidden="1">#REF!</definedName>
    <definedName name="XRefPaste5" hidden="1">#REF!</definedName>
    <definedName name="XRefPaste5Row" hidden="1">#REF!</definedName>
    <definedName name="XRefPasteRangeCount" hidden="1">5</definedName>
    <definedName name="ZGUJC">#REF!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50" i="10" l="1"/>
  <c r="C46" i="10"/>
  <c r="G13" i="11" l="1"/>
  <c r="G12" i="11"/>
  <c r="D15" i="8"/>
  <c r="C23" i="11"/>
  <c r="C24" i="11" s="1"/>
  <c r="C25" i="11" s="1"/>
  <c r="C26" i="11" s="1"/>
  <c r="C27" i="11" s="1"/>
  <c r="C28" i="11" s="1"/>
  <c r="C29" i="11" s="1"/>
  <c r="C30" i="11" s="1"/>
  <c r="C31" i="11" s="1"/>
  <c r="C32" i="11" s="1"/>
  <c r="C33" i="11" s="1"/>
  <c r="C34" i="11" s="1"/>
  <c r="C35" i="11" s="1"/>
  <c r="C36" i="11" s="1"/>
  <c r="C37" i="11" s="1"/>
  <c r="C38" i="11" s="1"/>
  <c r="C39" i="11" s="1"/>
  <c r="C40" i="11" s="1"/>
  <c r="C41" i="11" s="1"/>
  <c r="C42" i="11" s="1"/>
  <c r="C43" i="11" s="1"/>
  <c r="C44" i="11" s="1"/>
  <c r="C45" i="11" s="1"/>
  <c r="C46" i="11" s="1"/>
  <c r="C47" i="11" s="1"/>
  <c r="C48" i="11" s="1"/>
  <c r="C49" i="11" s="1"/>
  <c r="C50" i="11" s="1"/>
  <c r="C51" i="11" s="1"/>
  <c r="C52" i="11" s="1"/>
  <c r="C53" i="11" s="1"/>
  <c r="C54" i="11" s="1"/>
  <c r="C55" i="11" s="1"/>
  <c r="C56" i="11" s="1"/>
  <c r="C57" i="11" s="1"/>
  <c r="C58" i="11" s="1"/>
  <c r="C59" i="11" s="1"/>
  <c r="C60" i="11" s="1"/>
  <c r="C61" i="11" s="1"/>
  <c r="C62" i="11" s="1"/>
  <c r="C63" i="11" s="1"/>
  <c r="C64" i="11" s="1"/>
  <c r="C65" i="11" s="1"/>
  <c r="C66" i="11" s="1"/>
  <c r="C67" i="11" s="1"/>
  <c r="C68" i="11" s="1"/>
  <c r="C69" i="11" s="1"/>
  <c r="C70" i="11" s="1"/>
  <c r="C71" i="11" s="1"/>
  <c r="C72" i="11" s="1"/>
  <c r="C73" i="11" s="1"/>
  <c r="C74" i="11" s="1"/>
  <c r="C75" i="11" s="1"/>
  <c r="C76" i="11" s="1"/>
  <c r="C77" i="11" s="1"/>
  <c r="C78" i="11" s="1"/>
  <c r="C79" i="11" s="1"/>
  <c r="D15" i="11"/>
  <c r="D14" i="11"/>
  <c r="D13" i="11"/>
  <c r="D16" i="11" l="1"/>
  <c r="H79" i="11" l="1"/>
  <c r="H75" i="11"/>
  <c r="H71" i="11"/>
  <c r="H67" i="11"/>
  <c r="H63" i="11"/>
  <c r="H59" i="11"/>
  <c r="H55" i="11"/>
  <c r="H51" i="11"/>
  <c r="H47" i="11"/>
  <c r="H43" i="11"/>
  <c r="H39" i="11"/>
  <c r="H35" i="11"/>
  <c r="H31" i="11"/>
  <c r="H27" i="11"/>
  <c r="H21" i="11"/>
  <c r="H78" i="11"/>
  <c r="H74" i="11"/>
  <c r="H70" i="11"/>
  <c r="H66" i="11"/>
  <c r="H62" i="11"/>
  <c r="H58" i="11"/>
  <c r="H54" i="11"/>
  <c r="H50" i="11"/>
  <c r="H42" i="11"/>
  <c r="H38" i="11"/>
  <c r="H34" i="11"/>
  <c r="H30" i="11"/>
  <c r="H26" i="11"/>
  <c r="H23" i="11"/>
  <c r="H20" i="11"/>
  <c r="H77" i="11"/>
  <c r="H73" i="11"/>
  <c r="H69" i="11"/>
  <c r="H65" i="11"/>
  <c r="H61" i="11"/>
  <c r="H57" i="11"/>
  <c r="H53" i="11"/>
  <c r="H49" i="11"/>
  <c r="H45" i="11"/>
  <c r="H41" i="11"/>
  <c r="H37" i="11"/>
  <c r="H33" i="11"/>
  <c r="H25" i="11"/>
  <c r="H76" i="11"/>
  <c r="H68" i="11"/>
  <c r="H60" i="11"/>
  <c r="H52" i="11"/>
  <c r="H44" i="11"/>
  <c r="H36" i="11"/>
  <c r="H28" i="11"/>
  <c r="H22" i="11"/>
  <c r="H46" i="11"/>
  <c r="H29" i="11"/>
  <c r="H72" i="11"/>
  <c r="H64" i="11"/>
  <c r="H56" i="11"/>
  <c r="H48" i="11"/>
  <c r="H40" i="11"/>
  <c r="H32" i="11"/>
  <c r="H24" i="11"/>
  <c r="I19" i="11"/>
  <c r="D20" i="11" l="1"/>
  <c r="G20" i="11" l="1"/>
  <c r="F20" i="11"/>
  <c r="E20" i="11" s="1"/>
  <c r="I20" i="11" l="1"/>
  <c r="D21" i="11" l="1"/>
  <c r="F21" i="11" l="1"/>
  <c r="E21" i="11" s="1"/>
  <c r="G21" i="11"/>
  <c r="I21" i="11" l="1"/>
  <c r="D22" i="11" s="1"/>
  <c r="F22" i="11" l="1"/>
  <c r="E22" i="11" s="1"/>
  <c r="G22" i="11"/>
  <c r="I22" i="11" l="1"/>
  <c r="D23" i="11" s="1"/>
  <c r="F23" i="11" l="1"/>
  <c r="E23" i="11" s="1"/>
  <c r="G23" i="11"/>
  <c r="I23" i="11" l="1"/>
  <c r="D24" i="11" s="1"/>
  <c r="G24" i="11" l="1"/>
  <c r="F24" i="11"/>
  <c r="E24" i="11" s="1"/>
  <c r="I24" i="11" l="1"/>
  <c r="D25" i="11" s="1"/>
  <c r="F25" i="11" s="1"/>
  <c r="E25" i="11" s="1"/>
  <c r="G25" i="11" l="1"/>
  <c r="I25" i="11" s="1"/>
  <c r="D26" i="11" s="1"/>
  <c r="F26" i="11" l="1"/>
  <c r="E26" i="11" s="1"/>
  <c r="G26" i="11"/>
  <c r="I26" i="11"/>
  <c r="D27" i="11" l="1"/>
  <c r="G27" i="11" l="1"/>
  <c r="F27" i="11"/>
  <c r="E27" i="11" s="1"/>
  <c r="I27" i="11" l="1"/>
  <c r="D28" i="11" l="1"/>
  <c r="G28" i="11" l="1"/>
  <c r="F28" i="11"/>
  <c r="E28" i="11" s="1"/>
  <c r="I28" i="11" l="1"/>
  <c r="D29" i="11" s="1"/>
  <c r="G29" i="11" l="1"/>
  <c r="F29" i="11"/>
  <c r="E29" i="11" s="1"/>
  <c r="I29" i="11" l="1"/>
  <c r="D30" i="11" l="1"/>
  <c r="F30" i="11" l="1"/>
  <c r="E30" i="11" s="1"/>
  <c r="G30" i="11"/>
  <c r="I30" i="11" l="1"/>
  <c r="D31" i="11" l="1"/>
  <c r="F31" i="11" l="1"/>
  <c r="E31" i="11" s="1"/>
  <c r="G31" i="11"/>
  <c r="I31" i="11" l="1"/>
  <c r="D32" i="11" l="1"/>
  <c r="F32" i="11" l="1"/>
  <c r="E32" i="11" s="1"/>
  <c r="G32" i="11"/>
  <c r="I32" i="11" l="1"/>
  <c r="D33" i="11" s="1"/>
  <c r="F33" i="11" l="1"/>
  <c r="E33" i="11" s="1"/>
  <c r="G33" i="11"/>
  <c r="I33" i="11" l="1"/>
  <c r="D34" i="11" l="1"/>
  <c r="C60" i="10"/>
  <c r="E46" i="10"/>
  <c r="E45" i="10"/>
  <c r="E44" i="10"/>
  <c r="E43" i="10"/>
  <c r="D37" i="10"/>
  <c r="D38" i="10" s="1"/>
  <c r="C55" i="10" s="1"/>
  <c r="F34" i="11" l="1"/>
  <c r="E34" i="11" s="1"/>
  <c r="G34" i="11"/>
  <c r="E47" i="10"/>
  <c r="C54" i="10" s="1"/>
  <c r="D56" i="10" s="1"/>
  <c r="C61" i="10" s="1"/>
  <c r="C62" i="10" s="1"/>
  <c r="I34" i="11" l="1"/>
  <c r="E37" i="9"/>
  <c r="D37" i="9"/>
  <c r="I37" i="9"/>
  <c r="J37" i="9" s="1"/>
  <c r="Q37" i="9" s="1"/>
  <c r="L37" i="9"/>
  <c r="H37" i="9"/>
  <c r="O37" i="9" s="1"/>
  <c r="C37" i="9"/>
  <c r="B37" i="9"/>
  <c r="D35" i="11" l="1"/>
  <c r="M37" i="9"/>
  <c r="F35" i="11" l="1"/>
  <c r="E35" i="11" s="1"/>
  <c r="G35" i="11"/>
  <c r="N37" i="9"/>
  <c r="I35" i="11" l="1"/>
  <c r="R37" i="9"/>
  <c r="D44" i="8"/>
  <c r="C46" i="8"/>
  <c r="B46" i="8"/>
  <c r="C45" i="8"/>
  <c r="B45" i="8"/>
  <c r="C44" i="8"/>
  <c r="B44" i="8"/>
  <c r="A42" i="8"/>
  <c r="E33" i="8"/>
  <c r="G21" i="8"/>
  <c r="D32" i="8" s="1"/>
  <c r="A36" i="8"/>
  <c r="A30" i="8"/>
  <c r="C66" i="7"/>
  <c r="C65" i="7"/>
  <c r="A63" i="7"/>
  <c r="C61" i="7"/>
  <c r="C60" i="7"/>
  <c r="A58" i="7"/>
  <c r="C56" i="7"/>
  <c r="C55" i="7"/>
  <c r="A53" i="7"/>
  <c r="C51" i="7"/>
  <c r="C50" i="7"/>
  <c r="A48" i="7"/>
  <c r="C46" i="7"/>
  <c r="C45" i="7"/>
  <c r="C44" i="7"/>
  <c r="A42" i="7"/>
  <c r="D26" i="7"/>
  <c r="D44" i="7" s="1"/>
  <c r="C26" i="7"/>
  <c r="E45" i="7" s="1"/>
  <c r="D36" i="11" l="1"/>
  <c r="D34" i="8"/>
  <c r="C22" i="8"/>
  <c r="D46" i="7"/>
  <c r="E26" i="7"/>
  <c r="E31" i="7"/>
  <c r="C32" i="7" s="1"/>
  <c r="G36" i="11" l="1"/>
  <c r="F36" i="11"/>
  <c r="E36" i="11" s="1"/>
  <c r="I36" i="11" s="1"/>
  <c r="F22" i="8"/>
  <c r="D32" i="7"/>
  <c r="D50" i="7" s="1"/>
  <c r="E51" i="7" s="1"/>
  <c r="D37" i="11" l="1"/>
  <c r="E22" i="8"/>
  <c r="E40" i="8"/>
  <c r="E46" i="8" s="1"/>
  <c r="D38" i="8"/>
  <c r="E32" i="7"/>
  <c r="C33" i="7" s="1"/>
  <c r="G37" i="11" l="1"/>
  <c r="F37" i="11"/>
  <c r="E37" i="11" s="1"/>
  <c r="I37" i="11" s="1"/>
  <c r="G22" i="8"/>
  <c r="C23" i="8" s="1"/>
  <c r="F23" i="8" s="1"/>
  <c r="E23" i="8" s="1"/>
  <c r="E39" i="8"/>
  <c r="E45" i="8" s="1"/>
  <c r="D33" i="7"/>
  <c r="D55" i="7" s="1"/>
  <c r="E56" i="7" s="1"/>
  <c r="G23" i="8" l="1"/>
  <c r="C24" i="8" s="1"/>
  <c r="D38" i="11"/>
  <c r="E33" i="7"/>
  <c r="C34" i="7" s="1"/>
  <c r="F38" i="11" l="1"/>
  <c r="E38" i="11" s="1"/>
  <c r="G38" i="11"/>
  <c r="F24" i="8"/>
  <c r="E24" i="8" s="1"/>
  <c r="G24" i="8" s="1"/>
  <c r="D34" i="7"/>
  <c r="D60" i="7" s="1"/>
  <c r="E61" i="7" s="1"/>
  <c r="I38" i="11" l="1"/>
  <c r="C25" i="8"/>
  <c r="E34" i="7"/>
  <c r="C35" i="7" s="1"/>
  <c r="D39" i="11" l="1"/>
  <c r="F25" i="8"/>
  <c r="E25" i="8" s="1"/>
  <c r="G25" i="8" s="1"/>
  <c r="C26" i="8" s="1"/>
  <c r="D35" i="7"/>
  <c r="D65" i="7" s="1"/>
  <c r="E66" i="7" s="1"/>
  <c r="G39" i="11" l="1"/>
  <c r="F39" i="11"/>
  <c r="E39" i="11" s="1"/>
  <c r="F26" i="8"/>
  <c r="E26" i="8" s="1"/>
  <c r="G26" i="8" s="1"/>
  <c r="E35" i="7"/>
  <c r="C36" i="7" s="1"/>
  <c r="I39" i="11" l="1"/>
  <c r="D40" i="11"/>
  <c r="D36" i="7"/>
  <c r="E36" i="7"/>
  <c r="C37" i="7" s="1"/>
  <c r="F40" i="11" l="1"/>
  <c r="E40" i="11" s="1"/>
  <c r="G40" i="11"/>
  <c r="D37" i="7"/>
  <c r="E37" i="7" s="1"/>
  <c r="C38" i="7" s="1"/>
  <c r="I40" i="11" l="1"/>
  <c r="D41" i="11"/>
  <c r="D38" i="7"/>
  <c r="E38" i="7"/>
  <c r="G41" i="11" l="1"/>
  <c r="F41" i="11"/>
  <c r="E41" i="11" s="1"/>
  <c r="I41" i="11" l="1"/>
  <c r="D42" i="11"/>
  <c r="G42" i="11" l="1"/>
  <c r="F42" i="11"/>
  <c r="E42" i="11" s="1"/>
  <c r="I42" i="11" s="1"/>
  <c r="D43" i="11" l="1"/>
  <c r="F43" i="11" l="1"/>
  <c r="E43" i="11" s="1"/>
  <c r="G43" i="11"/>
  <c r="I43" i="11" l="1"/>
  <c r="D44" i="11" s="1"/>
  <c r="G44" i="11" l="1"/>
  <c r="F44" i="11"/>
  <c r="E44" i="11" s="1"/>
  <c r="I44" i="11" l="1"/>
  <c r="D45" i="11" l="1"/>
  <c r="F45" i="11" l="1"/>
  <c r="E45" i="11" s="1"/>
  <c r="G45" i="11"/>
  <c r="I45" i="11" l="1"/>
  <c r="D46" i="11" l="1"/>
  <c r="G46" i="11" l="1"/>
  <c r="F46" i="11"/>
  <c r="E46" i="11" s="1"/>
  <c r="I46" i="11" l="1"/>
  <c r="D47" i="11" l="1"/>
  <c r="F47" i="11" l="1"/>
  <c r="E47" i="11" s="1"/>
  <c r="G47" i="11"/>
  <c r="I47" i="11" l="1"/>
  <c r="D48" i="11"/>
  <c r="F48" i="11" l="1"/>
  <c r="E48" i="11" s="1"/>
  <c r="G48" i="11"/>
  <c r="I48" i="11" l="1"/>
  <c r="D49" i="11" s="1"/>
  <c r="G49" i="11" l="1"/>
  <c r="F49" i="11"/>
  <c r="E49" i="11" s="1"/>
  <c r="I49" i="11" l="1"/>
  <c r="D50" i="11"/>
  <c r="F50" i="11" l="1"/>
  <c r="E50" i="11" s="1"/>
  <c r="G50" i="11"/>
  <c r="I50" i="11" l="1"/>
  <c r="D51" i="11" l="1"/>
  <c r="F51" i="11" l="1"/>
  <c r="E51" i="11" s="1"/>
  <c r="G51" i="11"/>
  <c r="I51" i="11" l="1"/>
  <c r="D52" i="11" l="1"/>
  <c r="F52" i="11" l="1"/>
  <c r="E52" i="11" s="1"/>
  <c r="G52" i="11"/>
  <c r="I52" i="11" l="1"/>
  <c r="D53" i="11" s="1"/>
  <c r="G53" i="11" l="1"/>
  <c r="F53" i="11"/>
  <c r="E53" i="11" s="1"/>
  <c r="I53" i="11" l="1"/>
  <c r="D54" i="11" l="1"/>
  <c r="F54" i="11" l="1"/>
  <c r="E54" i="11" s="1"/>
  <c r="G54" i="11"/>
  <c r="I54" i="11" l="1"/>
  <c r="D55" i="11" s="1"/>
  <c r="F55" i="11" l="1"/>
  <c r="E55" i="11" s="1"/>
  <c r="G55" i="11"/>
  <c r="I55" i="11" l="1"/>
  <c r="D56" i="11" l="1"/>
  <c r="F56" i="11" l="1"/>
  <c r="E56" i="11" s="1"/>
  <c r="G56" i="11"/>
  <c r="I56" i="11" l="1"/>
  <c r="D57" i="11" l="1"/>
  <c r="F57" i="11" l="1"/>
  <c r="E57" i="11" s="1"/>
  <c r="G57" i="11"/>
  <c r="I57" i="11" l="1"/>
  <c r="D58" i="11" l="1"/>
  <c r="F58" i="11" l="1"/>
  <c r="E58" i="11" s="1"/>
  <c r="G58" i="11"/>
  <c r="I58" i="11" l="1"/>
  <c r="D59" i="11" l="1"/>
  <c r="G59" i="11" l="1"/>
  <c r="F59" i="11"/>
  <c r="E59" i="11" s="1"/>
  <c r="I59" i="11" l="1"/>
  <c r="D60" i="11" l="1"/>
  <c r="F60" i="11" l="1"/>
  <c r="E60" i="11" s="1"/>
  <c r="G60" i="11"/>
  <c r="I60" i="11" l="1"/>
  <c r="D61" i="11" s="1"/>
  <c r="F61" i="11" l="1"/>
  <c r="E61" i="11" s="1"/>
  <c r="G61" i="11"/>
  <c r="I61" i="11" l="1"/>
  <c r="D62" i="11" l="1"/>
  <c r="G62" i="11" l="1"/>
  <c r="F62" i="11"/>
  <c r="E62" i="11" s="1"/>
  <c r="I62" i="11" s="1"/>
  <c r="D63" i="11" l="1"/>
  <c r="G63" i="11" l="1"/>
  <c r="F63" i="11"/>
  <c r="E63" i="11" s="1"/>
  <c r="I63" i="11" l="1"/>
  <c r="D64" i="11" s="1"/>
  <c r="F64" i="11" l="1"/>
  <c r="E64" i="11" s="1"/>
  <c r="G64" i="11"/>
  <c r="I64" i="11" l="1"/>
  <c r="D65" i="11" l="1"/>
  <c r="F65" i="11" l="1"/>
  <c r="E65" i="11" s="1"/>
  <c r="G65" i="11"/>
  <c r="I65" i="11" l="1"/>
  <c r="D66" i="11" l="1"/>
  <c r="F66" i="11" l="1"/>
  <c r="E66" i="11" s="1"/>
  <c r="G66" i="11"/>
  <c r="I66" i="11" l="1"/>
  <c r="D67" i="11" l="1"/>
  <c r="F67" i="11" l="1"/>
  <c r="E67" i="11" s="1"/>
  <c r="G67" i="11"/>
  <c r="I67" i="11" l="1"/>
  <c r="D68" i="11" l="1"/>
  <c r="F68" i="11" l="1"/>
  <c r="E68" i="11" s="1"/>
  <c r="G68" i="11"/>
  <c r="I68" i="11" l="1"/>
  <c r="D69" i="11" l="1"/>
  <c r="F69" i="11" l="1"/>
  <c r="E69" i="11" s="1"/>
  <c r="G69" i="11"/>
  <c r="I69" i="11" l="1"/>
  <c r="D70" i="11" l="1"/>
  <c r="F70" i="11" l="1"/>
  <c r="E70" i="11" s="1"/>
  <c r="G70" i="11"/>
  <c r="I70" i="11" l="1"/>
  <c r="D71" i="11" l="1"/>
  <c r="G71" i="11" l="1"/>
  <c r="F71" i="11"/>
  <c r="E71" i="11" s="1"/>
  <c r="I71" i="11" l="1"/>
  <c r="D72" i="11" l="1"/>
  <c r="F72" i="11" l="1"/>
  <c r="E72" i="11" s="1"/>
  <c r="G72" i="11"/>
  <c r="I72" i="11" l="1"/>
  <c r="D73" i="11" l="1"/>
  <c r="F73" i="11" l="1"/>
  <c r="E73" i="11" s="1"/>
  <c r="G73" i="11"/>
  <c r="I73" i="11" l="1"/>
  <c r="D74" i="11" l="1"/>
  <c r="F74" i="11" l="1"/>
  <c r="E74" i="11" s="1"/>
  <c r="G74" i="11"/>
  <c r="I74" i="11" l="1"/>
  <c r="D75" i="11" s="1"/>
  <c r="G75" i="11" l="1"/>
  <c r="F75" i="11"/>
  <c r="E75" i="11" s="1"/>
  <c r="I75" i="11" l="1"/>
  <c r="D76" i="11" s="1"/>
  <c r="G76" i="11" l="1"/>
  <c r="F76" i="11"/>
  <c r="E76" i="11" s="1"/>
  <c r="I76" i="11" l="1"/>
  <c r="D77" i="11"/>
  <c r="G77" i="11" l="1"/>
  <c r="F77" i="11"/>
  <c r="E77" i="11" s="1"/>
  <c r="I77" i="11" s="1"/>
  <c r="D78" i="11" l="1"/>
  <c r="G78" i="11" l="1"/>
  <c r="F78" i="11"/>
  <c r="E78" i="11" s="1"/>
  <c r="I78" i="11" l="1"/>
  <c r="D79" i="11" l="1"/>
  <c r="G79" i="11" l="1"/>
  <c r="F79" i="11"/>
  <c r="E79" i="11" s="1"/>
  <c r="I79" i="11" l="1"/>
  <c r="N28" i="6" l="1"/>
  <c r="N27" i="6"/>
  <c r="N26" i="6"/>
  <c r="N25" i="6"/>
  <c r="N24" i="6"/>
  <c r="N23" i="6"/>
  <c r="N22" i="6"/>
  <c r="N21" i="6"/>
  <c r="N19" i="6"/>
  <c r="N18" i="6"/>
  <c r="N17" i="6"/>
  <c r="N16" i="6"/>
  <c r="N15" i="6"/>
  <c r="N14" i="6"/>
  <c r="N13" i="6"/>
  <c r="N12" i="6"/>
  <c r="N11" i="6"/>
  <c r="M10" i="6"/>
  <c r="N10" i="6" s="1"/>
  <c r="K28" i="6"/>
  <c r="K27" i="6"/>
  <c r="K26" i="6"/>
  <c r="K25" i="6"/>
  <c r="K24" i="6"/>
  <c r="K23" i="6"/>
  <c r="K22" i="6"/>
  <c r="K21" i="6"/>
  <c r="K19" i="6"/>
  <c r="K18" i="6"/>
  <c r="K17" i="6"/>
  <c r="K16" i="6"/>
  <c r="K15" i="6"/>
  <c r="K14" i="6"/>
  <c r="K13" i="6"/>
  <c r="K12" i="6"/>
  <c r="K11" i="6"/>
  <c r="K10" i="6"/>
  <c r="J28" i="6"/>
  <c r="J27" i="6"/>
  <c r="J26" i="6"/>
  <c r="J25" i="6"/>
  <c r="J24" i="6"/>
  <c r="J23" i="6"/>
  <c r="J22" i="6"/>
  <c r="J21" i="6"/>
  <c r="J20" i="6"/>
  <c r="K20" i="6" s="1"/>
  <c r="J19" i="6"/>
  <c r="J18" i="6"/>
  <c r="J17" i="6"/>
  <c r="J16" i="6"/>
  <c r="J15" i="6"/>
  <c r="J14" i="6"/>
  <c r="J13" i="6"/>
  <c r="J12" i="6"/>
  <c r="J11" i="6"/>
  <c r="J10" i="6"/>
  <c r="M28" i="6" l="1"/>
  <c r="M27" i="6"/>
  <c r="M25" i="6"/>
  <c r="M23" i="6"/>
  <c r="M22" i="6"/>
  <c r="M21" i="6"/>
  <c r="M19" i="6"/>
  <c r="M18" i="6"/>
  <c r="M17" i="6"/>
  <c r="M15" i="6"/>
  <c r="M14" i="6"/>
  <c r="M13" i="6"/>
  <c r="M11" i="6"/>
  <c r="M12" i="6" l="1"/>
  <c r="M16" i="6"/>
  <c r="M20" i="6"/>
  <c r="N20" i="6" s="1"/>
  <c r="M24" i="6"/>
  <c r="M26" i="6"/>
  <c r="H35" i="4" l="1"/>
  <c r="I35" i="4"/>
  <c r="J35" i="4" s="1"/>
  <c r="K35" i="4" s="1"/>
  <c r="L35" i="4" s="1"/>
  <c r="M35" i="4"/>
  <c r="N35" i="4" s="1"/>
  <c r="O35" i="4" s="1"/>
  <c r="P35" i="4" s="1"/>
  <c r="D15" i="2" l="1"/>
  <c r="D59" i="3"/>
  <c r="D71" i="3" s="1"/>
  <c r="D48" i="3"/>
  <c r="D35" i="3"/>
  <c r="D31" i="3"/>
  <c r="D37" i="3" s="1"/>
  <c r="E28" i="3"/>
  <c r="D18" i="3"/>
  <c r="D17" i="3"/>
  <c r="D16" i="3"/>
  <c r="D15" i="3"/>
  <c r="E15" i="3" s="1"/>
  <c r="C16" i="3" s="1"/>
  <c r="E16" i="3" s="1"/>
  <c r="C17" i="3" s="1"/>
  <c r="D57" i="2"/>
  <c r="D69" i="2" s="1"/>
  <c r="D46" i="2"/>
  <c r="D34" i="2"/>
  <c r="E21" i="2"/>
  <c r="E15" i="2"/>
  <c r="C16" i="2" s="1"/>
  <c r="D16" i="2" s="1"/>
  <c r="D43" i="2" s="1"/>
  <c r="D40" i="3" l="1"/>
  <c r="E17" i="3"/>
  <c r="C18" i="3" s="1"/>
  <c r="E18" i="3" s="1"/>
  <c r="E32" i="3"/>
  <c r="D45" i="3"/>
  <c r="E16" i="2"/>
  <c r="C17" i="2" s="1"/>
  <c r="D17" i="2" l="1"/>
  <c r="D56" i="3"/>
  <c r="D61" i="3" s="1"/>
  <c r="E46" i="3"/>
  <c r="D50" i="3"/>
  <c r="D53" i="3" s="1"/>
  <c r="E17" i="2" l="1"/>
  <c r="C18" i="2" s="1"/>
  <c r="D54" i="2"/>
  <c r="D18" i="2"/>
  <c r="D64" i="3"/>
  <c r="D68" i="3"/>
  <c r="E57" i="3"/>
  <c r="E18" i="2" l="1"/>
  <c r="D66" i="2"/>
  <c r="E69" i="3"/>
  <c r="E81" i="3"/>
  <c r="D82" i="3" s="1"/>
  <c r="D73" i="3"/>
  <c r="D76" i="3" s="1"/>
  <c r="D30" i="2" l="1"/>
  <c r="E27" i="2"/>
  <c r="E44" i="2" l="1"/>
  <c r="D36" i="2"/>
  <c r="D39" i="2" s="1"/>
  <c r="E31" i="2"/>
  <c r="D48" i="2" l="1"/>
  <c r="D51" i="2" s="1"/>
  <c r="D59" i="2"/>
  <c r="E55" i="2" l="1"/>
  <c r="D62" i="2"/>
  <c r="E67" i="2"/>
  <c r="E79" i="2" l="1"/>
  <c r="D80" i="2" s="1"/>
  <c r="D71" i="2"/>
  <c r="D74" i="2" s="1"/>
</calcChain>
</file>

<file path=xl/sharedStrings.xml><?xml version="1.0" encoding="utf-8"?>
<sst xmlns="http://schemas.openxmlformats.org/spreadsheetml/2006/main" count="351" uniqueCount="157">
  <si>
    <t>Inversiones negociables</t>
  </si>
  <si>
    <t>Cuenta</t>
  </si>
  <si>
    <t>Concepto</t>
  </si>
  <si>
    <t xml:space="preserve">Debito </t>
  </si>
  <si>
    <t>Crédito</t>
  </si>
  <si>
    <t>Bancos</t>
  </si>
  <si>
    <t>Mes 1</t>
  </si>
  <si>
    <t>Mes 2</t>
  </si>
  <si>
    <t>Mes 3</t>
  </si>
  <si>
    <t>Mes 4</t>
  </si>
  <si>
    <t>Ingresos no operacional</t>
  </si>
  <si>
    <t>Saldo inicial</t>
  </si>
  <si>
    <t>Interes</t>
  </si>
  <si>
    <t>Saldo final</t>
  </si>
  <si>
    <t>Tiempo</t>
  </si>
  <si>
    <t>Monto</t>
  </si>
  <si>
    <t>interes</t>
  </si>
  <si>
    <t>VF</t>
  </si>
  <si>
    <t>Costo amortizado</t>
  </si>
  <si>
    <t>(-) Abonos</t>
  </si>
  <si>
    <t>(+) Intereses</t>
  </si>
  <si>
    <t>(-) Deterioro</t>
  </si>
  <si>
    <t>Valor inicial</t>
  </si>
  <si>
    <t>Interés</t>
  </si>
  <si>
    <t xml:space="preserve">Débito </t>
  </si>
  <si>
    <t>Determine</t>
  </si>
  <si>
    <t>2.Intereses totales devengados al final del periodo</t>
  </si>
  <si>
    <t>3.Total de retención a pagar</t>
  </si>
  <si>
    <t>4. Intereses devengados a la fecha del seminario</t>
  </si>
  <si>
    <t>1. Valor  fufuro de la inversión</t>
  </si>
  <si>
    <t>Fecha operación</t>
  </si>
  <si>
    <t>Fecha vencimiento</t>
  </si>
  <si>
    <t>Base liquidación</t>
  </si>
  <si>
    <t>Tasa efectiva</t>
  </si>
  <si>
    <t>Valor nominal</t>
  </si>
  <si>
    <t>Plazo</t>
  </si>
  <si>
    <t>Interés bruto</t>
  </si>
  <si>
    <t xml:space="preserve">Valor futuro </t>
  </si>
  <si>
    <t>Fecha Actual</t>
  </si>
  <si>
    <t>Intereses a la fecha</t>
  </si>
  <si>
    <t>AV VILLAS</t>
  </si>
  <si>
    <t>BANCO</t>
  </si>
  <si>
    <t>Tasa diaria</t>
  </si>
  <si>
    <t>Valor futuro</t>
  </si>
  <si>
    <t>Retención</t>
  </si>
  <si>
    <t>Doc</t>
  </si>
  <si>
    <t>Nit</t>
  </si>
  <si>
    <t>Nombre y/o Razon Social</t>
  </si>
  <si>
    <t>Fecha de Corte</t>
  </si>
  <si>
    <t>Valor</t>
  </si>
  <si>
    <t>Tiempo Fi.</t>
  </si>
  <si>
    <t>Tasa</t>
  </si>
  <si>
    <t>Valor P.</t>
  </si>
  <si>
    <t>Deterioro</t>
  </si>
  <si>
    <t>ABC</t>
  </si>
  <si>
    <t>XYZ</t>
  </si>
  <si>
    <t>Caso No. 1: CDT por $315.540.000 a 120 días, con una tasa de interes 10% E.A. (Interes  simple)</t>
  </si>
  <si>
    <t>Determine el deterioro para las siguientes cuentas por cobrar en el cual se estable un modelo de negocio  de 90 días. Para el mismo utilice el WACC simple y conviertalo a diario periodico</t>
  </si>
  <si>
    <t>Fecha de deterioro</t>
  </si>
  <si>
    <t>Modelo de negocio</t>
  </si>
  <si>
    <t>El 1 de septiembre de 2019 la entidad realiza un préstamo al gerente financiero de la Compañía por $50.000.000 a siete meses sin tasa de interés, el cual deberá ser cancelado en su totalidad al finalizar el plazo establecido. Una tasa de interés de mercado similar es del 1.69% MV</t>
  </si>
  <si>
    <t>Solución</t>
  </si>
  <si>
    <r>
      <t>La cuenta por cobrar al empleado constituye una transacción de financiación, por lo cual el préstamo al gerente financiero debe ser reconocido al valor del pago futuro descontado a una tasa de interés de mercado similar  y reconocer la diferencia como un gasto por interés implícito</t>
    </r>
    <r>
      <rPr>
        <i/>
        <sz val="10"/>
        <color theme="1"/>
        <rFont val="Calibri"/>
        <family val="2"/>
        <scheme val="minor"/>
      </rPr>
      <t xml:space="preserve"> (Párrafo 11.13)</t>
    </r>
  </si>
  <si>
    <t>Calculos</t>
  </si>
  <si>
    <t>Tasa de interes</t>
  </si>
  <si>
    <t>Numero de periodos</t>
  </si>
  <si>
    <t>Valor presente</t>
  </si>
  <si>
    <t>Préstamo a empleado</t>
  </si>
  <si>
    <t>Valor presente del flujo</t>
  </si>
  <si>
    <t>Interés implícito</t>
  </si>
  <si>
    <t>Calculo amortización</t>
  </si>
  <si>
    <t>Fecha</t>
  </si>
  <si>
    <t>Registro contable:</t>
  </si>
  <si>
    <t>Debito</t>
  </si>
  <si>
    <t>El 1 de septiembre de 2019 la entidad realiza un préstamo al gerente financiero de la Compañía por $50.000.000 a siete meses sin tasa de interés, el cual deberá ser cancelado en su totalidad al finalizar el plazo establecido. Haciendo pagos descuentos por nomina de $10.000.000. utilice el WACC de la compañía tasa de interés de mercado similar es del 1.69% MV</t>
  </si>
  <si>
    <t>Cuota</t>
  </si>
  <si>
    <t>Capital</t>
  </si>
  <si>
    <t>Efectivo y equivalentes al efectivo</t>
  </si>
  <si>
    <t>Otros prestamos a  trabajadores</t>
  </si>
  <si>
    <t>Cuentas corrientes</t>
  </si>
  <si>
    <t>PRESTAMOS A EMPLEADOS CON ABONOS</t>
  </si>
  <si>
    <t>PRESTAMOS A EMPLEADOS SIN ABONOS</t>
  </si>
  <si>
    <t>DETERIORO CUENTAS POR COBRAR</t>
  </si>
  <si>
    <t>INVERSIONES NEGOCIABLES</t>
  </si>
  <si>
    <t>Numero de contrato</t>
  </si>
  <si>
    <t>Posición</t>
  </si>
  <si>
    <t>Fecha de valoración</t>
  </si>
  <si>
    <t>Tipo de cambio oficial (COP/USD)</t>
  </si>
  <si>
    <t>Fecha Vencimiento</t>
  </si>
  <si>
    <t>Días al cumplimiento</t>
  </si>
  <si>
    <t>Fecha de cumplimiento</t>
  </si>
  <si>
    <t>Días al vencimiento</t>
  </si>
  <si>
    <t>Puntos forward</t>
  </si>
  <si>
    <t>Tasa de cambio forward</t>
  </si>
  <si>
    <t>Subyacente</t>
  </si>
  <si>
    <t>Valor del subyacente</t>
  </si>
  <si>
    <t>Strike</t>
  </si>
  <si>
    <t>Valor del contrato</t>
  </si>
  <si>
    <t>Valor presente del contrato</t>
  </si>
  <si>
    <t>Precio justo de intercambio (PJI)</t>
  </si>
  <si>
    <t>Compra</t>
  </si>
  <si>
    <t>DATOS INFORMATIVOS</t>
  </si>
  <si>
    <t>VALORACIÓN DERIVADOS</t>
  </si>
  <si>
    <t>CONTRATO</t>
  </si>
  <si>
    <t>VALORACIÓN</t>
  </si>
  <si>
    <t>CONTABILIZACIÓN DE COBERTURAS</t>
  </si>
  <si>
    <t>Casos No. 1</t>
  </si>
  <si>
    <t>El 30 septiembre de 2019 la compañía pacta un contrato forward con un banco con el objetivo de comprar 1.000.000 dólares el 30 de septiembre de 2020 a un tasa FWD de 3000. Se realiza una negociación Forward Non Delivery (FND) por lo cual no existe entrega física de activos. A continuación, se muestra los detalles de la negociación:</t>
  </si>
  <si>
    <t>FW75301</t>
  </si>
  <si>
    <t xml:space="preserve">Tipo: </t>
  </si>
  <si>
    <t>Contrato forward</t>
  </si>
  <si>
    <t xml:space="preserve">Monto comprado: </t>
  </si>
  <si>
    <t>1.000.000 USD</t>
  </si>
  <si>
    <t>Fecha de negociación</t>
  </si>
  <si>
    <t>La cobertura no fue eficaz por lo cual el derecho (Activo financiero) u obligación (Pasivo financiero) se deberá reconocer en el estado de resultados.</t>
  </si>
  <si>
    <t>TASA DE CAMBIO</t>
  </si>
  <si>
    <t>Utilice la tasa WACC modelo simple</t>
  </si>
  <si>
    <t>DETERIORO DEL VALOR DE LOS ACTIVOS</t>
  </si>
  <si>
    <t>La entidad a 31 de diciembre de 2019 posee una máquina con los siguientes saldos en libros: 
Costo	$500`000.000.
Depreciación acumulada	$71`500.000. 
El jefe de producción de la compañía establece que la máquina que venía produciendo durante los 2 años anteriores 150.000 unidades del producto X, durante el 2019 únicamente produjo 93.500 unidades, a pesar de haber trabajado las mismas 24 horas continuas. El departamento contable determina este hecho como un indicio por deterioro y procede al cálculo del importe recuperable.</t>
  </si>
  <si>
    <t>Se espera que la máquina esté dentro de la entidad 4 años más, periodo durante el cual se espera genere beneficios económicos así (Los siguientes valores son entregados por el jefe de producción como un estimado de lo que la máquina producirá durante los siguientes años incluyendo el decrecimiento en su productividad y estimando un mercado activo para la producción de ese bien):</t>
  </si>
  <si>
    <t>Año</t>
  </si>
  <si>
    <t>Flujo Futuro</t>
  </si>
  <si>
    <t>La entidad establece mediante un análisis de mercado que el valor de la venta al finalizar la vida útil (4 años a partir de 2019) será de $255`000.000. Para efectos de esta medición la empresa determinó que una tasa que refleja mejor el valor del dinero en el tiempo es 20,28% Efectivo Anual.</t>
  </si>
  <si>
    <t>El director de activos fijos de la entidad logra establecer que el valor que recibiría la empresa por la venta del activo a 31 de diciembre de 2019 es de $405`000.000, venta sobre la cual debería cancelar un 10% de comisión.</t>
  </si>
  <si>
    <t>La entidad determinó que existían indicios por deterioro, lo que indica que debe proceder con la determinación del importe recuperable; para tal efecto se estableció un valor razonable y se entregan los datos necesarios para realizar el cálculo del valor en uso como se detallará más adelante. Una vez hallados los valores razonables y en uso, se debe proceder con la comparación de los dos y tomar el mayor; así mismo se procede con la comparación del valor en libros y de ser este último mayor se procederá a reconocer una pérdida por deterioro del valor de los activos.</t>
  </si>
  <si>
    <t>Determinación del valor razonable</t>
  </si>
  <si>
    <t>(+)</t>
  </si>
  <si>
    <t>Valor Razonable</t>
  </si>
  <si>
    <t>(-)</t>
  </si>
  <si>
    <t>Costos de venta</t>
  </si>
  <si>
    <t>(=)</t>
  </si>
  <si>
    <t>Importe a Comparar</t>
  </si>
  <si>
    <t>Importe de Flujo Futuro</t>
  </si>
  <si>
    <t>Valor Presente</t>
  </si>
  <si>
    <t>Total Valor en Uso</t>
  </si>
  <si>
    <t>Importe Recuperable</t>
  </si>
  <si>
    <t>Valor en Uso</t>
  </si>
  <si>
    <t xml:space="preserve">Valor Razonable </t>
  </si>
  <si>
    <t>Se escoge el mayor de los dos</t>
  </si>
  <si>
    <t>Se procede a comparar el importe recuperable con el valor en libros del activo.</t>
  </si>
  <si>
    <t>Importe en Libros</t>
  </si>
  <si>
    <t>Deterior del valor</t>
  </si>
  <si>
    <t>Tasa de Interés E.A (WACC)</t>
  </si>
  <si>
    <t>Determinación del valor en uso (Valor presente)</t>
  </si>
  <si>
    <t>Determinación del valor en uso (Valor presente neto)</t>
  </si>
  <si>
    <t>Anexo No. 1 Contrato</t>
  </si>
  <si>
    <t xml:space="preserve">Saldo Inicial Crédito </t>
  </si>
  <si>
    <t>Plazo Meses</t>
  </si>
  <si>
    <t xml:space="preserve">Periodo </t>
  </si>
  <si>
    <t>Gasto financiero</t>
  </si>
  <si>
    <t>Tasa Periódica Crédito</t>
  </si>
  <si>
    <t>Tasa Periódica subsidio</t>
  </si>
  <si>
    <t>Diferencia tasa de interes</t>
  </si>
  <si>
    <t>El 30 de mayo de 2010 la Compañía ABC adquiere un credito bancario por valor de 200.000.000 a 5 años, con una tasa de interes de 22% E.A., sin embargo la entidad accede a un beneficio de tasa de interes por efecto COVID del 10%.</t>
  </si>
  <si>
    <t>Ingreso por interes</t>
  </si>
  <si>
    <t>OBLIGAGACIÓN FINANCIERA</t>
  </si>
  <si>
    <t>2022 + venta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</si>
</sst>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6" formatCode="&quot;$&quot;#,##0;[Red]\-&quot;$&quot;#,##0"/>
    <numFmt numFmtId="41" formatCode="_-* #,##0_-;\-* #,##0_-;_-* &quot;-&quot;_-;_-@_-"/>
    <numFmt numFmtId="164" formatCode="&quot;COP&quot;#,##0.00_);[Red]\(&quot;COP&quot;#,##0.00\)"/>
    <numFmt numFmtId="165" formatCode="_(* #,##0_);_(* \(#,##0\);_(* &quot;-&quot;_);_(@_)"/>
    <numFmt numFmtId="166" formatCode="_(* #,##0.00_);_(* \(#,##0.00\);_(* &quot;-&quot;??_);_(@_)"/>
    <numFmt numFmtId="167" formatCode="0.0000%"/>
    <numFmt numFmtId="168" formatCode="0.0%"/>
    <numFmt numFmtId="169" formatCode="0.00000%"/>
    <numFmt numFmtId="170" formatCode="_(* #,##0_);_(* \(#,##0\);_(* &quot;-&quot;??_);_(@_)"/>
    <numFmt numFmtId="171" formatCode="_(* #,##0.00_);_(* \(#,##0.00\);_(* &quot;-&quot;_);_(@_)"/>
    <numFmt numFmtId="172" formatCode="_(* #,##0.00000_);_(* \(#,##0.00000\);_(* &quot;-&quot;??_);_(@_)"/>
    <numFmt numFmtId="173" formatCode="[$$]#,##0"/>
    <numFmt numFmtId="174" formatCode="#,##0_ ;[Red]\-#,##0\ "/>
    <numFmt numFmtId="175" formatCode="_-* #,##0_-;\-* #,##0_-;_-* &quot;-&quot;??_-;_-@_-"/>
  </numFmts>
  <fonts count="29">
    <font>
      <sz val="12"/>
      <color theme="1"/>
      <name val="Calibri"/>
      <family val="2"/>
      <scheme val="minor"/>
    </font>
    <font>
      <sz val="12"/>
      <color theme="1"/>
      <name val="Calibri"/>
      <family val="2"/>
      <scheme val="minor"/>
    </font>
    <font>
      <b/>
      <sz val="12"/>
      <color theme="1"/>
      <name val="Calibri"/>
      <family val="2"/>
      <scheme val="minor"/>
    </font>
    <font>
      <sz val="12"/>
      <color theme="0"/>
      <name val="Calibri"/>
      <family val="2"/>
      <scheme val="minor"/>
    </font>
    <font>
      <sz val="18"/>
      <color theme="1"/>
      <name val="Calibri"/>
      <family val="2"/>
      <scheme val="minor"/>
    </font>
    <font>
      <b/>
      <sz val="18"/>
      <color theme="1"/>
      <name val="Calibri"/>
      <family val="2"/>
      <scheme val="minor"/>
    </font>
    <font>
      <sz val="10"/>
      <color theme="1"/>
      <name val="Arial"/>
      <family val="2"/>
    </font>
    <font>
      <sz val="8"/>
      <color theme="0"/>
      <name val="Calibri"/>
      <family val="2"/>
      <charset val="134"/>
      <scheme val="minor"/>
    </font>
    <font>
      <b/>
      <sz val="14"/>
      <color theme="0"/>
      <name val="Calibri"/>
      <family val="2"/>
      <scheme val="minor"/>
    </font>
    <font>
      <sz val="11"/>
      <name val="Calibri"/>
      <family val="2"/>
      <scheme val="minor"/>
    </font>
    <font>
      <b/>
      <sz val="16"/>
      <color theme="4" tint="-0.499984740745262"/>
      <name val="Calibri"/>
      <family val="2"/>
      <scheme val="minor"/>
    </font>
    <font>
      <b/>
      <sz val="14"/>
      <color theme="1"/>
      <name val="Calibri"/>
      <family val="2"/>
      <scheme val="minor"/>
    </font>
    <font>
      <i/>
      <sz val="10"/>
      <color theme="1"/>
      <name val="Calibri"/>
      <family val="2"/>
      <scheme val="minor"/>
    </font>
    <font>
      <sz val="12"/>
      <color rgb="FF000000"/>
      <name val="Calibri"/>
      <family val="2"/>
    </font>
    <font>
      <b/>
      <sz val="10"/>
      <color theme="0"/>
      <name val="Times New Roman"/>
      <family val="1"/>
    </font>
    <font>
      <sz val="10"/>
      <color theme="1"/>
      <name val="Times New Roman"/>
      <family val="1"/>
    </font>
    <font>
      <sz val="10"/>
      <color theme="1"/>
      <name val="Calibri"/>
      <family val="2"/>
      <scheme val="minor"/>
    </font>
    <font>
      <sz val="11"/>
      <color theme="1"/>
      <name val="Calibri"/>
      <family val="2"/>
      <scheme val="minor"/>
    </font>
    <font>
      <sz val="10"/>
      <name val="Times New Roman"/>
      <family val="1"/>
    </font>
    <font>
      <b/>
      <sz val="10"/>
      <color theme="1"/>
      <name val="Times New Roman"/>
      <family val="1"/>
    </font>
    <font>
      <sz val="11"/>
      <color rgb="FF000000"/>
      <name val="Calibri"/>
      <family val="2"/>
      <scheme val="minor"/>
    </font>
    <font>
      <sz val="11"/>
      <color theme="0"/>
      <name val="Calibri"/>
      <family val="2"/>
      <scheme val="minor"/>
    </font>
    <font>
      <sz val="10"/>
      <name val="Arial"/>
      <family val="2"/>
    </font>
    <font>
      <b/>
      <i/>
      <sz val="12"/>
      <color theme="1"/>
      <name val="Calibri"/>
      <family val="2"/>
      <scheme val="minor"/>
    </font>
    <font>
      <b/>
      <sz val="12"/>
      <color rgb="FF000000"/>
      <name val="Calibri"/>
      <family val="2"/>
      <scheme val="minor"/>
    </font>
    <font>
      <b/>
      <i/>
      <sz val="12"/>
      <color rgb="FF000000"/>
      <name val="Calibri"/>
      <family val="2"/>
      <scheme val="minor"/>
    </font>
    <font>
      <sz val="12"/>
      <color rgb="FF000000"/>
      <name val="Calibri"/>
      <family val="2"/>
      <scheme val="minor"/>
    </font>
    <font>
      <b/>
      <sz val="11"/>
      <color theme="0"/>
      <name val="Calibri"/>
      <family val="2"/>
      <scheme val="minor"/>
    </font>
    <font>
      <b/>
      <sz val="16"/>
      <color theme="1"/>
      <name val="Calibri"/>
      <family val="2"/>
      <scheme val="minor"/>
    </font>
  </fonts>
  <fills count="15">
    <fill>
      <patternFill patternType="none"/>
    </fill>
    <fill>
      <patternFill patternType="gray125"/>
    </fill>
    <fill>
      <patternFill patternType="solid">
        <fgColor theme="4" tint="-0.499984740745262"/>
        <bgColor indexed="64"/>
      </patternFill>
    </fill>
    <fill>
      <patternFill patternType="solid">
        <fgColor theme="0" tint="-0.14999847407452621"/>
        <bgColor indexed="64"/>
      </patternFill>
    </fill>
    <fill>
      <patternFill patternType="solid">
        <fgColor rgb="FFFF0000"/>
        <bgColor indexed="64"/>
      </patternFill>
    </fill>
    <fill>
      <patternFill patternType="solid">
        <fgColor theme="6" tint="-0.499984740745262"/>
        <bgColor indexed="64"/>
      </patternFill>
    </fill>
    <fill>
      <patternFill patternType="solid">
        <fgColor theme="9" tint="-0.499984740745262"/>
        <bgColor indexed="64"/>
      </patternFill>
    </fill>
    <fill>
      <patternFill patternType="solid">
        <fgColor rgb="FFFFFF00"/>
        <bgColor indexed="64"/>
      </patternFill>
    </fill>
    <fill>
      <patternFill patternType="solid">
        <fgColor rgb="FFFFFFFF"/>
        <bgColor rgb="FF000000"/>
      </patternFill>
    </fill>
    <fill>
      <patternFill patternType="solid">
        <fgColor theme="8" tint="0.59999389629810485"/>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theme="5" tint="-0.499984740745262"/>
        <bgColor indexed="64"/>
      </patternFill>
    </fill>
    <fill>
      <patternFill patternType="solid">
        <fgColor theme="0"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diagonal/>
    </border>
    <border>
      <left/>
      <right style="thin">
        <color auto="1"/>
      </right>
      <top style="thin">
        <color auto="1"/>
      </top>
      <bottom/>
      <diagonal/>
    </border>
  </borders>
  <cellStyleXfs count="9">
    <xf numFmtId="0" fontId="0" fillId="0" borderId="0"/>
    <xf numFmtId="165"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0" fontId="6" fillId="0" borderId="0"/>
    <xf numFmtId="166" fontId="6" fillId="0" borderId="0" applyFont="0" applyFill="0" applyBorder="0" applyAlignment="0" applyProtection="0"/>
    <xf numFmtId="9" fontId="6" fillId="0" borderId="0" applyFont="0" applyFill="0" applyBorder="0" applyAlignment="0" applyProtection="0"/>
    <xf numFmtId="165" fontId="1" fillId="0" borderId="0" applyFont="0" applyFill="0" applyBorder="0" applyAlignment="0" applyProtection="0"/>
    <xf numFmtId="41" fontId="1" fillId="0" borderId="0" applyFont="0" applyFill="0" applyBorder="0" applyAlignment="0" applyProtection="0"/>
  </cellStyleXfs>
  <cellXfs count="223">
    <xf numFmtId="0" fontId="0" fillId="0" borderId="0" xfId="0"/>
    <xf numFmtId="0" fontId="0" fillId="0" borderId="1" xfId="0" applyBorder="1"/>
    <xf numFmtId="0" fontId="3" fillId="2" borderId="1" xfId="0" applyFont="1" applyFill="1" applyBorder="1"/>
    <xf numFmtId="165" fontId="0" fillId="0" borderId="1" xfId="1" applyFont="1" applyBorder="1"/>
    <xf numFmtId="0" fontId="2" fillId="0" borderId="0" xfId="0" applyFont="1"/>
    <xf numFmtId="165" fontId="0" fillId="0" borderId="0" xfId="1" applyFont="1"/>
    <xf numFmtId="0" fontId="2" fillId="0" borderId="2" xfId="0" applyFont="1" applyBorder="1"/>
    <xf numFmtId="165" fontId="0" fillId="0" borderId="0" xfId="1" applyFont="1" applyBorder="1"/>
    <xf numFmtId="165" fontId="1" fillId="0" borderId="0" xfId="1" applyFont="1" applyBorder="1"/>
    <xf numFmtId="165" fontId="1" fillId="0" borderId="3" xfId="1" applyFont="1" applyBorder="1"/>
    <xf numFmtId="0" fontId="0" fillId="0" borderId="2" xfId="0" applyBorder="1"/>
    <xf numFmtId="0" fontId="0" fillId="0" borderId="4" xfId="0" applyBorder="1"/>
    <xf numFmtId="165" fontId="0" fillId="0" borderId="5" xfId="1" applyFont="1" applyBorder="1"/>
    <xf numFmtId="165" fontId="1" fillId="0" borderId="5" xfId="1" applyFont="1" applyBorder="1"/>
    <xf numFmtId="165" fontId="1" fillId="0" borderId="6" xfId="1" applyFont="1" applyBorder="1"/>
    <xf numFmtId="0" fontId="3" fillId="2" borderId="0" xfId="0" applyFont="1" applyFill="1"/>
    <xf numFmtId="165" fontId="1" fillId="3" borderId="0" xfId="1" applyFont="1" applyFill="1"/>
    <xf numFmtId="0" fontId="0" fillId="0" borderId="0" xfId="0" applyBorder="1"/>
    <xf numFmtId="0" fontId="0" fillId="0" borderId="7" xfId="0" applyFill="1" applyBorder="1"/>
    <xf numFmtId="165" fontId="0" fillId="0" borderId="8" xfId="1" applyFont="1" applyBorder="1"/>
    <xf numFmtId="0" fontId="0" fillId="0" borderId="9" xfId="0" applyFill="1" applyBorder="1"/>
    <xf numFmtId="165" fontId="0" fillId="0" borderId="10" xfId="1" applyFont="1" applyBorder="1"/>
    <xf numFmtId="0" fontId="0" fillId="0" borderId="11" xfId="0" applyBorder="1"/>
    <xf numFmtId="165" fontId="0" fillId="0" borderId="12" xfId="1" applyFont="1" applyBorder="1"/>
    <xf numFmtId="0" fontId="0" fillId="3" borderId="13" xfId="0" applyFont="1" applyFill="1" applyBorder="1"/>
    <xf numFmtId="165" fontId="0" fillId="3" borderId="14" xfId="1" applyFont="1" applyFill="1" applyBorder="1"/>
    <xf numFmtId="10" fontId="0" fillId="0" borderId="0" xfId="2" applyNumberFormat="1" applyFont="1"/>
    <xf numFmtId="10" fontId="0" fillId="0" borderId="0" xfId="1" applyNumberFormat="1" applyFont="1"/>
    <xf numFmtId="165" fontId="0" fillId="0" borderId="0" xfId="0" applyNumberFormat="1"/>
    <xf numFmtId="0" fontId="0" fillId="0" borderId="0" xfId="0" applyAlignment="1">
      <alignment wrapText="1"/>
    </xf>
    <xf numFmtId="0" fontId="0" fillId="0" borderId="0" xfId="0" applyAlignment="1"/>
    <xf numFmtId="0" fontId="0" fillId="0" borderId="15" xfId="0" applyBorder="1"/>
    <xf numFmtId="0" fontId="0" fillId="0" borderId="16" xfId="0" applyBorder="1" applyAlignment="1"/>
    <xf numFmtId="0" fontId="0" fillId="0" borderId="17" xfId="0" applyBorder="1" applyAlignment="1"/>
    <xf numFmtId="0" fontId="0" fillId="0" borderId="0" xfId="0" applyBorder="1" applyAlignment="1"/>
    <xf numFmtId="0" fontId="0" fillId="0" borderId="12" xfId="0" applyBorder="1" applyAlignment="1"/>
    <xf numFmtId="0" fontId="0" fillId="0" borderId="12" xfId="0" applyBorder="1"/>
    <xf numFmtId="0" fontId="5" fillId="0" borderId="0" xfId="0" applyFont="1" applyBorder="1" applyAlignment="1"/>
    <xf numFmtId="0" fontId="0" fillId="0" borderId="13" xfId="0" applyBorder="1"/>
    <xf numFmtId="0" fontId="0" fillId="0" borderId="18" xfId="0" applyBorder="1"/>
    <xf numFmtId="0" fontId="0" fillId="0" borderId="14" xfId="0" applyBorder="1"/>
    <xf numFmtId="0" fontId="0" fillId="0" borderId="16" xfId="0" applyBorder="1"/>
    <xf numFmtId="0" fontId="7" fillId="2" borderId="7" xfId="4" applyFont="1" applyFill="1" applyBorder="1" applyAlignment="1">
      <alignment horizontal="center" vertical="center" wrapText="1"/>
    </xf>
    <xf numFmtId="0" fontId="7" fillId="2" borderId="19" xfId="4" applyFont="1" applyFill="1" applyBorder="1" applyAlignment="1">
      <alignment horizontal="center" vertical="center" wrapText="1"/>
    </xf>
    <xf numFmtId="0" fontId="7" fillId="4" borderId="19" xfId="4" applyFont="1" applyFill="1" applyBorder="1" applyAlignment="1">
      <alignment horizontal="center" vertical="center" wrapText="1"/>
    </xf>
    <xf numFmtId="0" fontId="7" fillId="5" borderId="19" xfId="4" applyFont="1" applyFill="1" applyBorder="1" applyAlignment="1">
      <alignment horizontal="center" vertical="center" wrapText="1"/>
    </xf>
    <xf numFmtId="0" fontId="7" fillId="5" borderId="8" xfId="4" applyFont="1" applyFill="1" applyBorder="1" applyAlignment="1">
      <alignment horizontal="center" vertical="center" wrapText="1"/>
    </xf>
    <xf numFmtId="14" fontId="6" fillId="0" borderId="20" xfId="4" applyNumberFormat="1" applyBorder="1"/>
    <xf numFmtId="0" fontId="6" fillId="0" borderId="21" xfId="4" applyBorder="1" applyAlignment="1">
      <alignment horizontal="center"/>
    </xf>
    <xf numFmtId="10" fontId="6" fillId="0" borderId="21" xfId="4" applyNumberFormat="1" applyBorder="1" applyAlignment="1">
      <alignment horizontal="center" vertical="center"/>
    </xf>
    <xf numFmtId="4" fontId="0" fillId="0" borderId="21" xfId="5" applyNumberFormat="1" applyFont="1" applyFill="1" applyBorder="1"/>
    <xf numFmtId="0" fontId="6" fillId="0" borderId="21" xfId="4" applyBorder="1"/>
    <xf numFmtId="10" fontId="0" fillId="0" borderId="21" xfId="6" applyNumberFormat="1" applyFont="1" applyFill="1" applyBorder="1"/>
    <xf numFmtId="3" fontId="6" fillId="0" borderId="21" xfId="4" applyNumberFormat="1" applyBorder="1"/>
    <xf numFmtId="3" fontId="6" fillId="0" borderId="21" xfId="4" applyNumberFormat="1" applyBorder="1" applyAlignment="1">
      <alignment horizontal="center"/>
    </xf>
    <xf numFmtId="3" fontId="6" fillId="0" borderId="22" xfId="4" applyNumberFormat="1" applyBorder="1"/>
    <xf numFmtId="0" fontId="6" fillId="0" borderId="13" xfId="4" applyBorder="1"/>
    <xf numFmtId="165" fontId="0" fillId="0" borderId="18" xfId="1" applyFont="1" applyBorder="1"/>
    <xf numFmtId="165" fontId="6" fillId="0" borderId="21" xfId="1" applyFont="1" applyBorder="1"/>
    <xf numFmtId="0" fontId="0" fillId="0" borderId="1" xfId="0" applyBorder="1" applyAlignment="1">
      <alignment horizontal="center"/>
    </xf>
    <xf numFmtId="167" fontId="0" fillId="0" borderId="1" xfId="0" applyNumberFormat="1" applyBorder="1"/>
    <xf numFmtId="165" fontId="9" fillId="0" borderId="1" xfId="1" applyFont="1" applyBorder="1"/>
    <xf numFmtId="9" fontId="0" fillId="0" borderId="0" xfId="2" applyFont="1"/>
    <xf numFmtId="168" fontId="0" fillId="0" borderId="0" xfId="2" applyNumberFormat="1" applyFont="1"/>
    <xf numFmtId="169" fontId="0" fillId="0" borderId="0" xfId="2" applyNumberFormat="1" applyFont="1"/>
    <xf numFmtId="9" fontId="0" fillId="0" borderId="0" xfId="1" applyNumberFormat="1" applyFont="1"/>
    <xf numFmtId="0" fontId="8" fillId="4" borderId="1" xfId="0" applyFont="1" applyFill="1" applyBorder="1" applyAlignment="1">
      <alignment wrapText="1"/>
    </xf>
    <xf numFmtId="165" fontId="8" fillId="4" borderId="1" xfId="1" applyFont="1" applyFill="1" applyBorder="1" applyAlignment="1">
      <alignment wrapText="1"/>
    </xf>
    <xf numFmtId="166" fontId="8" fillId="2" borderId="1" xfId="3" applyFont="1" applyFill="1" applyBorder="1" applyAlignment="1">
      <alignment wrapText="1"/>
    </xf>
    <xf numFmtId="165" fontId="8" fillId="2" borderId="1" xfId="1" applyFont="1" applyFill="1" applyBorder="1" applyAlignment="1">
      <alignment wrapText="1"/>
    </xf>
    <xf numFmtId="0" fontId="0" fillId="0" borderId="1" xfId="0" applyFont="1" applyFill="1" applyBorder="1"/>
    <xf numFmtId="14" fontId="0" fillId="0" borderId="1" xfId="0" applyNumberFormat="1" applyBorder="1"/>
    <xf numFmtId="0" fontId="0" fillId="0" borderId="0" xfId="0" applyBorder="1" applyAlignment="1">
      <alignment horizontal="center" vertical="center" wrapText="1"/>
    </xf>
    <xf numFmtId="14" fontId="0" fillId="0" borderId="1" xfId="3" applyNumberFormat="1" applyFont="1" applyBorder="1"/>
    <xf numFmtId="170" fontId="0" fillId="0" borderId="1" xfId="3" applyNumberFormat="1" applyFont="1" applyBorder="1"/>
    <xf numFmtId="0" fontId="10" fillId="0" borderId="0" xfId="0" applyFont="1"/>
    <xf numFmtId="0" fontId="0" fillId="0" borderId="0" xfId="0" applyAlignment="1">
      <alignment horizontal="left" vertical="top"/>
    </xf>
    <xf numFmtId="165" fontId="0" fillId="0" borderId="0" xfId="1" applyFont="1" applyAlignment="1">
      <alignment horizontal="left" vertical="top"/>
    </xf>
    <xf numFmtId="0" fontId="11" fillId="0" borderId="0" xfId="0" applyFont="1"/>
    <xf numFmtId="0" fontId="0" fillId="0" borderId="0" xfId="0" applyAlignment="1">
      <alignment horizontal="center" vertical="top" wrapText="1"/>
    </xf>
    <xf numFmtId="10" fontId="0" fillId="0" borderId="0" xfId="0" applyNumberFormat="1" applyAlignment="1">
      <alignment horizontal="center" vertical="top" wrapText="1"/>
    </xf>
    <xf numFmtId="0" fontId="3" fillId="2" borderId="1" xfId="0" applyFont="1" applyFill="1" applyBorder="1" applyAlignment="1">
      <alignment wrapText="1"/>
    </xf>
    <xf numFmtId="165" fontId="0" fillId="0" borderId="1" xfId="0" applyNumberFormat="1" applyBorder="1"/>
    <xf numFmtId="164" fontId="0" fillId="0" borderId="1" xfId="1" applyNumberFormat="1" applyFont="1" applyBorder="1"/>
    <xf numFmtId="171" fontId="0" fillId="0" borderId="1" xfId="0" applyNumberFormat="1" applyBorder="1"/>
    <xf numFmtId="4" fontId="0" fillId="0" borderId="0" xfId="0" applyNumberFormat="1"/>
    <xf numFmtId="171" fontId="0" fillId="0" borderId="0" xfId="0" applyNumberFormat="1"/>
    <xf numFmtId="14" fontId="0" fillId="0" borderId="0" xfId="0" applyNumberFormat="1"/>
    <xf numFmtId="0" fontId="13" fillId="0" borderId="1" xfId="0" applyFont="1" applyBorder="1" applyAlignment="1" applyProtection="1">
      <alignment vertical="center"/>
      <protection locked="0"/>
    </xf>
    <xf numFmtId="166" fontId="0" fillId="0" borderId="1" xfId="1" applyNumberFormat="1" applyFont="1" applyBorder="1"/>
    <xf numFmtId="0" fontId="13" fillId="0" borderId="1" xfId="0" applyFont="1" applyBorder="1" applyAlignment="1" applyProtection="1">
      <alignment horizontal="right" vertical="center"/>
      <protection locked="0"/>
    </xf>
    <xf numFmtId="165" fontId="0" fillId="0" borderId="0" xfId="1" applyFont="1" applyAlignment="1">
      <alignment horizontal="center" vertical="top" wrapText="1"/>
    </xf>
    <xf numFmtId="164" fontId="0" fillId="0" borderId="0" xfId="1" applyNumberFormat="1" applyFont="1" applyAlignment="1">
      <alignment horizontal="center" vertical="top" wrapText="1"/>
    </xf>
    <xf numFmtId="0" fontId="15" fillId="0" borderId="1" xfId="0" applyFont="1" applyBorder="1"/>
    <xf numFmtId="14" fontId="15" fillId="0" borderId="1" xfId="0" applyNumberFormat="1" applyFont="1" applyBorder="1"/>
    <xf numFmtId="1" fontId="16" fillId="0" borderId="1" xfId="0" applyNumberFormat="1" applyFont="1" applyBorder="1"/>
    <xf numFmtId="1" fontId="15" fillId="0" borderId="1" xfId="0" applyNumberFormat="1" applyFont="1" applyBorder="1"/>
    <xf numFmtId="166" fontId="15" fillId="0" borderId="1" xfId="3" applyFont="1" applyBorder="1"/>
    <xf numFmtId="170" fontId="15" fillId="0" borderId="1" xfId="3" applyNumberFormat="1" applyFont="1" applyBorder="1"/>
    <xf numFmtId="170" fontId="15" fillId="0" borderId="1" xfId="3" applyNumberFormat="1" applyFont="1" applyFill="1" applyBorder="1"/>
    <xf numFmtId="166" fontId="15" fillId="0" borderId="1" xfId="3" applyFont="1" applyFill="1" applyBorder="1"/>
    <xf numFmtId="165" fontId="18" fillId="0" borderId="1" xfId="1" applyFont="1" applyFill="1" applyBorder="1"/>
    <xf numFmtId="10" fontId="15" fillId="0" borderId="1" xfId="3" applyNumberFormat="1" applyFont="1" applyFill="1" applyBorder="1"/>
    <xf numFmtId="164" fontId="0" fillId="0" borderId="0" xfId="0" applyNumberFormat="1"/>
    <xf numFmtId="0" fontId="14" fillId="4"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172" fontId="14" fillId="2" borderId="1" xfId="0" applyNumberFormat="1" applyFont="1" applyFill="1" applyBorder="1" applyAlignment="1">
      <alignment horizontal="center" vertical="center" wrapText="1"/>
    </xf>
    <xf numFmtId="0" fontId="14" fillId="6" borderId="1" xfId="0" applyFont="1" applyFill="1" applyBorder="1" applyAlignment="1">
      <alignment horizontal="center" vertical="center" wrapText="1"/>
    </xf>
    <xf numFmtId="170" fontId="14" fillId="6" borderId="1" xfId="0" applyNumberFormat="1" applyFont="1" applyFill="1" applyBorder="1" applyAlignment="1">
      <alignment horizontal="center" vertical="center" wrapText="1"/>
    </xf>
    <xf numFmtId="3" fontId="16" fillId="0" borderId="1" xfId="0" applyNumberFormat="1" applyFont="1" applyBorder="1"/>
    <xf numFmtId="170" fontId="19" fillId="7" borderId="1" xfId="0" applyNumberFormat="1" applyFont="1" applyFill="1" applyBorder="1" applyAlignment="1">
      <alignment horizontal="center" vertical="center" wrapText="1"/>
    </xf>
    <xf numFmtId="0" fontId="0" fillId="0" borderId="0" xfId="0" applyAlignment="1">
      <alignment horizontal="left" wrapText="1"/>
    </xf>
    <xf numFmtId="165" fontId="0" fillId="0" borderId="0" xfId="7" applyFont="1" applyAlignment="1">
      <alignment horizontal="left" wrapText="1"/>
    </xf>
    <xf numFmtId="165" fontId="0" fillId="0" borderId="0" xfId="7" applyFont="1"/>
    <xf numFmtId="0" fontId="0" fillId="0" borderId="11" xfId="0" applyBorder="1" applyAlignment="1">
      <alignment horizontal="left" vertical="top"/>
    </xf>
    <xf numFmtId="0" fontId="2" fillId="0" borderId="11" xfId="0" applyFont="1" applyBorder="1"/>
    <xf numFmtId="14" fontId="22" fillId="8" borderId="1" xfId="0" applyNumberFormat="1" applyFont="1" applyFill="1" applyBorder="1"/>
    <xf numFmtId="4" fontId="22" fillId="0" borderId="1" xfId="0" applyNumberFormat="1" applyFont="1" applyBorder="1"/>
    <xf numFmtId="0" fontId="0" fillId="0" borderId="0" xfId="0" applyAlignment="1">
      <alignment horizontal="center" vertical="top"/>
    </xf>
    <xf numFmtId="0" fontId="20" fillId="0" borderId="1" xfId="0" applyFont="1" applyBorder="1" applyAlignment="1">
      <alignment vertical="center"/>
    </xf>
    <xf numFmtId="4" fontId="15" fillId="0" borderId="1" xfId="0" applyNumberFormat="1" applyFont="1" applyBorder="1"/>
    <xf numFmtId="0" fontId="0" fillId="0" borderId="0" xfId="0" applyBorder="1" applyAlignment="1">
      <alignment horizontal="left" vertical="top"/>
    </xf>
    <xf numFmtId="0" fontId="20" fillId="0" borderId="0" xfId="0" applyFont="1" applyBorder="1" applyAlignment="1">
      <alignment vertical="center"/>
    </xf>
    <xf numFmtId="0" fontId="20" fillId="0" borderId="0" xfId="0" applyFont="1" applyBorder="1" applyAlignment="1">
      <alignment horizontal="right" vertical="center"/>
    </xf>
    <xf numFmtId="0" fontId="2" fillId="0" borderId="0" xfId="0" applyFont="1" applyAlignment="1">
      <alignment horizontal="center" vertical="center" wrapText="1"/>
    </xf>
    <xf numFmtId="0" fontId="0" fillId="0" borderId="0" xfId="0" applyAlignment="1">
      <alignment horizontal="left" vertical="center" wrapText="1"/>
    </xf>
    <xf numFmtId="0" fontId="0" fillId="0" borderId="0" xfId="0" applyAlignment="1">
      <alignment horizontal="center" vertical="center" wrapText="1"/>
    </xf>
    <xf numFmtId="0" fontId="2" fillId="9" borderId="1" xfId="0" applyFont="1" applyFill="1" applyBorder="1" applyAlignment="1">
      <alignment horizontal="center" vertical="center" wrapText="1"/>
    </xf>
    <xf numFmtId="10" fontId="0" fillId="0" borderId="0" xfId="0" applyNumberFormat="1" applyAlignment="1">
      <alignment horizontal="center" vertical="center" wrapText="1"/>
    </xf>
    <xf numFmtId="0" fontId="0" fillId="0" borderId="1" xfId="0" applyBorder="1" applyAlignment="1">
      <alignment horizontal="center" vertical="center" wrapText="1"/>
    </xf>
    <xf numFmtId="41" fontId="0" fillId="0" borderId="1" xfId="8" applyFont="1" applyBorder="1" applyAlignment="1">
      <alignment horizontal="center" vertical="center" wrapText="1"/>
    </xf>
    <xf numFmtId="6" fontId="0" fillId="0" borderId="0" xfId="0" applyNumberFormat="1" applyAlignment="1">
      <alignment horizontal="center" vertical="center" wrapText="1"/>
    </xf>
    <xf numFmtId="41" fontId="0" fillId="0" borderId="0" xfId="8" applyFont="1" applyAlignment="1">
      <alignment horizontal="center" vertical="center" wrapText="1"/>
    </xf>
    <xf numFmtId="0" fontId="23" fillId="0" borderId="0" xfId="0" applyFont="1"/>
    <xf numFmtId="0" fontId="2" fillId="0" borderId="1" xfId="0" applyFont="1" applyBorder="1" applyAlignment="1">
      <alignment horizontal="center"/>
    </xf>
    <xf numFmtId="41" fontId="0" fillId="0" borderId="1" xfId="8" applyFont="1" applyBorder="1"/>
    <xf numFmtId="0" fontId="2" fillId="10" borderId="1" xfId="0" applyFont="1" applyFill="1" applyBorder="1" applyAlignment="1">
      <alignment horizontal="center"/>
    </xf>
    <xf numFmtId="0" fontId="0" fillId="10" borderId="1" xfId="0" applyFill="1" applyBorder="1"/>
    <xf numFmtId="41" fontId="0" fillId="10" borderId="1" xfId="8" applyFont="1" applyFill="1" applyBorder="1"/>
    <xf numFmtId="0" fontId="24" fillId="0" borderId="0" xfId="0" applyFont="1"/>
    <xf numFmtId="0" fontId="25" fillId="0" borderId="1" xfId="0" applyFont="1" applyBorder="1" applyAlignment="1">
      <alignment horizontal="center" vertical="center" wrapText="1"/>
    </xf>
    <xf numFmtId="0" fontId="23" fillId="0" borderId="1" xfId="0" applyFont="1" applyBorder="1" applyAlignment="1">
      <alignment horizontal="center" vertical="center" wrapText="1"/>
    </xf>
    <xf numFmtId="0" fontId="0" fillId="0" borderId="0" xfId="0" applyAlignment="1">
      <alignment vertical="center" wrapText="1"/>
    </xf>
    <xf numFmtId="0" fontId="26" fillId="0" borderId="1" xfId="0" applyFont="1" applyBorder="1" applyAlignment="1">
      <alignment horizontal="center"/>
    </xf>
    <xf numFmtId="10" fontId="0" fillId="0" borderId="1" xfId="0" applyNumberFormat="1" applyBorder="1"/>
    <xf numFmtId="174" fontId="0" fillId="0" borderId="1" xfId="0" applyNumberFormat="1" applyBorder="1"/>
    <xf numFmtId="174" fontId="2" fillId="10" borderId="1" xfId="0" applyNumberFormat="1" applyFont="1" applyFill="1" applyBorder="1"/>
    <xf numFmtId="41" fontId="0" fillId="11" borderId="1" xfId="0" applyNumberFormat="1" applyFill="1" applyBorder="1"/>
    <xf numFmtId="41" fontId="0" fillId="0" borderId="1" xfId="0" applyNumberFormat="1" applyBorder="1"/>
    <xf numFmtId="41" fontId="0" fillId="0" borderId="0" xfId="8" applyFont="1"/>
    <xf numFmtId="41" fontId="0" fillId="0" borderId="0" xfId="0" applyNumberFormat="1"/>
    <xf numFmtId="174" fontId="0" fillId="0" borderId="0" xfId="0" applyNumberFormat="1"/>
    <xf numFmtId="0" fontId="2" fillId="0" borderId="0" xfId="0" applyFont="1" applyAlignment="1">
      <alignment horizontal="left" vertical="top"/>
    </xf>
    <xf numFmtId="0" fontId="27" fillId="2" borderId="7" xfId="0" applyFont="1" applyFill="1" applyBorder="1"/>
    <xf numFmtId="0" fontId="27" fillId="2" borderId="9" xfId="0" applyFont="1" applyFill="1" applyBorder="1"/>
    <xf numFmtId="1" fontId="17" fillId="0" borderId="1" xfId="0" applyNumberFormat="1" applyFont="1" applyBorder="1" applyAlignment="1">
      <alignment horizontal="right"/>
    </xf>
    <xf numFmtId="3" fontId="17" fillId="0" borderId="1" xfId="0" applyNumberFormat="1" applyFont="1" applyBorder="1" applyAlignment="1">
      <alignment horizontal="center"/>
    </xf>
    <xf numFmtId="3" fontId="0" fillId="0" borderId="1" xfId="0" applyNumberFormat="1" applyBorder="1"/>
    <xf numFmtId="3" fontId="17" fillId="0" borderId="1" xfId="3" applyNumberFormat="1" applyFont="1" applyBorder="1" applyAlignment="1">
      <alignment horizontal="center"/>
    </xf>
    <xf numFmtId="1" fontId="0" fillId="0" borderId="1" xfId="0" applyNumberFormat="1" applyBorder="1"/>
    <xf numFmtId="3" fontId="1" fillId="0" borderId="1" xfId="3" applyNumberFormat="1" applyFont="1" applyBorder="1"/>
    <xf numFmtId="1" fontId="0" fillId="12" borderId="1" xfId="0" applyNumberFormat="1" applyFill="1" applyBorder="1"/>
    <xf numFmtId="0" fontId="27" fillId="13" borderId="1" xfId="0" applyFont="1" applyFill="1" applyBorder="1" applyAlignment="1">
      <alignment horizontal="center"/>
    </xf>
    <xf numFmtId="0" fontId="27" fillId="13" borderId="1" xfId="0" applyFont="1" applyFill="1" applyBorder="1" applyAlignment="1">
      <alignment horizontal="center" vertical="center" wrapText="1"/>
    </xf>
    <xf numFmtId="166" fontId="27" fillId="13" borderId="1" xfId="3" applyFont="1" applyFill="1" applyBorder="1" applyAlignment="1">
      <alignment horizontal="center"/>
    </xf>
    <xf numFmtId="164" fontId="0" fillId="3" borderId="0" xfId="0" applyNumberFormat="1" applyFill="1" applyAlignment="1">
      <alignment horizontal="center" vertical="top" wrapText="1"/>
    </xf>
    <xf numFmtId="164" fontId="0" fillId="3" borderId="0" xfId="1" applyNumberFormat="1" applyFont="1" applyFill="1" applyAlignment="1">
      <alignment horizontal="center" vertical="top" wrapText="1"/>
    </xf>
    <xf numFmtId="175" fontId="0" fillId="3" borderId="8" xfId="3" applyNumberFormat="1" applyFont="1" applyFill="1" applyBorder="1"/>
    <xf numFmtId="0" fontId="0" fillId="3" borderId="10" xfId="0" applyFill="1" applyBorder="1"/>
    <xf numFmtId="10" fontId="0" fillId="3" borderId="10" xfId="2" applyNumberFormat="1" applyFont="1" applyFill="1" applyBorder="1"/>
    <xf numFmtId="0" fontId="3" fillId="2" borderId="0" xfId="0" applyFont="1" applyFill="1" applyAlignment="1">
      <alignment horizontal="center" vertical="top" wrapText="1"/>
    </xf>
    <xf numFmtId="0" fontId="28" fillId="0" borderId="0" xfId="0" applyFont="1"/>
    <xf numFmtId="165" fontId="1" fillId="0" borderId="0" xfId="1" applyFont="1" applyAlignment="1">
      <alignment vertical="center" wrapText="1"/>
    </xf>
    <xf numFmtId="165" fontId="1" fillId="0" borderId="0" xfId="1" applyFont="1"/>
    <xf numFmtId="165" fontId="0" fillId="14" borderId="0" xfId="1" applyFont="1" applyFill="1" applyAlignment="1">
      <alignment horizontal="center" vertical="top" wrapText="1"/>
    </xf>
    <xf numFmtId="10" fontId="0" fillId="14" borderId="0" xfId="0" applyNumberFormat="1" applyFill="1" applyAlignment="1">
      <alignment horizontal="center" vertical="top" wrapText="1"/>
    </xf>
    <xf numFmtId="0" fontId="0" fillId="14" borderId="0" xfId="0" applyFill="1" applyAlignment="1">
      <alignment horizontal="center" vertical="top" wrapText="1"/>
    </xf>
    <xf numFmtId="0" fontId="4"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top" wrapText="1"/>
    </xf>
    <xf numFmtId="0" fontId="3" fillId="4" borderId="24" xfId="0" applyFont="1" applyFill="1" applyBorder="1" applyAlignment="1">
      <alignment horizontal="center"/>
    </xf>
    <xf numFmtId="0" fontId="3" fillId="4" borderId="26" xfId="0" applyFont="1" applyFill="1" applyBorder="1" applyAlignment="1">
      <alignment horizontal="center"/>
    </xf>
    <xf numFmtId="0" fontId="3" fillId="4" borderId="25" xfId="0" applyFont="1" applyFill="1" applyBorder="1" applyAlignment="1">
      <alignment horizontal="center"/>
    </xf>
    <xf numFmtId="0" fontId="3" fillId="2" borderId="1" xfId="0" applyFont="1" applyFill="1" applyBorder="1" applyAlignment="1">
      <alignment horizontal="center"/>
    </xf>
    <xf numFmtId="0" fontId="3" fillId="6" borderId="1" xfId="0" applyFont="1" applyFill="1" applyBorder="1" applyAlignment="1">
      <alignment horizontal="center"/>
    </xf>
    <xf numFmtId="0" fontId="0" fillId="0" borderId="7" xfId="0" applyBorder="1" applyAlignment="1">
      <alignment horizontal="center" vertical="top" wrapText="1"/>
    </xf>
    <xf numFmtId="0" fontId="0" fillId="0" borderId="19" xfId="0" applyBorder="1" applyAlignment="1">
      <alignment horizontal="center" vertical="top" wrapText="1"/>
    </xf>
    <xf numFmtId="0" fontId="0" fillId="0" borderId="8" xfId="0" applyBorder="1" applyAlignment="1">
      <alignment horizontal="center"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21" fillId="2" borderId="1" xfId="0" applyFont="1" applyFill="1" applyBorder="1" applyAlignment="1">
      <alignment horizontal="center" vertical="center" wrapText="1"/>
    </xf>
    <xf numFmtId="0" fontId="20" fillId="0" borderId="1" xfId="0" applyFont="1" applyBorder="1" applyAlignment="1">
      <alignment horizontal="center" vertical="center"/>
    </xf>
    <xf numFmtId="173" fontId="20" fillId="0" borderId="1" xfId="0" applyNumberFormat="1" applyFont="1" applyBorder="1" applyAlignment="1">
      <alignment horizontal="center" vertical="center"/>
    </xf>
    <xf numFmtId="165" fontId="20" fillId="0" borderId="1" xfId="7" applyFont="1" applyBorder="1" applyAlignment="1">
      <alignment horizontal="center" vertical="center"/>
    </xf>
    <xf numFmtId="14" fontId="20" fillId="0" borderId="1" xfId="0" applyNumberFormat="1" applyFont="1" applyBorder="1" applyAlignment="1">
      <alignment horizontal="center" vertical="center"/>
    </xf>
    <xf numFmtId="0" fontId="0" fillId="0" borderId="1" xfId="0" applyBorder="1" applyAlignment="1">
      <alignment horizontal="center"/>
    </xf>
    <xf numFmtId="0" fontId="0" fillId="0" borderId="23" xfId="0" applyBorder="1" applyAlignment="1">
      <alignment horizontal="center" vertical="center" wrapText="1"/>
    </xf>
    <xf numFmtId="0" fontId="0" fillId="0" borderId="0" xfId="0" applyBorder="1" applyAlignment="1">
      <alignment horizontal="center" vertical="center" wrapText="1"/>
    </xf>
    <xf numFmtId="0" fontId="0" fillId="0" borderId="27" xfId="0" applyBorder="1" applyAlignment="1">
      <alignment horizontal="left" vertical="center" wrapText="1"/>
    </xf>
    <xf numFmtId="0" fontId="0" fillId="0" borderId="23" xfId="0" applyBorder="1" applyAlignment="1">
      <alignment horizontal="left" vertical="center" wrapText="1"/>
    </xf>
    <xf numFmtId="0" fontId="0" fillId="0" borderId="28" xfId="0" applyBorder="1" applyAlignment="1">
      <alignment horizontal="left" vertical="center" wrapText="1"/>
    </xf>
    <xf numFmtId="0" fontId="0" fillId="0" borderId="2" xfId="0" applyBorder="1" applyAlignment="1">
      <alignment horizontal="left" vertical="center" wrapText="1"/>
    </xf>
    <xf numFmtId="0" fontId="0" fillId="0" borderId="0" xfId="0"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24" xfId="0" applyBorder="1" applyAlignment="1">
      <alignment horizontal="left" vertical="center" wrapText="1"/>
    </xf>
    <xf numFmtId="0" fontId="0" fillId="0" borderId="26" xfId="0" applyBorder="1" applyAlignment="1">
      <alignment horizontal="left" vertical="center" wrapText="1"/>
    </xf>
    <xf numFmtId="0" fontId="0" fillId="0" borderId="25" xfId="0" applyBorder="1" applyAlignment="1">
      <alignment horizontal="left" vertical="center" wrapText="1"/>
    </xf>
    <xf numFmtId="0" fontId="0" fillId="0" borderId="24" xfId="0" applyBorder="1" applyAlignment="1">
      <alignment horizontal="left" vertical="top" wrapText="1"/>
    </xf>
    <xf numFmtId="0" fontId="0" fillId="0" borderId="26" xfId="0" applyBorder="1" applyAlignment="1">
      <alignment horizontal="left" vertical="top" wrapText="1"/>
    </xf>
    <xf numFmtId="0" fontId="0" fillId="0" borderId="25" xfId="0" applyBorder="1" applyAlignment="1">
      <alignment horizontal="left" vertical="top" wrapText="1"/>
    </xf>
    <xf numFmtId="0" fontId="24" fillId="10" borderId="1" xfId="0" applyFont="1" applyFill="1" applyBorder="1" applyAlignment="1">
      <alignment horizontal="center"/>
    </xf>
    <xf numFmtId="0" fontId="0" fillId="0" borderId="15" xfId="0" applyBorder="1" applyAlignment="1">
      <alignment horizontal="center" vertical="top" wrapText="1"/>
    </xf>
    <xf numFmtId="0" fontId="0" fillId="0" borderId="16" xfId="0" applyBorder="1" applyAlignment="1">
      <alignment horizontal="center" vertical="top" wrapText="1"/>
    </xf>
    <xf numFmtId="0" fontId="0" fillId="0" borderId="17" xfId="0" applyBorder="1" applyAlignment="1">
      <alignment horizontal="center" vertical="top" wrapText="1"/>
    </xf>
    <xf numFmtId="0" fontId="0" fillId="0" borderId="11" xfId="0" applyBorder="1" applyAlignment="1">
      <alignment horizontal="center" vertical="top" wrapText="1"/>
    </xf>
    <xf numFmtId="0" fontId="0" fillId="0" borderId="0" xfId="0" applyAlignment="1">
      <alignment horizontal="center" vertical="top" wrapText="1"/>
    </xf>
    <xf numFmtId="0" fontId="0" fillId="0" borderId="12" xfId="0" applyBorder="1" applyAlignment="1">
      <alignment horizontal="center" vertical="top" wrapText="1"/>
    </xf>
    <xf numFmtId="0" fontId="0" fillId="0" borderId="13" xfId="0" applyBorder="1" applyAlignment="1">
      <alignment horizontal="center" vertical="top" wrapText="1"/>
    </xf>
    <xf numFmtId="0" fontId="0" fillId="0" borderId="18" xfId="0" applyBorder="1" applyAlignment="1">
      <alignment horizontal="center" vertical="top" wrapText="1"/>
    </xf>
    <xf numFmtId="0" fontId="0" fillId="0" borderId="14" xfId="0" applyBorder="1" applyAlignment="1">
      <alignment horizontal="center" vertical="top" wrapText="1"/>
    </xf>
  </cellXfs>
  <cellStyles count="9">
    <cellStyle name="Comma [0] 3" xfId="8"/>
    <cellStyle name="Comma [0] 4" xfId="7"/>
    <cellStyle name="Comma 2" xfId="5"/>
    <cellStyle name="Millares" xfId="3" builtinId="3"/>
    <cellStyle name="Millares [0]" xfId="1" builtinId="6"/>
    <cellStyle name="Normal" xfId="0" builtinId="0"/>
    <cellStyle name="Normal 2" xfId="4"/>
    <cellStyle name="Percent 2" xfId="6"/>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externalLink" Target="externalLinks/externalLink6.xml"/><Relationship Id="rId10" Type="http://schemas.openxmlformats.org/officeDocument/2006/relationships/externalLink" Target="externalLinks/externalLink1.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111760</xdr:colOff>
      <xdr:row>3</xdr:row>
      <xdr:rowOff>81279</xdr:rowOff>
    </xdr:from>
    <xdr:to>
      <xdr:col>6</xdr:col>
      <xdr:colOff>701040</xdr:colOff>
      <xdr:row>30</xdr:row>
      <xdr:rowOff>132080</xdr:rowOff>
    </xdr:to>
    <xdr:pic>
      <xdr:nvPicPr>
        <xdr:cNvPr id="2" name="Picture 1">
          <a:extLst>
            <a:ext uri="{FF2B5EF4-FFF2-40B4-BE49-F238E27FC236}">
              <a16:creationId xmlns:a16="http://schemas.microsoft.com/office/drawing/2014/main" id="{5B5AF0B3-851B-664E-BABA-566558CA61FC}"/>
            </a:ext>
          </a:extLst>
        </xdr:cNvPr>
        <xdr:cNvPicPr>
          <a:picLocks noChangeAspect="1"/>
        </xdr:cNvPicPr>
      </xdr:nvPicPr>
      <xdr:blipFill rotWithShape="1">
        <a:blip xmlns:r="http://schemas.openxmlformats.org/officeDocument/2006/relationships" r:embed="rId1"/>
        <a:srcRect t="3527" b="1493"/>
        <a:stretch/>
      </xdr:blipFill>
      <xdr:spPr>
        <a:xfrm>
          <a:off x="934720" y="487679"/>
          <a:ext cx="4958080" cy="5638801"/>
        </a:xfrm>
        <a:prstGeom prst="rect">
          <a:avLst/>
        </a:prstGeom>
        <a:ln>
          <a:noFill/>
        </a:ln>
        <a:effectLst>
          <a:outerShdw blurRad="190500" algn="tl" rotWithShape="0">
            <a:srgbClr val="000000">
              <a:alpha val="70000"/>
            </a:srgbClr>
          </a:outerShdw>
        </a:effectLst>
      </xdr:spPr>
    </xdr:pic>
    <xdr:clientData/>
  </xdr:twoCellAnchor>
  <xdr:twoCellAnchor>
    <xdr:from>
      <xdr:col>1</xdr:col>
      <xdr:colOff>776890</xdr:colOff>
      <xdr:row>15</xdr:row>
      <xdr:rowOff>145456</xdr:rowOff>
    </xdr:from>
    <xdr:to>
      <xdr:col>6</xdr:col>
      <xdr:colOff>680720</xdr:colOff>
      <xdr:row>16</xdr:row>
      <xdr:rowOff>167254</xdr:rowOff>
    </xdr:to>
    <xdr:sp macro="" textlink="">
      <xdr:nvSpPr>
        <xdr:cNvPr id="3" name="TextBox 6">
          <a:extLst>
            <a:ext uri="{FF2B5EF4-FFF2-40B4-BE49-F238E27FC236}">
              <a16:creationId xmlns:a16="http://schemas.microsoft.com/office/drawing/2014/main" id="{3C854D36-711D-5F4F-AFC8-EA8C4C8A63C1}"/>
            </a:ext>
          </a:extLst>
        </xdr:cNvPr>
        <xdr:cNvSpPr txBox="1"/>
      </xdr:nvSpPr>
      <xdr:spPr>
        <a:xfrm>
          <a:off x="1599850" y="3091856"/>
          <a:ext cx="4272630" cy="224998"/>
        </a:xfrm>
        <a:prstGeom prst="rect">
          <a:avLst/>
        </a:prstGeom>
        <a:solidFill>
          <a:schemeClr val="bg1"/>
        </a:solidFill>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a:latin typeface="Arial" panose="020B0604020202020204" pitchFamily="34" charset="0"/>
              <a:cs typeface="Arial" panose="020B0604020202020204" pitchFamily="34" charset="0"/>
            </a:rPr>
            <a:t>EMPRESA ABC </a:t>
          </a:r>
        </a:p>
      </xdr:txBody>
    </xdr:sp>
    <xdr:clientData/>
  </xdr:twoCellAnchor>
  <xdr:twoCellAnchor>
    <xdr:from>
      <xdr:col>2</xdr:col>
      <xdr:colOff>327497</xdr:colOff>
      <xdr:row>16</xdr:row>
      <xdr:rowOff>193408</xdr:rowOff>
    </xdr:from>
    <xdr:to>
      <xdr:col>3</xdr:col>
      <xdr:colOff>772160</xdr:colOff>
      <xdr:row>18</xdr:row>
      <xdr:rowOff>12006</xdr:rowOff>
    </xdr:to>
    <xdr:sp macro="" textlink="">
      <xdr:nvSpPr>
        <xdr:cNvPr id="4" name="TextBox 20">
          <a:extLst>
            <a:ext uri="{FF2B5EF4-FFF2-40B4-BE49-F238E27FC236}">
              <a16:creationId xmlns:a16="http://schemas.microsoft.com/office/drawing/2014/main" id="{4880CEB8-F0C8-AA4F-A43A-E13609E8FCBA}"/>
            </a:ext>
          </a:extLst>
        </xdr:cNvPr>
        <xdr:cNvSpPr txBox="1"/>
      </xdr:nvSpPr>
      <xdr:spPr>
        <a:xfrm>
          <a:off x="1973417" y="3343008"/>
          <a:ext cx="1267623" cy="224998"/>
        </a:xfrm>
        <a:prstGeom prst="rect">
          <a:avLst/>
        </a:prstGeom>
        <a:solidFill>
          <a:schemeClr val="bg1"/>
        </a:solidFill>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a:latin typeface="Arial" panose="020B0604020202020204" pitchFamily="34" charset="0"/>
              <a:cs typeface="Arial" panose="020B0604020202020204" pitchFamily="34" charset="0"/>
            </a:rPr>
            <a:t>NIT 900.000.000</a:t>
          </a:r>
        </a:p>
      </xdr:txBody>
    </xdr:sp>
    <xdr:clientData/>
  </xdr:twoCellAnchor>
  <xdr:twoCellAnchor>
    <xdr:from>
      <xdr:col>3</xdr:col>
      <xdr:colOff>751551</xdr:colOff>
      <xdr:row>18</xdr:row>
      <xdr:rowOff>40639</xdr:rowOff>
    </xdr:from>
    <xdr:to>
      <xdr:col>5</xdr:col>
      <xdr:colOff>193040</xdr:colOff>
      <xdr:row>19</xdr:row>
      <xdr:rowOff>71120</xdr:rowOff>
    </xdr:to>
    <xdr:sp macro="" textlink="">
      <xdr:nvSpPr>
        <xdr:cNvPr id="5" name="TextBox 21">
          <a:extLst>
            <a:ext uri="{FF2B5EF4-FFF2-40B4-BE49-F238E27FC236}">
              <a16:creationId xmlns:a16="http://schemas.microsoft.com/office/drawing/2014/main" id="{A0D0705A-A031-854D-9DA5-2CF16DBE5E36}"/>
            </a:ext>
          </a:extLst>
        </xdr:cNvPr>
        <xdr:cNvSpPr txBox="1"/>
      </xdr:nvSpPr>
      <xdr:spPr>
        <a:xfrm>
          <a:off x="3220431" y="3596639"/>
          <a:ext cx="1087409" cy="233681"/>
        </a:xfrm>
        <a:prstGeom prst="rect">
          <a:avLst/>
        </a:prstGeom>
        <a:solidFill>
          <a:schemeClr val="bg1"/>
        </a:solidFill>
      </xdr:spPr>
      <xdr:txBody>
        <a:bodyPr wrap="square" rtlCol="0">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a:latin typeface="Arial" panose="020B0604020202020204" pitchFamily="34" charset="0"/>
              <a:cs typeface="Arial" panose="020B0604020202020204" pitchFamily="34" charset="0"/>
            </a:rPr>
            <a:t>123456789</a:t>
          </a:r>
        </a:p>
      </xdr:txBody>
    </xdr:sp>
    <xdr:clientData/>
  </xdr:twoCellAnchor>
  <xdr:twoCellAnchor>
    <xdr:from>
      <xdr:col>1</xdr:col>
      <xdr:colOff>238360</xdr:colOff>
      <xdr:row>20</xdr:row>
      <xdr:rowOff>203088</xdr:rowOff>
    </xdr:from>
    <xdr:to>
      <xdr:col>4</xdr:col>
      <xdr:colOff>246521</xdr:colOff>
      <xdr:row>27</xdr:row>
      <xdr:rowOff>199666</xdr:rowOff>
    </xdr:to>
    <xdr:sp macro="" textlink="">
      <xdr:nvSpPr>
        <xdr:cNvPr id="6" name="TextBox 23">
          <a:extLst>
            <a:ext uri="{FF2B5EF4-FFF2-40B4-BE49-F238E27FC236}">
              <a16:creationId xmlns:a16="http://schemas.microsoft.com/office/drawing/2014/main" id="{4B325E8B-8CD5-E048-876D-F2D345117A85}"/>
            </a:ext>
          </a:extLst>
        </xdr:cNvPr>
        <xdr:cNvSpPr txBox="1"/>
      </xdr:nvSpPr>
      <xdr:spPr>
        <a:xfrm>
          <a:off x="1061320" y="4165488"/>
          <a:ext cx="2477041" cy="1418978"/>
        </a:xfrm>
        <a:prstGeom prst="rect">
          <a:avLst/>
        </a:prstGeom>
        <a:solidFill>
          <a:schemeClr val="bg1"/>
        </a:solidFill>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900">
              <a:latin typeface="Arial" panose="020B0604020202020204" pitchFamily="34" charset="0"/>
              <a:cs typeface="Arial" panose="020B0604020202020204" pitchFamily="34" charset="0"/>
            </a:rPr>
            <a:t>Capital final:                $315.540.000</a:t>
          </a:r>
        </a:p>
        <a:p>
          <a:endParaRPr lang="en-US" sz="900">
            <a:latin typeface="Arial" panose="020B0604020202020204" pitchFamily="34" charset="0"/>
            <a:cs typeface="Arial" panose="020B0604020202020204" pitchFamily="34" charset="0"/>
          </a:endParaRPr>
        </a:p>
        <a:p>
          <a:r>
            <a:rPr lang="en-US" sz="900">
              <a:latin typeface="Arial" panose="020B0604020202020204" pitchFamily="34" charset="0"/>
              <a:cs typeface="Arial" panose="020B0604020202020204" pitchFamily="34" charset="0"/>
            </a:rPr>
            <a:t>Tasa:                          $7% E.A.</a:t>
          </a:r>
        </a:p>
        <a:p>
          <a:endParaRPr lang="en-US" sz="900">
            <a:latin typeface="Arial" panose="020B0604020202020204" pitchFamily="34" charset="0"/>
            <a:cs typeface="Arial" panose="020B0604020202020204" pitchFamily="34" charset="0"/>
          </a:endParaRPr>
        </a:p>
        <a:p>
          <a:r>
            <a:rPr lang="en-US" sz="900">
              <a:latin typeface="Arial" panose="020B0604020202020204" pitchFamily="34" charset="0"/>
              <a:cs typeface="Arial" panose="020B0604020202020204" pitchFamily="34" charset="0"/>
            </a:rPr>
            <a:t>Plazo:                         360 días</a:t>
          </a:r>
        </a:p>
        <a:p>
          <a:endParaRPr lang="en-US" sz="900">
            <a:latin typeface="Arial" panose="020B0604020202020204" pitchFamily="34" charset="0"/>
            <a:cs typeface="Arial" panose="020B0604020202020204" pitchFamily="34" charset="0"/>
          </a:endParaRPr>
        </a:p>
        <a:p>
          <a:endParaRPr lang="en-US" sz="900">
            <a:latin typeface="Arial" panose="020B0604020202020204" pitchFamily="34" charset="0"/>
            <a:cs typeface="Arial" panose="020B0604020202020204" pitchFamily="34" charset="0"/>
          </a:endParaRPr>
        </a:p>
        <a:p>
          <a:endParaRPr lang="en-US" sz="900">
            <a:latin typeface="Arial" panose="020B0604020202020204" pitchFamily="34" charset="0"/>
            <a:cs typeface="Arial" panose="020B0604020202020204" pitchFamily="34" charset="0"/>
          </a:endParaRPr>
        </a:p>
        <a:p>
          <a:endParaRPr lang="en-US" sz="900">
            <a:latin typeface="Arial" panose="020B0604020202020204" pitchFamily="34" charset="0"/>
            <a:cs typeface="Arial" panose="020B0604020202020204" pitchFamily="34" charset="0"/>
          </a:endParaRPr>
        </a:p>
        <a:p>
          <a:r>
            <a:rPr lang="en-US" sz="900">
              <a:latin typeface="Arial" panose="020B0604020202020204" pitchFamily="34" charset="0"/>
              <a:cs typeface="Arial" panose="020B0604020202020204" pitchFamily="34" charset="0"/>
            </a:rPr>
            <a:t>        </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88900</xdr:colOff>
      <xdr:row>1</xdr:row>
      <xdr:rowOff>139700</xdr:rowOff>
    </xdr:from>
    <xdr:to>
      <xdr:col>4</xdr:col>
      <xdr:colOff>88900</xdr:colOff>
      <xdr:row>3</xdr:row>
      <xdr:rowOff>50800</xdr:rowOff>
    </xdr:to>
    <xdr:sp macro="" textlink="">
      <xdr:nvSpPr>
        <xdr:cNvPr id="2" name="ComboBox1" hidden="1">
          <a:extLst>
            <a:ext uri="{63B3BB69-23CF-44E3-9099-C40C66FF867C}">
              <a14:compatExt xmlns:a14="http://schemas.microsoft.com/office/drawing/2010/main" spid="_x0000_s2052"/>
            </a:ext>
            <a:ext uri="{FF2B5EF4-FFF2-40B4-BE49-F238E27FC236}">
              <a16:creationId xmlns:a16="http://schemas.microsoft.com/office/drawing/2014/main" id="{078CA67C-F0E2-A84F-B817-85546DDECE38}"/>
            </a:ext>
          </a:extLst>
        </xdr:cNvPr>
        <xdr:cNvSpPr/>
      </xdr:nvSpPr>
      <xdr:spPr>
        <a:xfrm>
          <a:off x="6083300" y="342900"/>
          <a:ext cx="2844800" cy="317500"/>
        </a:xfrm>
        <a:prstGeom prst="rect">
          <a:avLst/>
        </a:prstGeom>
      </xdr:spPr>
    </xdr:sp>
    <xdr:clientData/>
  </xdr:twoCellAnchor>
  <xdr:twoCellAnchor editAs="oneCell">
    <xdr:from>
      <xdr:col>5</xdr:col>
      <xdr:colOff>292100</xdr:colOff>
      <xdr:row>1</xdr:row>
      <xdr:rowOff>63500</xdr:rowOff>
    </xdr:from>
    <xdr:to>
      <xdr:col>5</xdr:col>
      <xdr:colOff>292100</xdr:colOff>
      <xdr:row>2</xdr:row>
      <xdr:rowOff>165100</xdr:rowOff>
    </xdr:to>
    <xdr:sp macro="" textlink="">
      <xdr:nvSpPr>
        <xdr:cNvPr id="3" name="ComboBox1" hidden="1">
          <a:extLst>
            <a:ext uri="{63B3BB69-23CF-44E3-9099-C40C66FF867C}">
              <a14:compatExt xmlns:a14="http://schemas.microsoft.com/office/drawing/2010/main" spid="_x0000_s2049"/>
            </a:ext>
            <a:ext uri="{FF2B5EF4-FFF2-40B4-BE49-F238E27FC236}">
              <a16:creationId xmlns:a16="http://schemas.microsoft.com/office/drawing/2014/main" id="{3ED114A3-846B-3D41-A5EF-0FE49F42F436}"/>
            </a:ext>
          </a:extLst>
        </xdr:cNvPr>
        <xdr:cNvSpPr/>
      </xdr:nvSpPr>
      <xdr:spPr bwMode="auto">
        <a:xfrm>
          <a:off x="7569200" y="266700"/>
          <a:ext cx="2463800" cy="3048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88900</xdr:colOff>
      <xdr:row>1</xdr:row>
      <xdr:rowOff>139700</xdr:rowOff>
    </xdr:from>
    <xdr:to>
      <xdr:col>4</xdr:col>
      <xdr:colOff>88900</xdr:colOff>
      <xdr:row>3</xdr:row>
      <xdr:rowOff>114300</xdr:rowOff>
    </xdr:to>
    <xdr:sp macro="" textlink="">
      <xdr:nvSpPr>
        <xdr:cNvPr id="2" name="ComboBox1" hidden="1">
          <a:extLst>
            <a:ext uri="{63B3BB69-23CF-44E3-9099-C40C66FF867C}">
              <a14:compatExt xmlns:a14="http://schemas.microsoft.com/office/drawing/2010/main" spid="_x0000_s2052"/>
            </a:ext>
            <a:ext uri="{FF2B5EF4-FFF2-40B4-BE49-F238E27FC236}">
              <a16:creationId xmlns:a16="http://schemas.microsoft.com/office/drawing/2014/main" id="{627D5715-F865-FA48-92F8-AF9EF490FC22}"/>
            </a:ext>
          </a:extLst>
        </xdr:cNvPr>
        <xdr:cNvSpPr/>
      </xdr:nvSpPr>
      <xdr:spPr>
        <a:xfrm>
          <a:off x="6083300" y="342900"/>
          <a:ext cx="0" cy="381000"/>
        </a:xfrm>
        <a:prstGeom prst="rect">
          <a:avLst/>
        </a:prstGeom>
      </xdr:spPr>
    </xdr:sp>
    <xdr:clientData/>
  </xdr:twoCellAnchor>
  <xdr:twoCellAnchor editAs="oneCell">
    <xdr:from>
      <xdr:col>5</xdr:col>
      <xdr:colOff>292100</xdr:colOff>
      <xdr:row>1</xdr:row>
      <xdr:rowOff>63500</xdr:rowOff>
    </xdr:from>
    <xdr:to>
      <xdr:col>5</xdr:col>
      <xdr:colOff>292100</xdr:colOff>
      <xdr:row>3</xdr:row>
      <xdr:rowOff>25400</xdr:rowOff>
    </xdr:to>
    <xdr:sp macro="" textlink="">
      <xdr:nvSpPr>
        <xdr:cNvPr id="3" name="ComboBox1" hidden="1">
          <a:extLst>
            <a:ext uri="{63B3BB69-23CF-44E3-9099-C40C66FF867C}">
              <a14:compatExt xmlns:a14="http://schemas.microsoft.com/office/drawing/2010/main" spid="_x0000_s2049"/>
            </a:ext>
            <a:ext uri="{FF2B5EF4-FFF2-40B4-BE49-F238E27FC236}">
              <a16:creationId xmlns:a16="http://schemas.microsoft.com/office/drawing/2014/main" id="{C81525ED-803C-6442-BE49-C6E52BBC2AB1}"/>
            </a:ext>
          </a:extLst>
        </xdr:cNvPr>
        <xdr:cNvSpPr/>
      </xdr:nvSpPr>
      <xdr:spPr bwMode="auto">
        <a:xfrm>
          <a:off x="7569200" y="266700"/>
          <a:ext cx="0" cy="3683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6</xdr:col>
      <xdr:colOff>762000</xdr:colOff>
      <xdr:row>1</xdr:row>
      <xdr:rowOff>139700</xdr:rowOff>
    </xdr:from>
    <xdr:ext cx="2843368" cy="353595"/>
    <xdr:sp macro="" textlink="">
      <xdr:nvSpPr>
        <xdr:cNvPr id="2" name="ComboBox1" hidden="1">
          <a:extLst>
            <a:ext uri="{63B3BB69-23CF-44E3-9099-C40C66FF867C}">
              <a14:compatExt xmlns:a14="http://schemas.microsoft.com/office/drawing/2010/main" spid="_x0000_s61442"/>
            </a:ext>
            <a:ext uri="{FF2B5EF4-FFF2-40B4-BE49-F238E27FC236}">
              <a16:creationId xmlns:a16="http://schemas.microsoft.com/office/drawing/2014/main" id="{DFC66B1F-17C1-D249-95B9-8722423DDFCC}"/>
            </a:ext>
          </a:extLst>
        </xdr:cNvPr>
        <xdr:cNvSpPr/>
      </xdr:nvSpPr>
      <xdr:spPr>
        <a:xfrm>
          <a:off x="7226300" y="342900"/>
          <a:ext cx="2843368" cy="353595"/>
        </a:xfrm>
        <a:prstGeom prst="rect">
          <a:avLst/>
        </a:prstGeom>
      </xdr:spPr>
    </xdr:sp>
    <xdr:clientData/>
  </xdr:oneCellAnchor>
  <xdr:oneCellAnchor>
    <xdr:from>
      <xdr:col>5</xdr:col>
      <xdr:colOff>863600</xdr:colOff>
      <xdr:row>2</xdr:row>
      <xdr:rowOff>63500</xdr:rowOff>
    </xdr:from>
    <xdr:ext cx="2462368" cy="305469"/>
    <xdr:sp macro="" textlink="">
      <xdr:nvSpPr>
        <xdr:cNvPr id="3" name="ComboBox1" hidden="1">
          <a:extLst>
            <a:ext uri="{63B3BB69-23CF-44E3-9099-C40C66FF867C}">
              <a14:compatExt xmlns:a14="http://schemas.microsoft.com/office/drawing/2010/main" spid="_x0000_s28673"/>
            </a:ext>
            <a:ext uri="{FF2B5EF4-FFF2-40B4-BE49-F238E27FC236}">
              <a16:creationId xmlns:a16="http://schemas.microsoft.com/office/drawing/2014/main" id="{ECBBF020-EDB3-D043-89EB-873C5A1C13C6}"/>
            </a:ext>
          </a:extLst>
        </xdr:cNvPr>
        <xdr:cNvSpPr/>
      </xdr:nvSpPr>
      <xdr:spPr bwMode="auto">
        <a:xfrm>
          <a:off x="7327900" y="266700"/>
          <a:ext cx="2462368" cy="305469"/>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4</xdr:col>
      <xdr:colOff>800100</xdr:colOff>
      <xdr:row>2</xdr:row>
      <xdr:rowOff>228600</xdr:rowOff>
    </xdr:from>
    <xdr:to>
      <xdr:col>7</xdr:col>
      <xdr:colOff>267759</xdr:colOff>
      <xdr:row>4</xdr:row>
      <xdr:rowOff>139700</xdr:rowOff>
    </xdr:to>
    <xdr:sp macro="" textlink="">
      <xdr:nvSpPr>
        <xdr:cNvPr id="2" name="ComboBox1" hidden="1">
          <a:extLst>
            <a:ext uri="{63B3BB69-23CF-44E3-9099-C40C66FF867C}">
              <a14:compatExt xmlns:a14="http://schemas.microsoft.com/office/drawing/2010/main" spid="_x0000_s78849"/>
            </a:ext>
            <a:ext uri="{FF2B5EF4-FFF2-40B4-BE49-F238E27FC236}">
              <a16:creationId xmlns:a16="http://schemas.microsoft.com/office/drawing/2014/main" id="{4707FE4C-557C-8B4C-B646-D0D351EE0BEC}"/>
            </a:ext>
          </a:extLst>
        </xdr:cNvPr>
        <xdr:cNvSpPr/>
      </xdr:nvSpPr>
      <xdr:spPr>
        <a:xfrm>
          <a:off x="6477000" y="431800"/>
          <a:ext cx="2841625" cy="342900"/>
        </a:xfrm>
        <a:prstGeom prst="rect">
          <a:avLst/>
        </a:prstGeom>
      </xdr:spPr>
    </xdr:sp>
    <xdr:clientData/>
  </xdr:twoCellAnchor>
  <xdr:twoCellAnchor editAs="oneCell">
    <xdr:from>
      <xdr:col>4</xdr:col>
      <xdr:colOff>660400</xdr:colOff>
      <xdr:row>2</xdr:row>
      <xdr:rowOff>101600</xdr:rowOff>
    </xdr:from>
    <xdr:to>
      <xdr:col>6</xdr:col>
      <xdr:colOff>677333</xdr:colOff>
      <xdr:row>4</xdr:row>
      <xdr:rowOff>0</xdr:rowOff>
    </xdr:to>
    <xdr:sp macro="" textlink="">
      <xdr:nvSpPr>
        <xdr:cNvPr id="3" name="ComboBox1" hidden="1">
          <a:extLst>
            <a:ext uri="{63B3BB69-23CF-44E3-9099-C40C66FF867C}">
              <a14:compatExt xmlns:a14="http://schemas.microsoft.com/office/drawing/2010/main" spid="_x0000_s14337"/>
            </a:ext>
            <a:ext uri="{FF2B5EF4-FFF2-40B4-BE49-F238E27FC236}">
              <a16:creationId xmlns:a16="http://schemas.microsoft.com/office/drawing/2014/main" id="{A5FA5A82-4474-9449-8AD4-538BB5E67F55}"/>
            </a:ext>
          </a:extLst>
        </xdr:cNvPr>
        <xdr:cNvSpPr/>
      </xdr:nvSpPr>
      <xdr:spPr bwMode="auto">
        <a:xfrm>
          <a:off x="6337300" y="304800"/>
          <a:ext cx="2438400" cy="3048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Users/andresmoreno/Dropbox/1.%20Compa&#241;ias/18.%20TERMINAL%20DE%20TRANSPORTE%20DE%20SOGAMOSO/3.%20Transici&#243;n/Worksheet%20in%201125%20FONDOS%20Combined%20Leadsheet"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CONSTRUCTORA/RENTA%202012/Anexo%20C/ANEXO%20C%20PARA%20SOCIEDADES%202012%20Clave(860058070COLP).xlsm"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Worksheet%20in%205253%20Prueba%20Inversiones%20-%2031%20de%20diciembre%20de%202008"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Worksheet%20in%205250%20Prueba%20de%20m&#233;todo%20de%20participaci&#243;n%20-31%20de%20diciembre%20de%202011"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Documents%20and%20Settings/amontanez/My%20Documents/Clientes%202005/El%20Tiempo%202005/5232-%204%20Revisi&#243;n%20de%20inversi&#243;nes%20por%20m&#233;todo%20de%20participaci&#243;n%20y%20costo%20a%2031%2012%2004.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Worksheet%20in%205265-2%20Prueba%20de%20Inversiones%20-%20M&#233;todo%20de%20participaci&#243;n"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andresmoreno/Dropbox/10.%20Libro/Renta%20juridicas/2020/Libro%20renta%20Persona%20juridic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nks"/>
      <sheetName val="Tickmarks"/>
    </sheetNames>
    <sheetDataSet>
      <sheetData sheetId="0" refreshError="1">
        <row r="1">
          <cell r="F1" t="str">
            <v>31-Agos-2002</v>
          </cell>
          <cell r="G1" t="str">
            <v>AJE</v>
          </cell>
          <cell r="H1" t="str">
            <v>Adjusted</v>
          </cell>
          <cell r="I1" t="str">
            <v>RJE</v>
          </cell>
          <cell r="J1" t="str">
            <v>Final</v>
          </cell>
          <cell r="K1" t="str">
            <v>31-Dic-2001</v>
          </cell>
        </row>
        <row r="3">
          <cell r="F3">
            <v>0</v>
          </cell>
          <cell r="G3">
            <v>0</v>
          </cell>
          <cell r="H3">
            <v>0</v>
          </cell>
          <cell r="I3">
            <v>0</v>
          </cell>
          <cell r="J3">
            <v>0</v>
          </cell>
          <cell r="K3">
            <v>0</v>
          </cell>
        </row>
        <row r="4">
          <cell r="F4">
            <v>0</v>
          </cell>
          <cell r="G4">
            <v>0</v>
          </cell>
          <cell r="H4">
            <v>0</v>
          </cell>
          <cell r="I4">
            <v>0</v>
          </cell>
          <cell r="J4">
            <v>0</v>
          </cell>
          <cell r="K4">
            <v>0</v>
          </cell>
        </row>
        <row r="6">
          <cell r="F6">
            <v>7376000</v>
          </cell>
          <cell r="G6">
            <v>0</v>
          </cell>
          <cell r="H6">
            <v>7376000</v>
          </cell>
          <cell r="I6">
            <v>0</v>
          </cell>
          <cell r="J6">
            <v>7376000</v>
          </cell>
          <cell r="K6">
            <v>7376000</v>
          </cell>
        </row>
        <row r="7">
          <cell r="F7">
            <v>7376000</v>
          </cell>
          <cell r="G7">
            <v>0</v>
          </cell>
          <cell r="H7">
            <v>7376000</v>
          </cell>
          <cell r="I7">
            <v>0</v>
          </cell>
          <cell r="J7">
            <v>7376000</v>
          </cell>
          <cell r="K7">
            <v>7376000</v>
          </cell>
        </row>
        <row r="9">
          <cell r="F9">
            <v>656283730</v>
          </cell>
          <cell r="G9">
            <v>0</v>
          </cell>
          <cell r="H9">
            <v>656283730</v>
          </cell>
          <cell r="I9">
            <v>0</v>
          </cell>
          <cell r="J9">
            <v>656283730</v>
          </cell>
          <cell r="K9">
            <v>141979542</v>
          </cell>
        </row>
        <row r="10">
          <cell r="F10">
            <v>0</v>
          </cell>
          <cell r="G10">
            <v>0</v>
          </cell>
          <cell r="H10">
            <v>0</v>
          </cell>
          <cell r="I10">
            <v>0</v>
          </cell>
          <cell r="J10">
            <v>0</v>
          </cell>
          <cell r="K10">
            <v>831050845</v>
          </cell>
        </row>
        <row r="11">
          <cell r="F11">
            <v>656283730</v>
          </cell>
          <cell r="G11">
            <v>0</v>
          </cell>
          <cell r="H11">
            <v>656283730</v>
          </cell>
          <cell r="I11">
            <v>0</v>
          </cell>
          <cell r="J11">
            <v>656283730</v>
          </cell>
          <cell r="K11">
            <v>973030387</v>
          </cell>
        </row>
        <row r="12">
          <cell r="F12">
            <v>663659730</v>
          </cell>
          <cell r="G12">
            <v>0</v>
          </cell>
          <cell r="H12">
            <v>663659730</v>
          </cell>
          <cell r="I12">
            <v>0</v>
          </cell>
          <cell r="J12">
            <v>663659730</v>
          </cell>
          <cell r="K12">
            <v>980406387</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ConcUtilidades"/>
      <sheetName val="ConcPatrimonial"/>
      <sheetName val="Reclasificaciones Contables"/>
      <sheetName val="Reclasificaciones Fiscales"/>
      <sheetName val="TMP"/>
      <sheetName val="Configuracion"/>
      <sheetName val="Informes"/>
      <sheetName val="Macro1"/>
      <sheetName val="Ingreso"/>
      <sheetName val="Aviso"/>
      <sheetName val="Anexo de retenciones"/>
      <sheetName val="Datos de entrada"/>
      <sheetName val="Validación"/>
      <sheetName val="Calculo cuotas"/>
      <sheetName val="Sumaria de analisis PUC"/>
      <sheetName val="Sumaria de analisis PUC SUI"/>
      <sheetName val="Sumaria de analisis PUC FINAN"/>
      <sheetName val="Sumaria de analisis PUC SALUD"/>
      <sheetName val="PUC"/>
      <sheetName val="PUC SUI"/>
      <sheetName val="PUC SALUD"/>
      <sheetName val="PUC FINAN"/>
      <sheetName val="Asignacion manual"/>
      <sheetName val="Balance"/>
      <sheetName val="Calculo global aportes paraf"/>
      <sheetName val="Calculo primera cuota -Anticipo"/>
      <sheetName val="Calculo limite - Opcion 1 y 2"/>
      <sheetName val="Desc. Trib."/>
      <sheetName val="Renta Presuntiva"/>
      <sheetName val="Macro2"/>
      <sheetName val="Perdidas fiscales y exces"/>
      <sheetName val="Anticipo Año Sig."/>
      <sheetName val="13-7"/>
      <sheetName val="Ajustes inflación patri liqui"/>
      <sheetName val="Concilpatcontable"/>
      <sheetName val="Pagos al exterior"/>
      <sheetName val="Pensión Jubilación"/>
      <sheetName val="Impuestos pagados"/>
      <sheetName val="Anexo Cartera"/>
      <sheetName val="Cartera Individual"/>
      <sheetName val="Venta AF"/>
      <sheetName val="Retiro AF"/>
      <sheetName val="Intereses presuntivos"/>
      <sheetName val="Pasivos Estimados"/>
      <sheetName val="CM Diferida"/>
      <sheetName val="Indemnizaciones"/>
      <sheetName val="IVA Importacion"/>
      <sheetName val="Deducción Especial"/>
      <sheetName val="Inv Acciones"/>
      <sheetName val="Otras Inversiones"/>
      <sheetName val="INCRNGO"/>
      <sheetName val="Borrador formulario oficial"/>
      <sheetName val="Venta de Activos Fijos"/>
      <sheetName val="Hoja1"/>
      <sheetName val="Hoja2"/>
      <sheetName val="ANEXO C PARA SOCIEDADES 2012 Cl"/>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5">
          <cell r="T15">
            <v>860058070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67">
          <cell r="J67">
            <v>6045797850</v>
          </cell>
        </row>
      </sheetData>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rsiones Temporales"/>
      <sheetName val="Metodo de Costo"/>
      <sheetName val="Método Participación"/>
      <sheetName val="Comp.Accionaria"/>
      <sheetName val="Forwards"/>
      <sheetName val="XREF"/>
      <sheetName val="Tickmarks"/>
    </sheetNames>
    <sheetDataSet>
      <sheetData sheetId="0"/>
      <sheetData sheetId="1" refreshError="1">
        <row r="29">
          <cell r="K29">
            <v>10077119</v>
          </cell>
        </row>
        <row r="30">
          <cell r="K30">
            <v>10077119.4998</v>
          </cell>
        </row>
        <row r="39">
          <cell r="K39">
            <v>1033425.651</v>
          </cell>
        </row>
      </sheetData>
      <sheetData sheetId="2" refreshError="1"/>
      <sheetData sheetId="3" refreshError="1"/>
      <sheetData sheetId="4" refreshError="1"/>
      <sheetData sheetId="5"/>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étodo Participación (Nal)"/>
      <sheetName val="Método de participación (Ext)"/>
      <sheetName val="Metodo de Costo"/>
      <sheetName val="PPC - Plantilla de inversiones"/>
      <sheetName val="Tickmarks"/>
      <sheetName val="Detalle Cta 32"/>
      <sheetName val="Plantilla de inversiones"/>
      <sheetName val="Sheet1"/>
    </sheetNames>
    <sheetDataSet>
      <sheetData sheetId="0"/>
      <sheetData sheetId="1"/>
      <sheetData sheetId="2"/>
      <sheetData sheetId="3" refreshError="1"/>
      <sheetData sheetId="4"/>
      <sheetData sheetId="5"/>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 de participación"/>
      <sheetName val="Metodo del Costo"/>
      <sheetName val="Tickmarks"/>
      <sheetName val="CLCO"/>
      <sheetName val="DATA"/>
      <sheetName val="IPSA"/>
      <sheetName val="LEAD"/>
      <sheetName val="MULTI"/>
      <sheetName val="METRO"/>
      <sheetName val="MOBILIA"/>
      <sheetName val="PROCENSA"/>
      <sheetName val="TEMPO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 de participación"/>
      <sheetName val="Composición Accionaria Filiales"/>
      <sheetName val="IPCO"/>
      <sheetName val="LSCO"/>
      <sheetName val="CACO"/>
      <sheetName val="MRCO"/>
      <sheetName val="MCCO"/>
      <sheetName val="PROCENTER"/>
      <sheetName val="PROCENSA"/>
      <sheetName val="PROCENSAII"/>
      <sheetName val="TECO"/>
      <sheetName val="Tickmark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 Taxonomía"/>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2:I82"/>
  <sheetViews>
    <sheetView showGridLines="0" tabSelected="1" zoomScale="125" workbookViewId="0">
      <selection activeCell="D11" sqref="D11"/>
    </sheetView>
  </sheetViews>
  <sheetFormatPr baseColWidth="10" defaultRowHeight="15.6"/>
  <cols>
    <col min="3" max="3" width="21.19921875" customWidth="1"/>
    <col min="4" max="4" width="19.5" customWidth="1"/>
    <col min="5" max="5" width="18.5" customWidth="1"/>
    <col min="9" max="9" width="18.5" bestFit="1" customWidth="1"/>
  </cols>
  <sheetData>
    <row r="2" spans="2:9" ht="21">
      <c r="B2" s="75" t="s">
        <v>83</v>
      </c>
    </row>
    <row r="3" spans="2:9" ht="21">
      <c r="B3" s="75"/>
    </row>
    <row r="4" spans="2:9" ht="16.05" customHeight="1">
      <c r="B4" s="177" t="s">
        <v>56</v>
      </c>
      <c r="C4" s="177"/>
      <c r="D4" s="177"/>
      <c r="E4" s="177"/>
      <c r="F4" s="177"/>
    </row>
    <row r="5" spans="2:9" ht="16.05" customHeight="1">
      <c r="B5" s="177"/>
      <c r="C5" s="177"/>
      <c r="D5" s="177"/>
      <c r="E5" s="177"/>
      <c r="F5" s="177"/>
    </row>
    <row r="6" spans="2:9" ht="16.05" customHeight="1">
      <c r="B6" s="177"/>
      <c r="C6" s="177"/>
      <c r="D6" s="177"/>
      <c r="E6" s="177"/>
      <c r="F6" s="177"/>
    </row>
    <row r="7" spans="2:9" ht="16.05" customHeight="1">
      <c r="B7" s="177"/>
      <c r="C7" s="177"/>
      <c r="D7" s="177"/>
      <c r="E7" s="177"/>
      <c r="F7" s="177"/>
    </row>
    <row r="8" spans="2:9" ht="16.05" customHeight="1">
      <c r="B8" s="177"/>
      <c r="C8" s="177"/>
      <c r="D8" s="177"/>
      <c r="E8" s="177"/>
      <c r="F8" s="177"/>
      <c r="H8" s="26"/>
    </row>
    <row r="10" spans="2:9">
      <c r="C10" t="s">
        <v>15</v>
      </c>
      <c r="D10" s="5">
        <v>315540000</v>
      </c>
    </row>
    <row r="11" spans="2:9">
      <c r="C11" t="s">
        <v>16</v>
      </c>
      <c r="D11" s="27">
        <v>7.9741404289037643E-3</v>
      </c>
      <c r="F11" s="64"/>
      <c r="H11" s="65"/>
      <c r="I11" s="62"/>
    </row>
    <row r="12" spans="2:9">
      <c r="D12" s="5"/>
      <c r="I12" s="63"/>
    </row>
    <row r="14" spans="2:9">
      <c r="B14" s="2" t="s">
        <v>14</v>
      </c>
      <c r="C14" s="2" t="s">
        <v>11</v>
      </c>
      <c r="D14" s="2" t="s">
        <v>12</v>
      </c>
      <c r="E14" s="2" t="s">
        <v>13</v>
      </c>
    </row>
    <row r="15" spans="2:9" s="4" customFormat="1">
      <c r="B15" s="6">
        <v>1</v>
      </c>
      <c r="C15" s="7">
        <v>315540000</v>
      </c>
      <c r="D15" s="8">
        <f>$C$15*$D$11</f>
        <v>2516160.270936294</v>
      </c>
      <c r="E15" s="9">
        <f>C15+D15</f>
        <v>318056160.27093631</v>
      </c>
    </row>
    <row r="16" spans="2:9">
      <c r="B16" s="10">
        <v>2</v>
      </c>
      <c r="C16" s="7">
        <f>E15</f>
        <v>318056160.27093631</v>
      </c>
      <c r="D16" s="8">
        <f t="shared" ref="D16:D18" si="0">$C$15*$D$11</f>
        <v>2516160.270936294</v>
      </c>
      <c r="E16" s="9">
        <f>C16+D16</f>
        <v>320572320.54187262</v>
      </c>
    </row>
    <row r="17" spans="1:9">
      <c r="B17" s="10">
        <v>3</v>
      </c>
      <c r="C17" s="7">
        <f t="shared" ref="C17:C18" si="1">E16</f>
        <v>320572320.54187262</v>
      </c>
      <c r="D17" s="8">
        <f t="shared" si="0"/>
        <v>2516160.270936294</v>
      </c>
      <c r="E17" s="9">
        <f t="shared" ref="E17:E18" si="2">C17+D17</f>
        <v>323088480.81280893</v>
      </c>
      <c r="I17" s="5"/>
    </row>
    <row r="18" spans="1:9">
      <c r="B18" s="11">
        <v>4</v>
      </c>
      <c r="C18" s="12">
        <f t="shared" si="1"/>
        <v>323088480.81280893</v>
      </c>
      <c r="D18" s="13">
        <f t="shared" si="0"/>
        <v>2516160.270936294</v>
      </c>
      <c r="E18" s="14">
        <f t="shared" si="2"/>
        <v>325604641.08374524</v>
      </c>
      <c r="I18" s="28"/>
    </row>
    <row r="19" spans="1:9">
      <c r="C19" s="5"/>
      <c r="D19" s="5"/>
      <c r="E19" s="5"/>
      <c r="I19" s="28"/>
    </row>
    <row r="23" spans="1:9">
      <c r="I23" s="5"/>
    </row>
    <row r="25" spans="1:9">
      <c r="A25" t="s">
        <v>6</v>
      </c>
    </row>
    <row r="26" spans="1:9">
      <c r="B26" s="2" t="s">
        <v>1</v>
      </c>
      <c r="C26" s="2" t="s">
        <v>2</v>
      </c>
      <c r="D26" s="2" t="s">
        <v>3</v>
      </c>
      <c r="E26" s="2" t="s">
        <v>4</v>
      </c>
    </row>
    <row r="27" spans="1:9">
      <c r="B27" s="1">
        <v>12</v>
      </c>
      <c r="C27" s="1" t="s">
        <v>0</v>
      </c>
      <c r="D27" s="3">
        <v>315540000</v>
      </c>
      <c r="E27" s="3"/>
    </row>
    <row r="28" spans="1:9">
      <c r="B28" s="1">
        <v>11</v>
      </c>
      <c r="C28" s="1" t="s">
        <v>5</v>
      </c>
      <c r="D28" s="3"/>
      <c r="E28" s="3">
        <f>D27</f>
        <v>315540000</v>
      </c>
    </row>
    <row r="30" spans="1:9">
      <c r="B30" s="2" t="s">
        <v>1</v>
      </c>
      <c r="C30" s="2" t="s">
        <v>2</v>
      </c>
      <c r="D30" s="2" t="s">
        <v>3</v>
      </c>
      <c r="E30" s="2" t="s">
        <v>4</v>
      </c>
    </row>
    <row r="31" spans="1:9">
      <c r="B31" s="1">
        <v>12</v>
      </c>
      <c r="C31" s="1" t="s">
        <v>0</v>
      </c>
      <c r="D31" s="3">
        <f>D27*0.5%</f>
        <v>1577700</v>
      </c>
      <c r="E31" s="3"/>
    </row>
    <row r="32" spans="1:9">
      <c r="B32" s="1">
        <v>42</v>
      </c>
      <c r="C32" s="1" t="s">
        <v>10</v>
      </c>
      <c r="D32" s="3"/>
      <c r="E32" s="3">
        <f>D31</f>
        <v>1577700</v>
      </c>
    </row>
    <row r="33" spans="1:5">
      <c r="B33" s="17"/>
      <c r="C33" s="17"/>
      <c r="D33" s="7"/>
      <c r="E33" s="7"/>
    </row>
    <row r="34" spans="1:5" ht="16.2" thickBot="1">
      <c r="B34" s="17"/>
      <c r="C34" s="17"/>
      <c r="D34" s="7"/>
      <c r="E34" s="7"/>
    </row>
    <row r="35" spans="1:5">
      <c r="B35" s="17"/>
      <c r="C35" s="18" t="s">
        <v>22</v>
      </c>
      <c r="D35" s="19">
        <f>D27</f>
        <v>315540000</v>
      </c>
      <c r="E35" s="7"/>
    </row>
    <row r="36" spans="1:5">
      <c r="B36" s="17"/>
      <c r="C36" s="20" t="s">
        <v>19</v>
      </c>
      <c r="D36" s="21"/>
      <c r="E36" s="7"/>
    </row>
    <row r="37" spans="1:5">
      <c r="B37" s="17"/>
      <c r="C37" s="20" t="s">
        <v>20</v>
      </c>
      <c r="D37" s="21">
        <f>+D31</f>
        <v>1577700</v>
      </c>
      <c r="E37" s="7"/>
    </row>
    <row r="38" spans="1:5">
      <c r="B38" s="17"/>
      <c r="C38" s="20" t="s">
        <v>21</v>
      </c>
      <c r="D38" s="21"/>
      <c r="E38" s="7"/>
    </row>
    <row r="39" spans="1:5">
      <c r="B39" s="17"/>
      <c r="C39" s="22"/>
      <c r="D39" s="23"/>
      <c r="E39" s="7"/>
    </row>
    <row r="40" spans="1:5" ht="16.2" thickBot="1">
      <c r="B40" s="17"/>
      <c r="C40" s="24" t="s">
        <v>18</v>
      </c>
      <c r="D40" s="25">
        <f>D35-D36+D37-D38</f>
        <v>317117700</v>
      </c>
      <c r="E40" s="7"/>
    </row>
    <row r="41" spans="1:5">
      <c r="B41" s="17"/>
      <c r="C41" s="17"/>
      <c r="D41" s="7"/>
      <c r="E41" s="7"/>
    </row>
    <row r="42" spans="1:5">
      <c r="B42" s="17"/>
      <c r="C42" s="17"/>
      <c r="D42" s="7"/>
      <c r="E42" s="7"/>
    </row>
    <row r="43" spans="1:5">
      <c r="A43" t="s">
        <v>7</v>
      </c>
    </row>
    <row r="44" spans="1:5">
      <c r="B44" s="2" t="s">
        <v>1</v>
      </c>
      <c r="C44" s="2" t="s">
        <v>2</v>
      </c>
      <c r="D44" s="2" t="s">
        <v>3</v>
      </c>
      <c r="E44" s="2" t="s">
        <v>4</v>
      </c>
    </row>
    <row r="45" spans="1:5">
      <c r="B45" s="1">
        <v>12</v>
      </c>
      <c r="C45" s="1" t="s">
        <v>0</v>
      </c>
      <c r="D45" s="3">
        <f>D31</f>
        <v>1577700</v>
      </c>
      <c r="E45" s="3"/>
    </row>
    <row r="46" spans="1:5">
      <c r="B46" s="1">
        <v>11</v>
      </c>
      <c r="C46" s="1" t="s">
        <v>10</v>
      </c>
      <c r="D46" s="3"/>
      <c r="E46" s="3">
        <f>D45</f>
        <v>1577700</v>
      </c>
    </row>
    <row r="47" spans="1:5" ht="16.2" thickBot="1">
      <c r="B47" s="17"/>
      <c r="C47" s="17"/>
      <c r="D47" s="7"/>
      <c r="E47" s="7"/>
    </row>
    <row r="48" spans="1:5">
      <c r="B48" s="17"/>
      <c r="C48" s="18" t="s">
        <v>22</v>
      </c>
      <c r="D48" s="19">
        <f>D27</f>
        <v>315540000</v>
      </c>
      <c r="E48" s="7"/>
    </row>
    <row r="49" spans="1:5">
      <c r="B49" s="17"/>
      <c r="C49" s="20" t="s">
        <v>19</v>
      </c>
      <c r="D49" s="21"/>
      <c r="E49" s="7"/>
    </row>
    <row r="50" spans="1:5">
      <c r="B50" s="17"/>
      <c r="C50" s="20" t="s">
        <v>20</v>
      </c>
      <c r="D50" s="21">
        <f>D31+D45</f>
        <v>3155400</v>
      </c>
      <c r="E50" s="7"/>
    </row>
    <row r="51" spans="1:5">
      <c r="B51" s="17"/>
      <c r="C51" s="20" t="s">
        <v>21</v>
      </c>
      <c r="D51" s="21"/>
      <c r="E51" s="7"/>
    </row>
    <row r="52" spans="1:5">
      <c r="B52" s="17"/>
      <c r="C52" s="22"/>
      <c r="D52" s="23"/>
      <c r="E52" s="7"/>
    </row>
    <row r="53" spans="1:5" ht="16.2" thickBot="1">
      <c r="B53" s="17"/>
      <c r="C53" s="24" t="s">
        <v>18</v>
      </c>
      <c r="D53" s="25">
        <f>D48-D49+D50-D51</f>
        <v>318695400</v>
      </c>
      <c r="E53" s="7"/>
    </row>
    <row r="54" spans="1:5">
      <c r="A54" t="s">
        <v>8</v>
      </c>
    </row>
    <row r="55" spans="1:5">
      <c r="B55" s="2" t="s">
        <v>1</v>
      </c>
      <c r="C55" s="2" t="s">
        <v>2</v>
      </c>
      <c r="D55" s="2" t="s">
        <v>3</v>
      </c>
      <c r="E55" s="2" t="s">
        <v>4</v>
      </c>
    </row>
    <row r="56" spans="1:5">
      <c r="B56" s="1">
        <v>12</v>
      </c>
      <c r="C56" s="1" t="s">
        <v>0</v>
      </c>
      <c r="D56" s="3">
        <f>D45</f>
        <v>1577700</v>
      </c>
      <c r="E56" s="3"/>
    </row>
    <row r="57" spans="1:5">
      <c r="B57" s="1">
        <v>11</v>
      </c>
      <c r="C57" s="1" t="s">
        <v>10</v>
      </c>
      <c r="D57" s="3"/>
      <c r="E57" s="3">
        <f>D56</f>
        <v>1577700</v>
      </c>
    </row>
    <row r="58" spans="1:5" ht="16.2" thickBot="1">
      <c r="B58" s="17"/>
      <c r="C58" s="17"/>
      <c r="D58" s="7"/>
      <c r="E58" s="7"/>
    </row>
    <row r="59" spans="1:5">
      <c r="B59" s="17"/>
      <c r="C59" s="18" t="s">
        <v>22</v>
      </c>
      <c r="D59" s="19">
        <f>D27</f>
        <v>315540000</v>
      </c>
      <c r="E59" s="7"/>
    </row>
    <row r="60" spans="1:5">
      <c r="B60" s="17"/>
      <c r="C60" s="20" t="s">
        <v>19</v>
      </c>
      <c r="D60" s="21"/>
      <c r="E60" s="7"/>
    </row>
    <row r="61" spans="1:5">
      <c r="B61" s="17"/>
      <c r="C61" s="20" t="s">
        <v>20</v>
      </c>
      <c r="D61" s="21">
        <f>D31++D45+D56</f>
        <v>4733100</v>
      </c>
      <c r="E61" s="7"/>
    </row>
    <row r="62" spans="1:5">
      <c r="B62" s="17"/>
      <c r="C62" s="20" t="s">
        <v>21</v>
      </c>
      <c r="D62" s="21"/>
      <c r="E62" s="7"/>
    </row>
    <row r="63" spans="1:5">
      <c r="B63" s="17"/>
      <c r="C63" s="22"/>
      <c r="D63" s="23"/>
      <c r="E63" s="7"/>
    </row>
    <row r="64" spans="1:5" ht="16.2" thickBot="1">
      <c r="B64" s="17"/>
      <c r="C64" s="24" t="s">
        <v>18</v>
      </c>
      <c r="D64" s="25">
        <f>D59-D60+D61-D62</f>
        <v>320273100</v>
      </c>
      <c r="E64" s="7"/>
    </row>
    <row r="65" spans="1:5">
      <c r="B65" s="17"/>
      <c r="C65" s="17"/>
      <c r="D65" s="7"/>
      <c r="E65" s="7"/>
    </row>
    <row r="66" spans="1:5">
      <c r="A66" t="s">
        <v>9</v>
      </c>
    </row>
    <row r="67" spans="1:5">
      <c r="B67" s="2" t="s">
        <v>1</v>
      </c>
      <c r="C67" s="2" t="s">
        <v>2</v>
      </c>
      <c r="D67" s="2" t="s">
        <v>3</v>
      </c>
      <c r="E67" s="2" t="s">
        <v>4</v>
      </c>
    </row>
    <row r="68" spans="1:5">
      <c r="B68" s="1">
        <v>12</v>
      </c>
      <c r="C68" s="1" t="s">
        <v>0</v>
      </c>
      <c r="D68" s="3">
        <f>D56</f>
        <v>1577700</v>
      </c>
      <c r="E68" s="3"/>
    </row>
    <row r="69" spans="1:5">
      <c r="B69" s="1">
        <v>11</v>
      </c>
      <c r="C69" s="1" t="s">
        <v>10</v>
      </c>
      <c r="D69" s="3"/>
      <c r="E69" s="3">
        <f>D68</f>
        <v>1577700</v>
      </c>
    </row>
    <row r="70" spans="1:5" ht="16.2" thickBot="1">
      <c r="B70" s="17"/>
      <c r="C70" s="17"/>
      <c r="D70" s="7"/>
      <c r="E70" s="7"/>
    </row>
    <row r="71" spans="1:5">
      <c r="B71" s="17"/>
      <c r="C71" s="18" t="s">
        <v>22</v>
      </c>
      <c r="D71" s="19">
        <f>D59</f>
        <v>315540000</v>
      </c>
      <c r="E71" s="7"/>
    </row>
    <row r="72" spans="1:5">
      <c r="B72" s="17"/>
      <c r="C72" s="20" t="s">
        <v>19</v>
      </c>
      <c r="D72" s="21"/>
      <c r="E72" s="7"/>
    </row>
    <row r="73" spans="1:5">
      <c r="B73" s="17"/>
      <c r="C73" s="20" t="s">
        <v>20</v>
      </c>
      <c r="D73" s="21">
        <f>D61+D68</f>
        <v>6310800</v>
      </c>
      <c r="E73" s="7"/>
    </row>
    <row r="74" spans="1:5">
      <c r="B74" s="17"/>
      <c r="C74" s="20" t="s">
        <v>21</v>
      </c>
      <c r="D74" s="21"/>
      <c r="E74" s="7"/>
    </row>
    <row r="75" spans="1:5">
      <c r="B75" s="17"/>
      <c r="C75" s="22"/>
      <c r="D75" s="23"/>
      <c r="E75" s="7"/>
    </row>
    <row r="76" spans="1:5" ht="16.2" thickBot="1">
      <c r="B76" s="17"/>
      <c r="C76" s="24" t="s">
        <v>18</v>
      </c>
      <c r="D76" s="25">
        <f>D71-D72+D73-D74</f>
        <v>321850800</v>
      </c>
      <c r="E76" s="7"/>
    </row>
    <row r="77" spans="1:5">
      <c r="B77" s="17"/>
      <c r="C77" s="17"/>
      <c r="D77" s="7"/>
      <c r="E77" s="7"/>
    </row>
    <row r="78" spans="1:5">
      <c r="B78" s="17"/>
      <c r="C78" s="17"/>
      <c r="D78" s="7"/>
      <c r="E78" s="7"/>
    </row>
    <row r="80" spans="1:5">
      <c r="B80" s="2" t="s">
        <v>1</v>
      </c>
      <c r="C80" s="2" t="s">
        <v>2</v>
      </c>
      <c r="D80" s="2" t="s">
        <v>3</v>
      </c>
      <c r="E80" s="2" t="s">
        <v>4</v>
      </c>
    </row>
    <row r="81" spans="2:5">
      <c r="B81" s="1">
        <v>12</v>
      </c>
      <c r="C81" s="1" t="s">
        <v>0</v>
      </c>
      <c r="D81" s="3"/>
      <c r="E81" s="3">
        <f>D27+D31+D45+D56+D68</f>
        <v>321850800</v>
      </c>
    </row>
    <row r="82" spans="2:5">
      <c r="B82" s="1">
        <v>11</v>
      </c>
      <c r="C82" s="1" t="s">
        <v>5</v>
      </c>
      <c r="D82" s="3">
        <f>E81</f>
        <v>321850800</v>
      </c>
      <c r="E82" s="3"/>
    </row>
  </sheetData>
  <mergeCells count="1">
    <mergeCell ref="B4:F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2:F82"/>
  <sheetViews>
    <sheetView showGridLines="0" zoomScale="125" workbookViewId="0">
      <selection activeCell="D23" sqref="D23"/>
    </sheetView>
  </sheetViews>
  <sheetFormatPr baseColWidth="10" defaultRowHeight="15.6"/>
  <cols>
    <col min="3" max="3" width="21.19921875" customWidth="1"/>
    <col min="4" max="4" width="19.5" customWidth="1"/>
    <col min="5" max="5" width="18.5" customWidth="1"/>
  </cols>
  <sheetData>
    <row r="2" spans="2:6" ht="21">
      <c r="B2" s="75" t="s">
        <v>83</v>
      </c>
    </row>
    <row r="3" spans="2:6" ht="21">
      <c r="B3" s="75"/>
    </row>
    <row r="4" spans="2:6" ht="16.05" customHeight="1">
      <c r="B4" s="177" t="s">
        <v>56</v>
      </c>
      <c r="C4" s="177"/>
      <c r="D4" s="177"/>
      <c r="E4" s="177"/>
      <c r="F4" s="177"/>
    </row>
    <row r="5" spans="2:6" ht="16.05" customHeight="1">
      <c r="B5" s="177"/>
      <c r="C5" s="177"/>
      <c r="D5" s="177"/>
      <c r="E5" s="177"/>
      <c r="F5" s="177"/>
    </row>
    <row r="6" spans="2:6" ht="16.05" customHeight="1">
      <c r="B6" s="177"/>
      <c r="C6" s="177"/>
      <c r="D6" s="177"/>
      <c r="E6" s="177"/>
      <c r="F6" s="177"/>
    </row>
    <row r="7" spans="2:6" ht="16.05" customHeight="1">
      <c r="B7" s="177"/>
      <c r="C7" s="177"/>
      <c r="D7" s="177"/>
      <c r="E7" s="177"/>
      <c r="F7" s="177"/>
    </row>
    <row r="8" spans="2:6" ht="16.05" customHeight="1">
      <c r="B8" s="177"/>
      <c r="C8" s="177"/>
      <c r="D8" s="177"/>
      <c r="E8" s="177"/>
      <c r="F8" s="177"/>
    </row>
    <row r="10" spans="2:6">
      <c r="C10" t="s">
        <v>15</v>
      </c>
      <c r="D10" s="5">
        <v>315540000</v>
      </c>
    </row>
    <row r="11" spans="2:6">
      <c r="C11" t="s">
        <v>16</v>
      </c>
      <c r="D11" s="27">
        <v>7.9741404289037643E-3</v>
      </c>
    </row>
    <row r="12" spans="2:6">
      <c r="D12" s="5"/>
    </row>
    <row r="14" spans="2:6">
      <c r="B14" s="2" t="s">
        <v>14</v>
      </c>
      <c r="C14" s="2" t="s">
        <v>11</v>
      </c>
      <c r="D14" s="2" t="s">
        <v>23</v>
      </c>
      <c r="E14" s="2" t="s">
        <v>13</v>
      </c>
    </row>
    <row r="15" spans="2:6" s="4" customFormat="1">
      <c r="B15" s="6">
        <v>1</v>
      </c>
      <c r="C15" s="7">
        <v>315540000</v>
      </c>
      <c r="D15" s="8">
        <f>C15*$D$11</f>
        <v>2516160.270936294</v>
      </c>
      <c r="E15" s="9">
        <f>C15+D15</f>
        <v>318056160.27093631</v>
      </c>
    </row>
    <row r="16" spans="2:6">
      <c r="B16" s="10">
        <v>2</v>
      </c>
      <c r="C16" s="7">
        <f>E15</f>
        <v>318056160.27093631</v>
      </c>
      <c r="D16" s="8">
        <f t="shared" ref="D16:D18" si="0">C16*$D$11</f>
        <v>2536224.4862783686</v>
      </c>
      <c r="E16" s="9">
        <f>C16+D16</f>
        <v>320592384.75721467</v>
      </c>
    </row>
    <row r="17" spans="1:5">
      <c r="B17" s="10">
        <v>3</v>
      </c>
      <c r="C17" s="7">
        <f t="shared" ref="C17:C18" si="1">E16</f>
        <v>320592384.75721467</v>
      </c>
      <c r="D17" s="8">
        <f t="shared" si="0"/>
        <v>2556448.6964911763</v>
      </c>
      <c r="E17" s="9">
        <f t="shared" ref="E17:E18" si="2">C17+D17</f>
        <v>323148833.45370585</v>
      </c>
    </row>
    <row r="18" spans="1:5">
      <c r="B18" s="11">
        <v>4</v>
      </c>
      <c r="C18" s="12">
        <f t="shared" si="1"/>
        <v>323148833.45370585</v>
      </c>
      <c r="D18" s="13">
        <f t="shared" si="0"/>
        <v>2576834.1773962849</v>
      </c>
      <c r="E18" s="14">
        <f t="shared" si="2"/>
        <v>325725667.63110214</v>
      </c>
    </row>
    <row r="19" spans="1:5">
      <c r="C19" s="5"/>
      <c r="D19" s="5"/>
      <c r="E19" s="5"/>
    </row>
    <row r="21" spans="1:5">
      <c r="D21" s="15" t="s">
        <v>17</v>
      </c>
      <c r="E21" s="16">
        <f>FV(D11,B18,,-D10)</f>
        <v>325725667.63110209</v>
      </c>
    </row>
    <row r="24" spans="1:5">
      <c r="A24" t="s">
        <v>6</v>
      </c>
    </row>
    <row r="25" spans="1:5">
      <c r="B25" s="2" t="s">
        <v>1</v>
      </c>
      <c r="C25" s="2" t="s">
        <v>2</v>
      </c>
      <c r="D25" s="2" t="s">
        <v>24</v>
      </c>
      <c r="E25" s="2" t="s">
        <v>4</v>
      </c>
    </row>
    <row r="26" spans="1:5">
      <c r="B26" s="1">
        <v>12</v>
      </c>
      <c r="C26" s="1" t="s">
        <v>0</v>
      </c>
      <c r="D26" s="3">
        <v>315540000</v>
      </c>
      <c r="E26" s="3"/>
    </row>
    <row r="27" spans="1:5">
      <c r="B27" s="1">
        <v>11</v>
      </c>
      <c r="C27" s="1" t="s">
        <v>5</v>
      </c>
      <c r="D27" s="3"/>
      <c r="E27" s="3">
        <f>D26</f>
        <v>315540000</v>
      </c>
    </row>
    <row r="29" spans="1:5">
      <c r="B29" s="2" t="s">
        <v>1</v>
      </c>
      <c r="C29" s="2" t="s">
        <v>2</v>
      </c>
      <c r="D29" s="2" t="s">
        <v>24</v>
      </c>
      <c r="E29" s="2" t="s">
        <v>4</v>
      </c>
    </row>
    <row r="30" spans="1:5">
      <c r="B30" s="1">
        <v>12</v>
      </c>
      <c r="C30" s="1" t="s">
        <v>0</v>
      </c>
      <c r="D30" s="3">
        <f>D26*0.5%</f>
        <v>1577700</v>
      </c>
      <c r="E30" s="3"/>
    </row>
    <row r="31" spans="1:5">
      <c r="B31" s="1">
        <v>42</v>
      </c>
      <c r="C31" s="1" t="s">
        <v>10</v>
      </c>
      <c r="D31" s="3"/>
      <c r="E31" s="3">
        <f>D30</f>
        <v>1577700</v>
      </c>
    </row>
    <row r="32" spans="1:5">
      <c r="B32" s="17"/>
      <c r="C32" s="17"/>
      <c r="D32" s="7"/>
      <c r="E32" s="7"/>
    </row>
    <row r="33" spans="1:5" ht="16.2" thickBot="1">
      <c r="B33" s="17"/>
      <c r="C33" s="17"/>
      <c r="D33" s="7"/>
      <c r="E33" s="7"/>
    </row>
    <row r="34" spans="1:5">
      <c r="B34" s="17"/>
      <c r="C34" s="18" t="s">
        <v>22</v>
      </c>
      <c r="D34" s="19">
        <f>D26</f>
        <v>315540000</v>
      </c>
      <c r="E34" s="7"/>
    </row>
    <row r="35" spans="1:5">
      <c r="B35" s="17"/>
      <c r="C35" s="20" t="s">
        <v>19</v>
      </c>
      <c r="D35" s="21"/>
      <c r="E35" s="7"/>
    </row>
    <row r="36" spans="1:5">
      <c r="B36" s="17"/>
      <c r="C36" s="20" t="s">
        <v>20</v>
      </c>
      <c r="D36" s="21">
        <f>+D30</f>
        <v>1577700</v>
      </c>
      <c r="E36" s="7"/>
    </row>
    <row r="37" spans="1:5">
      <c r="B37" s="17"/>
      <c r="C37" s="20" t="s">
        <v>21</v>
      </c>
      <c r="D37" s="21"/>
      <c r="E37" s="7"/>
    </row>
    <row r="38" spans="1:5">
      <c r="B38" s="17"/>
      <c r="C38" s="22"/>
      <c r="D38" s="23"/>
      <c r="E38" s="7"/>
    </row>
    <row r="39" spans="1:5" ht="16.2" thickBot="1">
      <c r="B39" s="17"/>
      <c r="C39" s="24" t="s">
        <v>18</v>
      </c>
      <c r="D39" s="25">
        <f>D34-D35+D36-D37</f>
        <v>317117700</v>
      </c>
      <c r="E39" s="7"/>
    </row>
    <row r="40" spans="1:5">
      <c r="B40" s="17"/>
      <c r="C40" s="17"/>
      <c r="D40" s="7"/>
      <c r="E40" s="7"/>
    </row>
    <row r="41" spans="1:5">
      <c r="A41" t="s">
        <v>7</v>
      </c>
    </row>
    <row r="42" spans="1:5">
      <c r="B42" s="2" t="s">
        <v>1</v>
      </c>
      <c r="C42" s="2" t="s">
        <v>2</v>
      </c>
      <c r="D42" s="2" t="s">
        <v>3</v>
      </c>
      <c r="E42" s="2" t="s">
        <v>4</v>
      </c>
    </row>
    <row r="43" spans="1:5">
      <c r="B43" s="1">
        <v>12</v>
      </c>
      <c r="C43" s="1" t="s">
        <v>0</v>
      </c>
      <c r="D43" s="3">
        <f>D16</f>
        <v>2536224.4862783686</v>
      </c>
      <c r="E43" s="3"/>
    </row>
    <row r="44" spans="1:5">
      <c r="B44" s="1">
        <v>11</v>
      </c>
      <c r="C44" s="1" t="s">
        <v>10</v>
      </c>
      <c r="D44" s="3"/>
      <c r="E44" s="3">
        <f>D43</f>
        <v>2536224.4862783686</v>
      </c>
    </row>
    <row r="45" spans="1:5" ht="16.2" thickBot="1">
      <c r="B45" s="17"/>
      <c r="C45" s="17"/>
      <c r="D45" s="7"/>
      <c r="E45" s="7"/>
    </row>
    <row r="46" spans="1:5">
      <c r="B46" s="17"/>
      <c r="C46" s="18" t="s">
        <v>22</v>
      </c>
      <c r="D46" s="19">
        <f>D26</f>
        <v>315540000</v>
      </c>
      <c r="E46" s="7"/>
    </row>
    <row r="47" spans="1:5">
      <c r="B47" s="17"/>
      <c r="C47" s="20" t="s">
        <v>19</v>
      </c>
      <c r="D47" s="21"/>
      <c r="E47" s="7"/>
    </row>
    <row r="48" spans="1:5">
      <c r="B48" s="17"/>
      <c r="C48" s="20" t="s">
        <v>20</v>
      </c>
      <c r="D48" s="21">
        <f>D30+D43</f>
        <v>4113924.4862783686</v>
      </c>
      <c r="E48" s="7"/>
    </row>
    <row r="49" spans="1:5">
      <c r="B49" s="17"/>
      <c r="C49" s="20" t="s">
        <v>21</v>
      </c>
      <c r="D49" s="21"/>
      <c r="E49" s="7"/>
    </row>
    <row r="50" spans="1:5">
      <c r="B50" s="17"/>
      <c r="C50" s="22"/>
      <c r="D50" s="23"/>
      <c r="E50" s="7"/>
    </row>
    <row r="51" spans="1:5" ht="16.2" thickBot="1">
      <c r="B51" s="17"/>
      <c r="C51" s="24" t="s">
        <v>18</v>
      </c>
      <c r="D51" s="25">
        <f>D46-D47+D48-D49</f>
        <v>319653924.48627836</v>
      </c>
      <c r="E51" s="7"/>
    </row>
    <row r="52" spans="1:5">
      <c r="A52" t="s">
        <v>8</v>
      </c>
    </row>
    <row r="53" spans="1:5">
      <c r="B53" s="2" t="s">
        <v>1</v>
      </c>
      <c r="C53" s="2" t="s">
        <v>2</v>
      </c>
      <c r="D53" s="2" t="s">
        <v>3</v>
      </c>
      <c r="E53" s="2" t="s">
        <v>4</v>
      </c>
    </row>
    <row r="54" spans="1:5">
      <c r="B54" s="1">
        <v>12</v>
      </c>
      <c r="C54" s="1" t="s">
        <v>0</v>
      </c>
      <c r="D54" s="3">
        <f>D17</f>
        <v>2556448.6964911763</v>
      </c>
      <c r="E54" s="3"/>
    </row>
    <row r="55" spans="1:5">
      <c r="B55" s="1">
        <v>11</v>
      </c>
      <c r="C55" s="1" t="s">
        <v>10</v>
      </c>
      <c r="D55" s="3"/>
      <c r="E55" s="3">
        <f>D54</f>
        <v>2556448.6964911763</v>
      </c>
    </row>
    <row r="56" spans="1:5" ht="16.2" thickBot="1">
      <c r="B56" s="17"/>
      <c r="C56" s="17"/>
      <c r="D56" s="7"/>
      <c r="E56" s="7"/>
    </row>
    <row r="57" spans="1:5">
      <c r="B57" s="17"/>
      <c r="C57" s="18" t="s">
        <v>22</v>
      </c>
      <c r="D57" s="19">
        <f>D26</f>
        <v>315540000</v>
      </c>
      <c r="E57" s="7"/>
    </row>
    <row r="58" spans="1:5">
      <c r="B58" s="17"/>
      <c r="C58" s="20" t="s">
        <v>19</v>
      </c>
      <c r="D58" s="21"/>
      <c r="E58" s="7"/>
    </row>
    <row r="59" spans="1:5">
      <c r="B59" s="17"/>
      <c r="C59" s="20" t="s">
        <v>20</v>
      </c>
      <c r="D59" s="21">
        <f>D30++D43+D54</f>
        <v>6670373.1827695444</v>
      </c>
      <c r="E59" s="7"/>
    </row>
    <row r="60" spans="1:5">
      <c r="B60" s="17"/>
      <c r="C60" s="20" t="s">
        <v>21</v>
      </c>
      <c r="D60" s="21"/>
      <c r="E60" s="7"/>
    </row>
    <row r="61" spans="1:5">
      <c r="B61" s="17"/>
      <c r="C61" s="22"/>
      <c r="D61" s="23"/>
      <c r="E61" s="7"/>
    </row>
    <row r="62" spans="1:5" ht="16.2" thickBot="1">
      <c r="B62" s="17"/>
      <c r="C62" s="24" t="s">
        <v>18</v>
      </c>
      <c r="D62" s="25">
        <f>D57-D58+D59-D60</f>
        <v>322210373.18276954</v>
      </c>
      <c r="E62" s="7"/>
    </row>
    <row r="63" spans="1:5">
      <c r="B63" s="17"/>
      <c r="C63" s="17"/>
      <c r="D63" s="7"/>
      <c r="E63" s="7"/>
    </row>
    <row r="64" spans="1:5">
      <c r="A64" t="s">
        <v>9</v>
      </c>
    </row>
    <row r="65" spans="2:5">
      <c r="B65" s="2" t="s">
        <v>1</v>
      </c>
      <c r="C65" s="2" t="s">
        <v>2</v>
      </c>
      <c r="D65" s="2" t="s">
        <v>3</v>
      </c>
      <c r="E65" s="2" t="s">
        <v>4</v>
      </c>
    </row>
    <row r="66" spans="2:5">
      <c r="B66" s="1">
        <v>12</v>
      </c>
      <c r="C66" s="1" t="s">
        <v>0</v>
      </c>
      <c r="D66" s="3">
        <f>D18</f>
        <v>2576834.1773962849</v>
      </c>
      <c r="E66" s="3"/>
    </row>
    <row r="67" spans="2:5">
      <c r="B67" s="1">
        <v>11</v>
      </c>
      <c r="C67" s="1" t="s">
        <v>10</v>
      </c>
      <c r="D67" s="3"/>
      <c r="E67" s="3">
        <f>D66</f>
        <v>2576834.1773962849</v>
      </c>
    </row>
    <row r="68" spans="2:5" ht="16.2" thickBot="1">
      <c r="B68" s="17"/>
      <c r="C68" s="17"/>
      <c r="D68" s="7"/>
      <c r="E68" s="7"/>
    </row>
    <row r="69" spans="2:5">
      <c r="B69" s="17"/>
      <c r="C69" s="18" t="s">
        <v>22</v>
      </c>
      <c r="D69" s="19">
        <f>D57</f>
        <v>315540000</v>
      </c>
      <c r="E69" s="7"/>
    </row>
    <row r="70" spans="2:5">
      <c r="B70" s="17"/>
      <c r="C70" s="20" t="s">
        <v>19</v>
      </c>
      <c r="D70" s="21"/>
      <c r="E70" s="7"/>
    </row>
    <row r="71" spans="2:5">
      <c r="B71" s="17"/>
      <c r="C71" s="20" t="s">
        <v>20</v>
      </c>
      <c r="D71" s="21">
        <f>D59+D66</f>
        <v>9247207.3601658288</v>
      </c>
      <c r="E71" s="7"/>
    </row>
    <row r="72" spans="2:5">
      <c r="B72" s="17"/>
      <c r="C72" s="20" t="s">
        <v>21</v>
      </c>
      <c r="D72" s="21"/>
      <c r="E72" s="7"/>
    </row>
    <row r="73" spans="2:5">
      <c r="B73" s="17"/>
      <c r="C73" s="22"/>
      <c r="D73" s="23"/>
      <c r="E73" s="7"/>
    </row>
    <row r="74" spans="2:5" ht="16.2" thickBot="1">
      <c r="B74" s="17"/>
      <c r="C74" s="24" t="s">
        <v>18</v>
      </c>
      <c r="D74" s="25">
        <f>D69-D70+D71-D72</f>
        <v>324787207.36016583</v>
      </c>
      <c r="E74" s="7"/>
    </row>
    <row r="75" spans="2:5">
      <c r="B75" s="17"/>
      <c r="C75" s="17"/>
      <c r="D75" s="7"/>
      <c r="E75" s="7"/>
    </row>
    <row r="76" spans="2:5">
      <c r="B76" s="17"/>
      <c r="C76" s="17"/>
      <c r="D76" s="7"/>
      <c r="E76" s="7"/>
    </row>
    <row r="78" spans="2:5">
      <c r="B78" s="2" t="s">
        <v>1</v>
      </c>
      <c r="C78" s="2" t="s">
        <v>2</v>
      </c>
      <c r="D78" s="2" t="s">
        <v>3</v>
      </c>
      <c r="E78" s="2" t="s">
        <v>4</v>
      </c>
    </row>
    <row r="79" spans="2:5">
      <c r="B79" s="1">
        <v>12</v>
      </c>
      <c r="C79" s="1" t="s">
        <v>0</v>
      </c>
      <c r="D79" s="3"/>
      <c r="E79" s="3">
        <f>D26+D30+D43+D54+D66</f>
        <v>324787207.36016583</v>
      </c>
    </row>
    <row r="80" spans="2:5">
      <c r="B80" s="1">
        <v>11</v>
      </c>
      <c r="C80" s="1" t="s">
        <v>5</v>
      </c>
      <c r="D80" s="3">
        <f>E79</f>
        <v>324787207.36016583</v>
      </c>
      <c r="E80" s="3"/>
    </row>
    <row r="82" spans="4:4">
      <c r="D82" s="28"/>
    </row>
  </sheetData>
  <mergeCells count="1">
    <mergeCell ref="B4:F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B2:Q35"/>
  <sheetViews>
    <sheetView showGridLines="0" topLeftCell="A18" zoomScale="125" workbookViewId="0">
      <selection activeCell="D23" sqref="D23"/>
    </sheetView>
  </sheetViews>
  <sheetFormatPr baseColWidth="10" defaultRowHeight="15.6"/>
  <cols>
    <col min="6" max="7" width="14.19921875" customWidth="1"/>
    <col min="8" max="8" width="5.69921875" customWidth="1"/>
    <col min="9" max="9" width="10.796875" customWidth="1"/>
    <col min="10" max="10" width="21.19921875" bestFit="1" customWidth="1"/>
    <col min="11" max="11" width="14.796875" customWidth="1"/>
    <col min="12" max="12" width="16.796875" bestFit="1" customWidth="1"/>
  </cols>
  <sheetData>
    <row r="2" spans="2:17" ht="28.95" customHeight="1">
      <c r="C2" s="75" t="s">
        <v>83</v>
      </c>
      <c r="I2" s="29"/>
      <c r="J2" s="30"/>
      <c r="K2" s="30"/>
      <c r="L2" s="30"/>
      <c r="M2" s="30"/>
      <c r="N2" s="30"/>
      <c r="O2" s="30"/>
      <c r="P2" s="30"/>
      <c r="Q2" s="30"/>
    </row>
    <row r="3" spans="2:17" ht="16.05" customHeight="1" thickBot="1">
      <c r="C3" s="75"/>
      <c r="I3" s="29"/>
      <c r="J3" s="30"/>
      <c r="K3" s="30"/>
      <c r="L3" s="30"/>
      <c r="M3" s="30"/>
      <c r="N3" s="30"/>
      <c r="O3" s="30"/>
      <c r="P3" s="30"/>
      <c r="Q3" s="30"/>
    </row>
    <row r="4" spans="2:17">
      <c r="B4" s="31"/>
      <c r="C4" s="41"/>
      <c r="D4" s="41"/>
      <c r="E4" s="41"/>
      <c r="F4" s="41"/>
      <c r="G4" s="41"/>
      <c r="H4" s="31"/>
      <c r="I4" s="32"/>
      <c r="J4" s="32"/>
      <c r="K4" s="32"/>
      <c r="L4" s="33"/>
      <c r="M4" s="30"/>
      <c r="N4" s="30"/>
      <c r="O4" s="30"/>
      <c r="P4" s="30"/>
      <c r="Q4" s="30"/>
    </row>
    <row r="5" spans="2:17">
      <c r="B5" s="22"/>
      <c r="C5" s="17"/>
      <c r="D5" s="17"/>
      <c r="E5" s="17"/>
      <c r="F5" s="17"/>
      <c r="G5" s="17"/>
      <c r="H5" s="22"/>
      <c r="I5" s="34"/>
      <c r="J5" s="34"/>
      <c r="K5" s="34"/>
      <c r="L5" s="35"/>
      <c r="M5" s="30"/>
      <c r="N5" s="30"/>
      <c r="O5" s="30"/>
      <c r="P5" s="30"/>
      <c r="Q5" s="30"/>
    </row>
    <row r="6" spans="2:17">
      <c r="B6" s="22"/>
      <c r="C6" s="17"/>
      <c r="D6" s="17"/>
      <c r="E6" s="17"/>
      <c r="F6" s="17"/>
      <c r="G6" s="17"/>
      <c r="H6" s="22"/>
      <c r="I6" s="17"/>
      <c r="J6" s="34"/>
      <c r="K6" s="34"/>
      <c r="L6" s="35"/>
      <c r="M6" s="30"/>
      <c r="N6" s="30"/>
      <c r="O6" s="30"/>
      <c r="P6" s="30"/>
      <c r="Q6" s="30"/>
    </row>
    <row r="7" spans="2:17">
      <c r="B7" s="22"/>
      <c r="C7" s="17"/>
      <c r="D7" s="17"/>
      <c r="E7" s="17"/>
      <c r="F7" s="17"/>
      <c r="G7" s="17"/>
      <c r="H7" s="22"/>
      <c r="I7" s="17"/>
      <c r="J7" s="34"/>
      <c r="K7" s="34"/>
      <c r="L7" s="35"/>
      <c r="M7" s="30"/>
      <c r="N7" s="30"/>
      <c r="O7" s="30"/>
      <c r="P7" s="30"/>
      <c r="Q7" s="30"/>
    </row>
    <row r="8" spans="2:17">
      <c r="B8" s="22"/>
      <c r="C8" s="17"/>
      <c r="D8" s="17"/>
      <c r="E8" s="17"/>
      <c r="F8" s="17"/>
      <c r="G8" s="17"/>
      <c r="H8" s="22"/>
      <c r="I8" s="17"/>
      <c r="J8" s="34"/>
      <c r="K8" s="34"/>
      <c r="L8" s="35"/>
      <c r="M8" s="30"/>
      <c r="N8" s="30"/>
      <c r="O8" s="30"/>
      <c r="P8" s="30"/>
      <c r="Q8" s="30"/>
    </row>
    <row r="9" spans="2:17">
      <c r="B9" s="22"/>
      <c r="C9" s="17"/>
      <c r="D9" s="17"/>
      <c r="E9" s="17"/>
      <c r="F9" s="17"/>
      <c r="G9" s="17"/>
      <c r="H9" s="22"/>
      <c r="I9" s="17"/>
      <c r="J9" s="34"/>
      <c r="K9" s="34"/>
      <c r="L9" s="35"/>
      <c r="M9" s="30"/>
      <c r="N9" s="30"/>
      <c r="O9" s="30"/>
      <c r="P9" s="30"/>
      <c r="Q9" s="30"/>
    </row>
    <row r="10" spans="2:17">
      <c r="B10" s="22"/>
      <c r="C10" s="17"/>
      <c r="D10" s="17"/>
      <c r="E10" s="17"/>
      <c r="F10" s="17"/>
      <c r="G10" s="17"/>
      <c r="H10" s="22"/>
      <c r="I10" s="17"/>
      <c r="J10" s="34"/>
      <c r="K10" s="34"/>
      <c r="L10" s="35"/>
      <c r="M10" s="30"/>
      <c r="N10" s="30"/>
      <c r="O10" s="30"/>
      <c r="P10" s="30"/>
      <c r="Q10" s="30"/>
    </row>
    <row r="11" spans="2:17">
      <c r="B11" s="22"/>
      <c r="C11" s="17"/>
      <c r="D11" s="17"/>
      <c r="E11" s="17"/>
      <c r="F11" s="17"/>
      <c r="G11" s="17"/>
      <c r="H11" s="22"/>
      <c r="I11" s="17"/>
      <c r="J11" s="17"/>
      <c r="K11" s="17"/>
      <c r="L11" s="36"/>
    </row>
    <row r="12" spans="2:17">
      <c r="B12" s="22"/>
      <c r="C12" s="17"/>
      <c r="D12" s="17"/>
      <c r="E12" s="17"/>
      <c r="F12" s="17"/>
      <c r="G12" s="17"/>
      <c r="H12" s="22"/>
      <c r="I12" s="34"/>
      <c r="J12" s="17"/>
      <c r="K12" s="17"/>
      <c r="L12" s="36"/>
    </row>
    <row r="13" spans="2:17" ht="23.4">
      <c r="B13" s="22"/>
      <c r="C13" s="17"/>
      <c r="D13" s="17"/>
      <c r="E13" s="17"/>
      <c r="F13" s="17"/>
      <c r="G13" s="17"/>
      <c r="H13" s="22"/>
      <c r="I13" s="37" t="s">
        <v>25</v>
      </c>
      <c r="J13" s="17"/>
      <c r="K13" s="17"/>
      <c r="L13" s="36"/>
    </row>
    <row r="14" spans="2:17">
      <c r="B14" s="22"/>
      <c r="C14" s="17"/>
      <c r="D14" s="17"/>
      <c r="E14" s="17"/>
      <c r="F14" s="17"/>
      <c r="G14" s="17"/>
      <c r="H14" s="22"/>
      <c r="I14" s="34"/>
      <c r="J14" s="17"/>
      <c r="K14" s="17"/>
      <c r="L14" s="36"/>
    </row>
    <row r="15" spans="2:17">
      <c r="B15" s="22"/>
      <c r="C15" s="17"/>
      <c r="D15" s="17"/>
      <c r="E15" s="17"/>
      <c r="F15" s="17"/>
      <c r="G15" s="17"/>
      <c r="H15" s="22"/>
      <c r="I15" s="34" t="s">
        <v>29</v>
      </c>
      <c r="J15" s="17"/>
      <c r="K15" s="17"/>
      <c r="L15" s="36"/>
    </row>
    <row r="16" spans="2:17">
      <c r="B16" s="22"/>
      <c r="C16" s="17"/>
      <c r="D16" s="17"/>
      <c r="E16" s="17"/>
      <c r="F16" s="17"/>
      <c r="G16" s="17"/>
      <c r="H16" s="22"/>
      <c r="I16" s="34" t="s">
        <v>26</v>
      </c>
      <c r="J16" s="17"/>
      <c r="K16" s="17"/>
      <c r="L16" s="36"/>
    </row>
    <row r="17" spans="2:12">
      <c r="B17" s="22"/>
      <c r="C17" s="17"/>
      <c r="D17" s="17"/>
      <c r="E17" s="17"/>
      <c r="F17" s="17"/>
      <c r="G17" s="17"/>
      <c r="H17" s="22"/>
      <c r="I17" s="34" t="s">
        <v>27</v>
      </c>
      <c r="J17" s="17"/>
      <c r="K17" s="17"/>
      <c r="L17" s="36"/>
    </row>
    <row r="18" spans="2:12">
      <c r="B18" s="22"/>
      <c r="C18" s="17"/>
      <c r="D18" s="17"/>
      <c r="E18" s="17"/>
      <c r="F18" s="17"/>
      <c r="G18" s="17"/>
      <c r="H18" s="22"/>
      <c r="I18" s="34" t="s">
        <v>28</v>
      </c>
      <c r="J18" s="17"/>
      <c r="K18" s="17"/>
      <c r="L18" s="36"/>
    </row>
    <row r="19" spans="2:12">
      <c r="B19" s="22"/>
      <c r="C19" s="17"/>
      <c r="D19" s="17"/>
      <c r="E19" s="17"/>
      <c r="F19" s="17"/>
      <c r="G19" s="17"/>
      <c r="H19" s="22"/>
      <c r="I19" s="17"/>
      <c r="J19" s="17"/>
      <c r="K19" s="17"/>
      <c r="L19" s="36"/>
    </row>
    <row r="20" spans="2:12">
      <c r="B20" s="22"/>
      <c r="C20" s="17"/>
      <c r="D20" s="17"/>
      <c r="E20" s="17"/>
      <c r="F20" s="17"/>
      <c r="G20" s="17"/>
      <c r="H20" s="22"/>
      <c r="I20" s="17"/>
      <c r="J20" s="17"/>
      <c r="K20" s="17"/>
      <c r="L20" s="36"/>
    </row>
    <row r="21" spans="2:12">
      <c r="B21" s="22"/>
      <c r="C21" s="17"/>
      <c r="D21" s="17"/>
      <c r="E21" s="17"/>
      <c r="F21" s="17"/>
      <c r="G21" s="17"/>
      <c r="H21" s="22"/>
      <c r="I21" s="17"/>
      <c r="J21" s="17"/>
      <c r="K21" s="17"/>
      <c r="L21" s="36"/>
    </row>
    <row r="22" spans="2:12">
      <c r="B22" s="22"/>
      <c r="C22" s="17"/>
      <c r="D22" s="17"/>
      <c r="E22" s="17"/>
      <c r="F22" s="17"/>
      <c r="G22" s="17"/>
      <c r="H22" s="22"/>
      <c r="I22" s="17"/>
      <c r="J22" s="17"/>
      <c r="K22" s="17"/>
      <c r="L22" s="36"/>
    </row>
    <row r="23" spans="2:12">
      <c r="B23" s="22"/>
      <c r="C23" s="17"/>
      <c r="D23" s="17"/>
      <c r="E23" s="17"/>
      <c r="F23" s="17"/>
      <c r="G23" s="17"/>
      <c r="H23" s="22"/>
      <c r="I23" s="17"/>
      <c r="J23" s="17"/>
      <c r="K23" s="17"/>
      <c r="L23" s="36"/>
    </row>
    <row r="24" spans="2:12">
      <c r="B24" s="22"/>
      <c r="C24" s="17"/>
      <c r="D24" s="17"/>
      <c r="E24" s="17"/>
      <c r="F24" s="17"/>
      <c r="G24" s="17"/>
      <c r="H24" s="22"/>
      <c r="I24" s="17"/>
      <c r="J24" s="17"/>
      <c r="K24" s="17"/>
      <c r="L24" s="36"/>
    </row>
    <row r="25" spans="2:12">
      <c r="B25" s="22"/>
      <c r="C25" s="17"/>
      <c r="D25" s="17"/>
      <c r="E25" s="17"/>
      <c r="F25" s="17"/>
      <c r="G25" s="17"/>
      <c r="H25" s="22"/>
      <c r="I25" s="17"/>
      <c r="J25" s="17"/>
      <c r="K25" s="17"/>
      <c r="L25" s="36"/>
    </row>
    <row r="26" spans="2:12">
      <c r="B26" s="22"/>
      <c r="C26" s="17"/>
      <c r="D26" s="17"/>
      <c r="E26" s="17"/>
      <c r="F26" s="17"/>
      <c r="G26" s="17"/>
      <c r="H26" s="22"/>
      <c r="I26" s="17"/>
      <c r="J26" s="17"/>
      <c r="K26" s="17"/>
      <c r="L26" s="36"/>
    </row>
    <row r="27" spans="2:12">
      <c r="B27" s="22"/>
      <c r="C27" s="17"/>
      <c r="D27" s="17"/>
      <c r="E27" s="17"/>
      <c r="F27" s="17"/>
      <c r="G27" s="17"/>
      <c r="H27" s="22"/>
      <c r="I27" s="17"/>
      <c r="J27" s="17"/>
      <c r="K27" s="17"/>
      <c r="L27" s="36"/>
    </row>
    <row r="28" spans="2:12">
      <c r="B28" s="22"/>
      <c r="C28" s="17"/>
      <c r="D28" s="17"/>
      <c r="E28" s="17"/>
      <c r="F28" s="17"/>
      <c r="G28" s="17"/>
      <c r="H28" s="22"/>
      <c r="I28" s="17"/>
      <c r="J28" s="17"/>
      <c r="K28" s="17"/>
      <c r="L28" s="36"/>
    </row>
    <row r="29" spans="2:12">
      <c r="B29" s="22"/>
      <c r="C29" s="17"/>
      <c r="D29" s="17"/>
      <c r="E29" s="17"/>
      <c r="F29" s="17"/>
      <c r="G29" s="17"/>
      <c r="H29" s="22"/>
      <c r="I29" s="17"/>
      <c r="J29" s="17"/>
      <c r="K29" s="17"/>
      <c r="L29" s="36"/>
    </row>
    <row r="30" spans="2:12">
      <c r="B30" s="22"/>
      <c r="C30" s="17"/>
      <c r="D30" s="17"/>
      <c r="E30" s="17"/>
      <c r="F30" s="17"/>
      <c r="G30" s="17"/>
      <c r="H30" s="22"/>
      <c r="I30" s="17"/>
      <c r="J30" s="17"/>
      <c r="K30" s="17"/>
      <c r="L30" s="36"/>
    </row>
    <row r="31" spans="2:12" ht="16.2" thickBot="1">
      <c r="B31" s="38"/>
      <c r="C31" s="39"/>
      <c r="D31" s="39"/>
      <c r="E31" s="39"/>
      <c r="F31" s="39"/>
      <c r="G31" s="39"/>
      <c r="H31" s="38"/>
      <c r="I31" s="39"/>
      <c r="J31" s="39"/>
      <c r="K31" s="39"/>
      <c r="L31" s="40"/>
    </row>
    <row r="33" spans="2:16" ht="16.2" thickBot="1"/>
    <row r="34" spans="2:16" ht="20.399999999999999">
      <c r="B34" s="42" t="s">
        <v>41</v>
      </c>
      <c r="C34" s="42" t="s">
        <v>30</v>
      </c>
      <c r="D34" s="42" t="s">
        <v>31</v>
      </c>
      <c r="E34" s="43" t="s">
        <v>32</v>
      </c>
      <c r="F34" s="43" t="s">
        <v>33</v>
      </c>
      <c r="G34" s="43" t="s">
        <v>34</v>
      </c>
      <c r="H34" s="44" t="s">
        <v>35</v>
      </c>
      <c r="I34" s="44" t="s">
        <v>42</v>
      </c>
      <c r="J34" s="44" t="s">
        <v>43</v>
      </c>
      <c r="K34" s="44" t="s">
        <v>36</v>
      </c>
      <c r="L34" s="44" t="s">
        <v>44</v>
      </c>
      <c r="M34" s="45" t="s">
        <v>38</v>
      </c>
      <c r="N34" s="45" t="s">
        <v>35</v>
      </c>
      <c r="O34" s="45" t="s">
        <v>37</v>
      </c>
      <c r="P34" s="46" t="s">
        <v>39</v>
      </c>
    </row>
    <row r="35" spans="2:16" ht="16.2" thickBot="1">
      <c r="B35" s="56" t="s">
        <v>40</v>
      </c>
      <c r="C35" s="47">
        <v>43739</v>
      </c>
      <c r="D35" s="47">
        <v>44105</v>
      </c>
      <c r="E35" s="48">
        <v>360</v>
      </c>
      <c r="F35" s="49">
        <v>7.0000000000000007E-2</v>
      </c>
      <c r="G35" s="50">
        <v>315540000</v>
      </c>
      <c r="H35" s="51">
        <f>DAYS360(C35,D35,)</f>
        <v>360</v>
      </c>
      <c r="I35" s="52">
        <f>NOMINAL(F35,360)/360</f>
        <v>1.8795835216289802E-4</v>
      </c>
      <c r="J35" s="57">
        <f>FV(I35,H35,,-G35)</f>
        <v>337627799.99999434</v>
      </c>
      <c r="K35" s="58">
        <f>J35-G35</f>
        <v>22087799.999994338</v>
      </c>
      <c r="L35" s="58">
        <f>K35*7%</f>
        <v>1546145.9999996037</v>
      </c>
      <c r="M35" s="47">
        <f ca="1">NOW()</f>
        <v>43993.375831597223</v>
      </c>
      <c r="N35" s="54">
        <f ca="1">DAYS360(C35,M35,)</f>
        <v>250</v>
      </c>
      <c r="O35" s="53">
        <f ca="1">+FV(F35,(N35/E35),,-G35)</f>
        <v>330719514.98198384</v>
      </c>
      <c r="P35" s="55">
        <f ca="1">+O35-G35</f>
        <v>15179514.98198384</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B2:N28"/>
  <sheetViews>
    <sheetView showGridLines="0" topLeftCell="A4" zoomScale="125" workbookViewId="0">
      <selection activeCell="I5" sqref="I5"/>
    </sheetView>
  </sheetViews>
  <sheetFormatPr baseColWidth="10" defaultRowHeight="15.6"/>
  <cols>
    <col min="5" max="5" width="13.69921875" customWidth="1"/>
    <col min="6" max="6" width="15.69921875" bestFit="1" customWidth="1"/>
    <col min="7" max="7" width="13.5" customWidth="1"/>
    <col min="9" max="10" width="12" customWidth="1"/>
  </cols>
  <sheetData>
    <row r="2" spans="2:14" ht="21">
      <c r="B2" s="75" t="s">
        <v>82</v>
      </c>
    </row>
    <row r="3" spans="2:14" ht="21">
      <c r="B3" s="75"/>
    </row>
    <row r="4" spans="2:14" ht="16.05" customHeight="1">
      <c r="B4" s="178" t="s">
        <v>57</v>
      </c>
      <c r="C4" s="178"/>
      <c r="D4" s="178"/>
      <c r="E4" s="178"/>
      <c r="F4" s="178"/>
      <c r="G4" s="178"/>
    </row>
    <row r="5" spans="2:14">
      <c r="B5" s="178"/>
      <c r="C5" s="178"/>
      <c r="D5" s="178"/>
      <c r="E5" s="178"/>
      <c r="F5" s="178"/>
      <c r="G5" s="178"/>
    </row>
    <row r="6" spans="2:14">
      <c r="B6" s="178"/>
      <c r="C6" s="178"/>
      <c r="D6" s="178"/>
      <c r="E6" s="178"/>
      <c r="F6" s="178"/>
      <c r="G6" s="178"/>
    </row>
    <row r="7" spans="2:14">
      <c r="B7" s="178"/>
      <c r="C7" s="178"/>
      <c r="D7" s="178"/>
      <c r="E7" s="178"/>
      <c r="F7" s="178"/>
      <c r="G7" s="178"/>
    </row>
    <row r="9" spans="2:14" s="29" customFormat="1" ht="36">
      <c r="B9" s="66" t="s">
        <v>1</v>
      </c>
      <c r="C9" s="66" t="s">
        <v>45</v>
      </c>
      <c r="D9" s="66" t="s">
        <v>46</v>
      </c>
      <c r="E9" s="66" t="s">
        <v>47</v>
      </c>
      <c r="F9" s="66" t="s">
        <v>48</v>
      </c>
      <c r="G9" s="67" t="s">
        <v>49</v>
      </c>
      <c r="H9" s="68" t="s">
        <v>58</v>
      </c>
      <c r="I9" s="68" t="s">
        <v>59</v>
      </c>
      <c r="J9" s="68" t="s">
        <v>14</v>
      </c>
      <c r="K9" s="68" t="s">
        <v>50</v>
      </c>
      <c r="L9" s="68" t="s">
        <v>51</v>
      </c>
      <c r="M9" s="69" t="s">
        <v>52</v>
      </c>
      <c r="N9" s="69" t="s">
        <v>53</v>
      </c>
    </row>
    <row r="10" spans="2:14">
      <c r="B10" s="70">
        <v>13050505</v>
      </c>
      <c r="C10" s="1">
        <v>149993</v>
      </c>
      <c r="D10" s="1">
        <v>900000000</v>
      </c>
      <c r="E10" s="1" t="s">
        <v>54</v>
      </c>
      <c r="F10" s="71">
        <v>43481</v>
      </c>
      <c r="G10" s="74">
        <v>1428000</v>
      </c>
      <c r="H10" s="73">
        <v>44196</v>
      </c>
      <c r="I10" s="1">
        <v>90</v>
      </c>
      <c r="J10" s="1">
        <f>DAYS360(F10,H10)</f>
        <v>705</v>
      </c>
      <c r="K10" s="59">
        <f>IF(J10&gt;I10,J10-I10,"0")</f>
        <v>615</v>
      </c>
      <c r="L10" s="60">
        <v>0.01</v>
      </c>
      <c r="M10" s="3">
        <f t="shared" ref="M10:M28" si="0">IF(K10&gt;1,PV(L10,K10,,-G10),0)</f>
        <v>3141.1113430252344</v>
      </c>
      <c r="N10" s="61">
        <f>G10-M10</f>
        <v>1424858.8886569748</v>
      </c>
    </row>
    <row r="11" spans="2:14">
      <c r="B11" s="70">
        <v>13050505</v>
      </c>
      <c r="C11" s="1">
        <v>149943</v>
      </c>
      <c r="D11" s="1">
        <v>900000000</v>
      </c>
      <c r="E11" s="1" t="s">
        <v>55</v>
      </c>
      <c r="F11" s="71">
        <v>43481</v>
      </c>
      <c r="G11" s="74">
        <v>1057148</v>
      </c>
      <c r="H11" s="73">
        <v>44196</v>
      </c>
      <c r="I11" s="1">
        <v>90</v>
      </c>
      <c r="J11" s="1">
        <f t="shared" ref="J11:J28" si="1">DAYS360(F11,H11)</f>
        <v>705</v>
      </c>
      <c r="K11" s="59">
        <f t="shared" ref="K11:K28" si="2">IF(J11&gt;I11,J11-I11,"0")</f>
        <v>615</v>
      </c>
      <c r="L11" s="60">
        <v>0.01</v>
      </c>
      <c r="M11" s="3">
        <f t="shared" si="0"/>
        <v>2325.3638473784595</v>
      </c>
      <c r="N11" s="61">
        <f t="shared" ref="N11:N28" si="3">G11-M11</f>
        <v>1054822.6361526216</v>
      </c>
    </row>
    <row r="12" spans="2:14">
      <c r="B12" s="70">
        <v>13050505</v>
      </c>
      <c r="C12" s="1">
        <v>149944</v>
      </c>
      <c r="D12" s="1">
        <v>900000000</v>
      </c>
      <c r="E12" s="1" t="s">
        <v>54</v>
      </c>
      <c r="F12" s="71">
        <v>43481</v>
      </c>
      <c r="G12" s="74">
        <v>6041241</v>
      </c>
      <c r="H12" s="73">
        <v>44196</v>
      </c>
      <c r="I12" s="1">
        <v>90</v>
      </c>
      <c r="J12" s="1">
        <f t="shared" si="1"/>
        <v>705</v>
      </c>
      <c r="K12" s="59">
        <f t="shared" si="2"/>
        <v>615</v>
      </c>
      <c r="L12" s="60">
        <v>0.01</v>
      </c>
      <c r="M12" s="3">
        <f t="shared" si="0"/>
        <v>13288.662906897136</v>
      </c>
      <c r="N12" s="61">
        <f t="shared" si="3"/>
        <v>6027952.3370931027</v>
      </c>
    </row>
    <row r="13" spans="2:14">
      <c r="B13" s="70">
        <v>13050505</v>
      </c>
      <c r="C13" s="1">
        <v>149949</v>
      </c>
      <c r="D13" s="1">
        <v>900000000</v>
      </c>
      <c r="E13" s="1" t="s">
        <v>54</v>
      </c>
      <c r="F13" s="71">
        <v>43481</v>
      </c>
      <c r="G13" s="74">
        <v>6997</v>
      </c>
      <c r="H13" s="73">
        <v>44196</v>
      </c>
      <c r="I13" s="1">
        <v>90</v>
      </c>
      <c r="J13" s="1">
        <f t="shared" si="1"/>
        <v>705</v>
      </c>
      <c r="K13" s="59">
        <f t="shared" si="2"/>
        <v>615</v>
      </c>
      <c r="L13" s="60">
        <v>0.01</v>
      </c>
      <c r="M13" s="3">
        <f t="shared" si="0"/>
        <v>15.391005649263001</v>
      </c>
      <c r="N13" s="61">
        <f t="shared" si="3"/>
        <v>6981.6089943507368</v>
      </c>
    </row>
    <row r="14" spans="2:14">
      <c r="B14" s="70">
        <v>13050505</v>
      </c>
      <c r="C14" s="1">
        <v>149950</v>
      </c>
      <c r="D14" s="1">
        <v>900000000</v>
      </c>
      <c r="E14" s="1" t="s">
        <v>55</v>
      </c>
      <c r="F14" s="71">
        <v>43481</v>
      </c>
      <c r="G14" s="74">
        <v>70410</v>
      </c>
      <c r="H14" s="73">
        <v>44196</v>
      </c>
      <c r="I14" s="1">
        <v>90</v>
      </c>
      <c r="J14" s="1">
        <f t="shared" si="1"/>
        <v>705</v>
      </c>
      <c r="K14" s="59">
        <f t="shared" si="2"/>
        <v>615</v>
      </c>
      <c r="L14" s="60">
        <v>0.01</v>
      </c>
      <c r="M14" s="3">
        <f t="shared" si="0"/>
        <v>154.87790592605515</v>
      </c>
      <c r="N14" s="61">
        <f t="shared" si="3"/>
        <v>70255.122094073944</v>
      </c>
    </row>
    <row r="15" spans="2:14">
      <c r="B15" s="70">
        <v>13050505</v>
      </c>
      <c r="C15" s="1">
        <v>148673</v>
      </c>
      <c r="D15" s="1">
        <v>900000000</v>
      </c>
      <c r="E15" s="1" t="s">
        <v>54</v>
      </c>
      <c r="F15" s="71">
        <v>43481</v>
      </c>
      <c r="G15" s="74">
        <v>1738539</v>
      </c>
      <c r="H15" s="73">
        <v>44196</v>
      </c>
      <c r="I15" s="1">
        <v>90</v>
      </c>
      <c r="J15" s="1">
        <f t="shared" si="1"/>
        <v>705</v>
      </c>
      <c r="K15" s="59">
        <f t="shared" si="2"/>
        <v>615</v>
      </c>
      <c r="L15" s="60">
        <v>0.01</v>
      </c>
      <c r="M15" s="3">
        <f t="shared" si="0"/>
        <v>3824.1908775852576</v>
      </c>
      <c r="N15" s="61">
        <f t="shared" si="3"/>
        <v>1734714.8091224148</v>
      </c>
    </row>
    <row r="16" spans="2:14">
      <c r="B16" s="70">
        <v>13050505</v>
      </c>
      <c r="C16" s="1">
        <v>148674</v>
      </c>
      <c r="D16" s="1">
        <v>900000000</v>
      </c>
      <c r="E16" s="1" t="s">
        <v>54</v>
      </c>
      <c r="F16" s="71">
        <v>43481</v>
      </c>
      <c r="G16" s="74">
        <v>250317</v>
      </c>
      <c r="H16" s="73">
        <v>44196</v>
      </c>
      <c r="I16" s="1">
        <v>90</v>
      </c>
      <c r="J16" s="1">
        <f t="shared" si="1"/>
        <v>705</v>
      </c>
      <c r="K16" s="59">
        <f t="shared" si="2"/>
        <v>615</v>
      </c>
      <c r="L16" s="60">
        <v>0.01</v>
      </c>
      <c r="M16" s="3">
        <f t="shared" si="0"/>
        <v>550.61174233336669</v>
      </c>
      <c r="N16" s="61">
        <f t="shared" si="3"/>
        <v>249766.38825766664</v>
      </c>
    </row>
    <row r="17" spans="2:14">
      <c r="B17" s="70">
        <v>13050505</v>
      </c>
      <c r="C17" s="1">
        <v>149953</v>
      </c>
      <c r="D17" s="1">
        <v>900000000</v>
      </c>
      <c r="E17" s="1" t="s">
        <v>55</v>
      </c>
      <c r="F17" s="71">
        <v>43481</v>
      </c>
      <c r="G17" s="74">
        <v>1083725</v>
      </c>
      <c r="H17" s="73">
        <v>44196</v>
      </c>
      <c r="I17" s="1">
        <v>90</v>
      </c>
      <c r="J17" s="1">
        <f t="shared" si="1"/>
        <v>705</v>
      </c>
      <c r="K17" s="59">
        <f t="shared" si="2"/>
        <v>615</v>
      </c>
      <c r="L17" s="60">
        <v>0.01</v>
      </c>
      <c r="M17" s="3">
        <f t="shared" si="0"/>
        <v>2383.8241528151416</v>
      </c>
      <c r="N17" s="61">
        <f t="shared" si="3"/>
        <v>1081341.1758471848</v>
      </c>
    </row>
    <row r="18" spans="2:14">
      <c r="B18" s="70">
        <v>13050505</v>
      </c>
      <c r="C18" s="1">
        <v>149955</v>
      </c>
      <c r="D18" s="1">
        <v>900000000</v>
      </c>
      <c r="E18" s="1" t="s">
        <v>54</v>
      </c>
      <c r="F18" s="71">
        <v>43481</v>
      </c>
      <c r="G18" s="74">
        <v>4246998</v>
      </c>
      <c r="H18" s="73">
        <v>44196</v>
      </c>
      <c r="I18" s="1">
        <v>90</v>
      </c>
      <c r="J18" s="1">
        <f t="shared" si="1"/>
        <v>705</v>
      </c>
      <c r="K18" s="59">
        <f t="shared" si="2"/>
        <v>615</v>
      </c>
      <c r="L18" s="60">
        <v>0.01</v>
      </c>
      <c r="M18" s="3">
        <f t="shared" si="0"/>
        <v>9341.9422910402554</v>
      </c>
      <c r="N18" s="61">
        <f t="shared" si="3"/>
        <v>4237656.05770896</v>
      </c>
    </row>
    <row r="19" spans="2:14">
      <c r="B19" s="70">
        <v>13050505</v>
      </c>
      <c r="C19" s="1">
        <v>149956</v>
      </c>
      <c r="D19" s="1">
        <v>900000000</v>
      </c>
      <c r="E19" s="1" t="s">
        <v>54</v>
      </c>
      <c r="F19" s="71">
        <v>43481</v>
      </c>
      <c r="G19" s="74">
        <v>174238</v>
      </c>
      <c r="H19" s="73">
        <v>44196</v>
      </c>
      <c r="I19" s="1">
        <v>90</v>
      </c>
      <c r="J19" s="1">
        <f t="shared" si="1"/>
        <v>705</v>
      </c>
      <c r="K19" s="59">
        <f t="shared" si="2"/>
        <v>615</v>
      </c>
      <c r="L19" s="60">
        <v>0.01</v>
      </c>
      <c r="M19" s="3">
        <f t="shared" si="0"/>
        <v>383.26397632074986</v>
      </c>
      <c r="N19" s="61">
        <f t="shared" si="3"/>
        <v>173854.73602367926</v>
      </c>
    </row>
    <row r="20" spans="2:14">
      <c r="B20" s="70">
        <v>13050505</v>
      </c>
      <c r="C20" s="1">
        <v>149960</v>
      </c>
      <c r="D20" s="1">
        <v>900000000</v>
      </c>
      <c r="E20" s="1" t="s">
        <v>55</v>
      </c>
      <c r="F20" s="71">
        <v>43481</v>
      </c>
      <c r="G20" s="74">
        <v>18123182</v>
      </c>
      <c r="H20" s="73">
        <v>44196</v>
      </c>
      <c r="I20" s="1">
        <v>90</v>
      </c>
      <c r="J20" s="1">
        <f t="shared" si="1"/>
        <v>705</v>
      </c>
      <c r="K20" s="59">
        <f t="shared" si="2"/>
        <v>615</v>
      </c>
      <c r="L20" s="60">
        <v>0.01</v>
      </c>
      <c r="M20" s="3">
        <f t="shared" si="0"/>
        <v>39864.798705819856</v>
      </c>
      <c r="N20" s="61">
        <f t="shared" si="3"/>
        <v>18083317.20129418</v>
      </c>
    </row>
    <row r="21" spans="2:14">
      <c r="B21" s="70">
        <v>13050505</v>
      </c>
      <c r="C21" s="1">
        <v>148685</v>
      </c>
      <c r="D21" s="1">
        <v>900000000</v>
      </c>
      <c r="E21" s="1" t="s">
        <v>54</v>
      </c>
      <c r="F21" s="71">
        <v>43481</v>
      </c>
      <c r="G21" s="74">
        <v>192111</v>
      </c>
      <c r="H21" s="73">
        <v>44196</v>
      </c>
      <c r="I21" s="1">
        <v>90</v>
      </c>
      <c r="J21" s="1">
        <f t="shared" si="1"/>
        <v>705</v>
      </c>
      <c r="K21" s="59">
        <f t="shared" si="2"/>
        <v>615</v>
      </c>
      <c r="L21" s="60">
        <v>0.01</v>
      </c>
      <c r="M21" s="3">
        <f t="shared" si="0"/>
        <v>422.57846023803978</v>
      </c>
      <c r="N21" s="61">
        <f t="shared" si="3"/>
        <v>191688.42153976197</v>
      </c>
    </row>
    <row r="22" spans="2:14">
      <c r="B22" s="70">
        <v>13050505</v>
      </c>
      <c r="C22" s="1">
        <v>149967</v>
      </c>
      <c r="D22" s="1">
        <v>900000000</v>
      </c>
      <c r="E22" s="1" t="s">
        <v>54</v>
      </c>
      <c r="F22" s="71">
        <v>43481</v>
      </c>
      <c r="G22" s="74">
        <v>1105861</v>
      </c>
      <c r="H22" s="73">
        <v>44196</v>
      </c>
      <c r="I22" s="1">
        <v>90</v>
      </c>
      <c r="J22" s="1">
        <f t="shared" si="1"/>
        <v>705</v>
      </c>
      <c r="K22" s="59">
        <f t="shared" si="2"/>
        <v>615</v>
      </c>
      <c r="L22" s="60">
        <v>0.01</v>
      </c>
      <c r="M22" s="3">
        <f t="shared" si="0"/>
        <v>2432.515777947639</v>
      </c>
      <c r="N22" s="61">
        <f t="shared" si="3"/>
        <v>1103428.4842220524</v>
      </c>
    </row>
    <row r="23" spans="2:14">
      <c r="B23" s="70">
        <v>13050505</v>
      </c>
      <c r="C23" s="1">
        <v>149968</v>
      </c>
      <c r="D23" s="1">
        <v>900000000</v>
      </c>
      <c r="E23" s="1" t="s">
        <v>55</v>
      </c>
      <c r="F23" s="71">
        <v>43481</v>
      </c>
      <c r="G23" s="74">
        <v>269018</v>
      </c>
      <c r="H23" s="73">
        <v>44196</v>
      </c>
      <c r="I23" s="1">
        <v>90</v>
      </c>
      <c r="J23" s="1">
        <f t="shared" si="1"/>
        <v>705</v>
      </c>
      <c r="K23" s="59">
        <f t="shared" si="2"/>
        <v>615</v>
      </c>
      <c r="L23" s="60">
        <v>0.01</v>
      </c>
      <c r="M23" s="3">
        <f t="shared" si="0"/>
        <v>591.74754291173838</v>
      </c>
      <c r="N23" s="61">
        <f t="shared" si="3"/>
        <v>268426.25245708827</v>
      </c>
    </row>
    <row r="24" spans="2:14">
      <c r="B24" s="70">
        <v>13050505</v>
      </c>
      <c r="C24" s="1">
        <v>146964</v>
      </c>
      <c r="D24" s="1">
        <v>900000000</v>
      </c>
      <c r="E24" s="1" t="s">
        <v>54</v>
      </c>
      <c r="F24" s="71">
        <v>43481</v>
      </c>
      <c r="G24" s="74">
        <v>1416629</v>
      </c>
      <c r="H24" s="73">
        <v>44196</v>
      </c>
      <c r="I24" s="1">
        <v>90</v>
      </c>
      <c r="J24" s="1">
        <f t="shared" si="1"/>
        <v>705</v>
      </c>
      <c r="K24" s="59">
        <f t="shared" si="2"/>
        <v>615</v>
      </c>
      <c r="L24" s="60">
        <v>0.01</v>
      </c>
      <c r="M24" s="3">
        <f t="shared" si="0"/>
        <v>3116.099034144604</v>
      </c>
      <c r="N24" s="61">
        <f t="shared" si="3"/>
        <v>1413512.9009658555</v>
      </c>
    </row>
    <row r="25" spans="2:14">
      <c r="B25" s="70">
        <v>13050505</v>
      </c>
      <c r="C25" s="1">
        <v>147919</v>
      </c>
      <c r="D25" s="1">
        <v>900000000</v>
      </c>
      <c r="E25" s="1" t="s">
        <v>54</v>
      </c>
      <c r="F25" s="71">
        <v>43481</v>
      </c>
      <c r="G25" s="74">
        <v>3215935</v>
      </c>
      <c r="H25" s="73">
        <v>44196</v>
      </c>
      <c r="I25" s="1">
        <v>90</v>
      </c>
      <c r="J25" s="1">
        <f t="shared" si="1"/>
        <v>705</v>
      </c>
      <c r="K25" s="59">
        <f t="shared" si="2"/>
        <v>615</v>
      </c>
      <c r="L25" s="60">
        <v>0.01</v>
      </c>
      <c r="M25" s="3">
        <f t="shared" si="0"/>
        <v>7073.9565174592835</v>
      </c>
      <c r="N25" s="61">
        <f t="shared" si="3"/>
        <v>3208861.0434825406</v>
      </c>
    </row>
    <row r="26" spans="2:14">
      <c r="B26" s="70">
        <v>13050505</v>
      </c>
      <c r="C26" s="1">
        <v>148686</v>
      </c>
      <c r="D26" s="1">
        <v>900000000</v>
      </c>
      <c r="E26" s="1" t="s">
        <v>55</v>
      </c>
      <c r="F26" s="71">
        <v>43481</v>
      </c>
      <c r="G26" s="74">
        <v>3286200</v>
      </c>
      <c r="H26" s="73">
        <v>44196</v>
      </c>
      <c r="I26" s="1">
        <v>90</v>
      </c>
      <c r="J26" s="1">
        <f t="shared" si="1"/>
        <v>705</v>
      </c>
      <c r="K26" s="59">
        <f t="shared" si="2"/>
        <v>615</v>
      </c>
      <c r="L26" s="60">
        <v>0.01</v>
      </c>
      <c r="M26" s="3">
        <f t="shared" si="0"/>
        <v>7228.5154730038694</v>
      </c>
      <c r="N26" s="61">
        <f t="shared" si="3"/>
        <v>3278971.484526996</v>
      </c>
    </row>
    <row r="27" spans="2:14">
      <c r="B27" s="70">
        <v>13050505</v>
      </c>
      <c r="C27" s="1">
        <v>149969</v>
      </c>
      <c r="D27" s="1">
        <v>900000000</v>
      </c>
      <c r="E27" s="1" t="s">
        <v>54</v>
      </c>
      <c r="F27" s="71">
        <v>43481</v>
      </c>
      <c r="G27" s="74">
        <v>3330852</v>
      </c>
      <c r="H27" s="73">
        <v>44196</v>
      </c>
      <c r="I27" s="1">
        <v>90</v>
      </c>
      <c r="J27" s="1">
        <f t="shared" si="1"/>
        <v>705</v>
      </c>
      <c r="K27" s="59">
        <f t="shared" si="2"/>
        <v>615</v>
      </c>
      <c r="L27" s="60">
        <v>0.01</v>
      </c>
      <c r="M27" s="3">
        <f t="shared" si="0"/>
        <v>7326.734593234095</v>
      </c>
      <c r="N27" s="61">
        <f t="shared" si="3"/>
        <v>3323525.265406766</v>
      </c>
    </row>
    <row r="28" spans="2:14">
      <c r="B28" s="70">
        <v>13050505</v>
      </c>
      <c r="C28" s="1">
        <v>149970</v>
      </c>
      <c r="D28" s="1">
        <v>900000000</v>
      </c>
      <c r="E28" s="1" t="s">
        <v>54</v>
      </c>
      <c r="F28" s="71">
        <v>43481</v>
      </c>
      <c r="G28" s="74">
        <v>60568</v>
      </c>
      <c r="H28" s="73">
        <v>44196</v>
      </c>
      <c r="I28" s="1">
        <v>90</v>
      </c>
      <c r="J28" s="1">
        <f t="shared" si="1"/>
        <v>705</v>
      </c>
      <c r="K28" s="59">
        <f t="shared" si="2"/>
        <v>615</v>
      </c>
      <c r="L28" s="60">
        <v>0.01</v>
      </c>
      <c r="M28" s="3">
        <f t="shared" si="0"/>
        <v>133.22887382657731</v>
      </c>
      <c r="N28" s="61">
        <f t="shared" si="3"/>
        <v>60434.771126173422</v>
      </c>
    </row>
  </sheetData>
  <mergeCells count="1">
    <mergeCell ref="B4:G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1:K493"/>
  <sheetViews>
    <sheetView showGridLines="0" topLeftCell="A66" workbookViewId="0">
      <selection activeCell="D23" sqref="D23"/>
    </sheetView>
  </sheetViews>
  <sheetFormatPr baseColWidth="10" defaultColWidth="0" defaultRowHeight="16.05" customHeight="1" zeroHeight="1"/>
  <cols>
    <col min="1" max="2" width="11" customWidth="1"/>
    <col min="3" max="3" width="38" customWidth="1"/>
    <col min="4" max="4" width="18.69921875" bestFit="1" customWidth="1"/>
    <col min="5" max="5" width="16.796875" customWidth="1"/>
    <col min="6" max="6" width="14.69921875" bestFit="1" customWidth="1"/>
    <col min="7" max="7" width="13.69921875" bestFit="1" customWidth="1"/>
    <col min="8" max="8" width="15.5" bestFit="1" customWidth="1"/>
    <col min="9" max="9" width="12.5" bestFit="1" customWidth="1"/>
    <col min="10" max="10" width="11.296875" hidden="1" customWidth="1"/>
    <col min="11" max="11" width="12.5" hidden="1" customWidth="1"/>
    <col min="12" max="16384" width="11" hidden="1"/>
  </cols>
  <sheetData>
    <row r="1" spans="2:8" ht="15.6"/>
    <row r="2" spans="2:8" ht="21">
      <c r="B2" s="75" t="s">
        <v>81</v>
      </c>
    </row>
    <row r="3" spans="2:8" ht="15.6"/>
    <row r="4" spans="2:8" ht="15.6"/>
    <row r="5" spans="2:8" ht="15.6">
      <c r="B5" s="179" t="s">
        <v>60</v>
      </c>
      <c r="C5" s="179"/>
      <c r="D5" s="179"/>
      <c r="E5" s="179"/>
      <c r="F5" s="179"/>
      <c r="G5" s="179"/>
      <c r="H5" s="179"/>
    </row>
    <row r="6" spans="2:8" ht="15.6">
      <c r="B6" s="179"/>
      <c r="C6" s="179"/>
      <c r="D6" s="179"/>
      <c r="E6" s="179"/>
      <c r="F6" s="179"/>
      <c r="G6" s="179"/>
      <c r="H6" s="179"/>
    </row>
    <row r="7" spans="2:8" ht="15.6">
      <c r="B7" s="179"/>
      <c r="C7" s="179"/>
      <c r="D7" s="179"/>
      <c r="E7" s="179"/>
      <c r="F7" s="179"/>
      <c r="G7" s="179"/>
      <c r="H7" s="179"/>
    </row>
    <row r="8" spans="2:8" ht="15.6">
      <c r="B8" s="179"/>
      <c r="C8" s="179"/>
      <c r="D8" s="179"/>
      <c r="E8" s="179"/>
      <c r="F8" s="179"/>
      <c r="G8" s="179"/>
      <c r="H8" s="179"/>
    </row>
    <row r="9" spans="2:8" ht="15.6">
      <c r="B9" s="76"/>
      <c r="C9" s="76"/>
      <c r="D9" s="76"/>
      <c r="E9" s="76"/>
      <c r="F9" s="76"/>
      <c r="G9" s="76"/>
      <c r="H9" s="76"/>
    </row>
    <row r="10" spans="2:8" ht="15.6">
      <c r="B10" s="4" t="s">
        <v>61</v>
      </c>
    </row>
    <row r="11" spans="2:8" ht="15.6"/>
    <row r="12" spans="2:8" ht="15.6">
      <c r="B12" s="179" t="s">
        <v>62</v>
      </c>
      <c r="C12" s="179"/>
      <c r="D12" s="179"/>
      <c r="E12" s="179"/>
      <c r="F12" s="179"/>
      <c r="G12" s="179"/>
      <c r="H12" s="179"/>
    </row>
    <row r="13" spans="2:8" ht="15.6">
      <c r="B13" s="179"/>
      <c r="C13" s="179"/>
      <c r="D13" s="179"/>
      <c r="E13" s="179"/>
      <c r="F13" s="179"/>
      <c r="G13" s="179"/>
      <c r="H13" s="179"/>
    </row>
    <row r="14" spans="2:8" ht="15.6">
      <c r="B14" s="179"/>
      <c r="C14" s="179"/>
      <c r="D14" s="179"/>
      <c r="E14" s="179"/>
      <c r="F14" s="179"/>
      <c r="G14" s="179"/>
      <c r="H14" s="179"/>
    </row>
    <row r="15" spans="2:8" ht="15.6">
      <c r="B15" s="179"/>
      <c r="C15" s="179"/>
      <c r="D15" s="179"/>
      <c r="E15" s="179"/>
      <c r="F15" s="179"/>
      <c r="G15" s="179"/>
      <c r="H15" s="179"/>
    </row>
    <row r="16" spans="2:8" ht="15.6">
      <c r="B16" s="79"/>
      <c r="C16" s="79"/>
      <c r="D16" s="79"/>
      <c r="E16" s="79"/>
      <c r="F16" s="79"/>
      <c r="G16" s="79"/>
      <c r="H16" s="79"/>
    </row>
    <row r="17" spans="2:8" ht="15.6">
      <c r="B17" s="4" t="s">
        <v>63</v>
      </c>
      <c r="C17" s="79"/>
      <c r="D17" s="79"/>
      <c r="E17" s="79"/>
      <c r="F17" s="79"/>
      <c r="G17" s="79"/>
      <c r="H17" s="79"/>
    </row>
    <row r="18" spans="2:8" ht="15.6">
      <c r="B18" s="79"/>
      <c r="C18" s="79" t="s">
        <v>22</v>
      </c>
      <c r="D18" s="79">
        <v>50000000</v>
      </c>
      <c r="E18" s="79"/>
      <c r="F18" s="79"/>
      <c r="G18" s="79"/>
      <c r="H18" s="79"/>
    </row>
    <row r="19" spans="2:8" ht="15.6">
      <c r="B19" s="79"/>
      <c r="C19" s="79" t="s">
        <v>64</v>
      </c>
      <c r="D19" s="80">
        <v>1.6899999999999998E-2</v>
      </c>
      <c r="E19" s="79"/>
      <c r="F19" s="79"/>
      <c r="G19" s="79"/>
      <c r="H19" s="79"/>
    </row>
    <row r="20" spans="2:8" ht="15.6">
      <c r="B20" s="79"/>
      <c r="C20" s="79" t="s">
        <v>65</v>
      </c>
      <c r="D20" s="79">
        <v>7</v>
      </c>
      <c r="E20" s="79"/>
      <c r="F20" s="79"/>
      <c r="G20" s="79"/>
      <c r="H20" s="79"/>
    </row>
    <row r="21" spans="2:8" ht="15.6">
      <c r="B21" s="79"/>
      <c r="C21" s="79"/>
      <c r="D21" s="79"/>
      <c r="E21" s="79"/>
      <c r="F21" s="79"/>
      <c r="G21" s="79"/>
      <c r="H21" s="79"/>
    </row>
    <row r="22" spans="2:8" ht="15.6">
      <c r="B22" s="79"/>
      <c r="C22" s="79"/>
      <c r="D22" s="79"/>
      <c r="E22" s="79"/>
      <c r="F22" s="79"/>
      <c r="G22" s="79"/>
      <c r="H22" s="79"/>
    </row>
    <row r="23" spans="2:8" ht="15.6">
      <c r="B23" s="4" t="s">
        <v>66</v>
      </c>
      <c r="C23" s="4"/>
    </row>
    <row r="24" spans="2:8" ht="15.6"/>
    <row r="25" spans="2:8" ht="31.2">
      <c r="C25" s="81" t="s">
        <v>67</v>
      </c>
      <c r="D25" s="81" t="s">
        <v>68</v>
      </c>
      <c r="E25" s="81" t="s">
        <v>69</v>
      </c>
    </row>
    <row r="26" spans="2:8" ht="15.6">
      <c r="C26" s="82">
        <f>D18</f>
        <v>50000000</v>
      </c>
      <c r="D26" s="83">
        <f>PV(D19,D20,,-D18)</f>
        <v>44465407.117706038</v>
      </c>
      <c r="E26" s="84">
        <f>C26-D26</f>
        <v>5534592.8822939619</v>
      </c>
      <c r="F26" s="85"/>
    </row>
    <row r="27" spans="2:8" ht="15.6">
      <c r="C27" s="28"/>
      <c r="D27" s="5"/>
      <c r="E27" s="86"/>
      <c r="F27" s="85"/>
    </row>
    <row r="28" spans="2:8" ht="15.6">
      <c r="B28" s="4" t="s">
        <v>70</v>
      </c>
      <c r="C28" s="4"/>
      <c r="D28" s="5"/>
      <c r="E28" s="86"/>
      <c r="F28" s="85"/>
    </row>
    <row r="29" spans="2:8" ht="15.6">
      <c r="C29" s="28"/>
      <c r="D29" s="5"/>
      <c r="E29" s="86"/>
      <c r="F29" s="85"/>
    </row>
    <row r="30" spans="2:8" ht="15.6">
      <c r="B30" s="81" t="s">
        <v>71</v>
      </c>
      <c r="C30" s="81" t="s">
        <v>11</v>
      </c>
      <c r="D30" s="81" t="s">
        <v>69</v>
      </c>
      <c r="E30" s="81" t="s">
        <v>13</v>
      </c>
      <c r="F30" s="85"/>
    </row>
    <row r="31" spans="2:8" ht="15.6">
      <c r="B31" s="71">
        <v>43709</v>
      </c>
      <c r="C31" s="82"/>
      <c r="D31" s="3"/>
      <c r="E31" s="82">
        <f>D26</f>
        <v>44465407.117706038</v>
      </c>
      <c r="F31" s="85"/>
    </row>
    <row r="32" spans="2:8" ht="15.6">
      <c r="B32" s="71">
        <v>43738</v>
      </c>
      <c r="C32" s="82">
        <f>E31</f>
        <v>44465407.117706038</v>
      </c>
      <c r="D32" s="3">
        <f>C32*1.69%</f>
        <v>751465.38028923201</v>
      </c>
      <c r="E32" s="82">
        <f>C32+D32</f>
        <v>45216872.497995272</v>
      </c>
      <c r="F32" s="85"/>
    </row>
    <row r="33" spans="1:6" ht="15.6">
      <c r="B33" s="71">
        <v>43769</v>
      </c>
      <c r="C33" s="82">
        <f>E32</f>
        <v>45216872.497995272</v>
      </c>
      <c r="D33" s="3">
        <f t="shared" ref="D33:D38" si="0">C33*1.69%</f>
        <v>764165.14521612006</v>
      </c>
      <c r="E33" s="82">
        <f t="shared" ref="E33:E38" si="1">C33+D33</f>
        <v>45981037.643211395</v>
      </c>
      <c r="F33" s="85"/>
    </row>
    <row r="34" spans="1:6" ht="15.6">
      <c r="B34" s="71">
        <v>43799</v>
      </c>
      <c r="C34" s="82">
        <f t="shared" ref="C34:C38" si="2">E33</f>
        <v>45981037.643211395</v>
      </c>
      <c r="D34" s="3">
        <f t="shared" si="0"/>
        <v>777079.53617027251</v>
      </c>
      <c r="E34" s="82">
        <f t="shared" si="1"/>
        <v>46758117.179381669</v>
      </c>
      <c r="F34" s="85"/>
    </row>
    <row r="35" spans="1:6" ht="15.6">
      <c r="B35" s="71">
        <v>43830</v>
      </c>
      <c r="C35" s="82">
        <f t="shared" si="2"/>
        <v>46758117.179381669</v>
      </c>
      <c r="D35" s="3">
        <f t="shared" si="0"/>
        <v>790212.18033155007</v>
      </c>
      <c r="E35" s="82">
        <f t="shared" si="1"/>
        <v>47548329.359713219</v>
      </c>
      <c r="F35" s="85"/>
    </row>
    <row r="36" spans="1:6" ht="15.6">
      <c r="B36" s="71">
        <v>43496</v>
      </c>
      <c r="C36" s="82">
        <f t="shared" si="2"/>
        <v>47548329.359713219</v>
      </c>
      <c r="D36" s="3">
        <f t="shared" si="0"/>
        <v>803566.76617915335</v>
      </c>
      <c r="E36" s="82">
        <f t="shared" si="1"/>
        <v>48351896.125892371</v>
      </c>
      <c r="F36" s="85"/>
    </row>
    <row r="37" spans="1:6" ht="15.6">
      <c r="B37" s="71">
        <v>43524</v>
      </c>
      <c r="C37" s="82">
        <f t="shared" si="2"/>
        <v>48351896.125892371</v>
      </c>
      <c r="D37" s="3">
        <f t="shared" si="0"/>
        <v>817147.04452758096</v>
      </c>
      <c r="E37" s="82">
        <f t="shared" si="1"/>
        <v>49169043.170419954</v>
      </c>
      <c r="F37" s="85"/>
    </row>
    <row r="38" spans="1:6" ht="15.6">
      <c r="B38" s="71">
        <v>43555</v>
      </c>
      <c r="C38" s="82">
        <f t="shared" si="2"/>
        <v>49169043.170419954</v>
      </c>
      <c r="D38" s="3">
        <f t="shared" si="0"/>
        <v>830956.82958009711</v>
      </c>
      <c r="E38" s="82">
        <f t="shared" si="1"/>
        <v>50000000.000000052</v>
      </c>
      <c r="F38" s="85"/>
    </row>
    <row r="39" spans="1:6" ht="15.6">
      <c r="C39" s="28"/>
      <c r="D39" s="5"/>
      <c r="E39" s="86"/>
      <c r="F39" s="85"/>
    </row>
    <row r="40" spans="1:6" ht="15.6">
      <c r="C40" s="76"/>
      <c r="D40" s="77"/>
    </row>
    <row r="41" spans="1:6" ht="15.6">
      <c r="B41" s="4" t="s">
        <v>72</v>
      </c>
    </row>
    <row r="42" spans="1:6" ht="15.6">
      <c r="A42" s="87">
        <f>B31</f>
        <v>43709</v>
      </c>
    </row>
    <row r="43" spans="1:6" ht="15.6">
      <c r="B43" s="2" t="s">
        <v>1</v>
      </c>
      <c r="C43" s="2" t="s">
        <v>2</v>
      </c>
      <c r="D43" s="2" t="s">
        <v>73</v>
      </c>
      <c r="E43" s="2" t="s">
        <v>4</v>
      </c>
    </row>
    <row r="44" spans="1:6" ht="15.6">
      <c r="B44" s="88">
        <v>136599</v>
      </c>
      <c r="C44" s="1" t="str">
        <f>VLOOKUP(B44,'[7]6.1 Taxonomía'!$A$1:$B$2548,2,0)</f>
        <v>Otros prestamos a  trabajadores</v>
      </c>
      <c r="D44" s="3">
        <f>D26</f>
        <v>44465407.117706038</v>
      </c>
      <c r="E44" s="1"/>
    </row>
    <row r="45" spans="1:6" ht="15.6">
      <c r="B45" s="1">
        <v>1110</v>
      </c>
      <c r="C45" s="1" t="str">
        <f>VLOOKUP(B45,'[7]6.1 Taxonomía'!$A$1:$B$2548,2,0)</f>
        <v>Cuentas corrientes</v>
      </c>
      <c r="D45" s="89"/>
      <c r="E45" s="82">
        <f>C26</f>
        <v>50000000</v>
      </c>
    </row>
    <row r="46" spans="1:6" ht="15.6">
      <c r="B46" s="90">
        <v>5330</v>
      </c>
      <c r="C46" s="1" t="str">
        <f>VLOOKUP(B46,'[7]6.1 Taxonomía'!$A$1:$B$2548,2,0)</f>
        <v>Interés implícito</v>
      </c>
      <c r="D46" s="3">
        <f>E45-D44</f>
        <v>5534592.8822939619</v>
      </c>
      <c r="E46" s="1"/>
    </row>
    <row r="47" spans="1:6" ht="15.6"/>
    <row r="48" spans="1:6" ht="15.6">
      <c r="A48" s="87">
        <f>B32</f>
        <v>43738</v>
      </c>
    </row>
    <row r="49" spans="1:5" ht="15.6">
      <c r="B49" s="2" t="s">
        <v>1</v>
      </c>
      <c r="C49" s="2" t="s">
        <v>2</v>
      </c>
      <c r="D49" s="2" t="s">
        <v>73</v>
      </c>
      <c r="E49" s="2" t="s">
        <v>4</v>
      </c>
    </row>
    <row r="50" spans="1:5" ht="15.6">
      <c r="B50" s="88">
        <v>136599</v>
      </c>
      <c r="C50" s="1" t="str">
        <f>VLOOKUP(B50,'[7]6.1 Taxonomía'!$A$1:$B$2548,2,0)</f>
        <v>Otros prestamos a  trabajadores</v>
      </c>
      <c r="D50" s="3">
        <f>D32</f>
        <v>751465.38028923201</v>
      </c>
      <c r="E50" s="1"/>
    </row>
    <row r="51" spans="1:5" ht="15.6">
      <c r="B51" s="1">
        <v>451505</v>
      </c>
      <c r="C51" s="1" t="str">
        <f>VLOOKUP(B51,'[7]6.1 Taxonomía'!$A$1:$B$2548,2,0)</f>
        <v>Interés implícito</v>
      </c>
      <c r="D51" s="89"/>
      <c r="E51" s="82">
        <f>D50</f>
        <v>751465.38028923201</v>
      </c>
    </row>
    <row r="52" spans="1:5" ht="15.6"/>
    <row r="53" spans="1:5" ht="15.6">
      <c r="A53" s="87">
        <f>B33</f>
        <v>43769</v>
      </c>
    </row>
    <row r="54" spans="1:5" ht="15.6">
      <c r="B54" s="2" t="s">
        <v>1</v>
      </c>
      <c r="C54" s="2" t="s">
        <v>2</v>
      </c>
      <c r="D54" s="2" t="s">
        <v>73</v>
      </c>
      <c r="E54" s="2" t="s">
        <v>4</v>
      </c>
    </row>
    <row r="55" spans="1:5" ht="15.6">
      <c r="B55" s="88">
        <v>136599</v>
      </c>
      <c r="C55" s="1" t="str">
        <f>VLOOKUP(B55,'[7]6.1 Taxonomía'!$A$1:$B$2548,2,0)</f>
        <v>Otros prestamos a  trabajadores</v>
      </c>
      <c r="D55" s="3">
        <f>D33</f>
        <v>764165.14521612006</v>
      </c>
      <c r="E55" s="1"/>
    </row>
    <row r="56" spans="1:5" ht="15.6">
      <c r="B56" s="1">
        <v>451505</v>
      </c>
      <c r="C56" s="1" t="str">
        <f>VLOOKUP(B56,'[7]6.1 Taxonomía'!$A$1:$B$2548,2,0)</f>
        <v>Interés implícito</v>
      </c>
      <c r="D56" s="89"/>
      <c r="E56" s="82">
        <f>D55</f>
        <v>764165.14521612006</v>
      </c>
    </row>
    <row r="57" spans="1:5" ht="15.6"/>
    <row r="58" spans="1:5" ht="15.6">
      <c r="A58" s="87">
        <f>B34</f>
        <v>43799</v>
      </c>
    </row>
    <row r="59" spans="1:5" ht="15.6">
      <c r="B59" s="2" t="s">
        <v>1</v>
      </c>
      <c r="C59" s="2" t="s">
        <v>2</v>
      </c>
      <c r="D59" s="2" t="s">
        <v>73</v>
      </c>
      <c r="E59" s="2" t="s">
        <v>4</v>
      </c>
    </row>
    <row r="60" spans="1:5" ht="15.6">
      <c r="B60" s="88">
        <v>136599</v>
      </c>
      <c r="C60" s="1" t="str">
        <f>VLOOKUP(B60,'[7]6.1 Taxonomía'!$A$1:$B$2548,2,0)</f>
        <v>Otros prestamos a  trabajadores</v>
      </c>
      <c r="D60" s="3">
        <f>D34</f>
        <v>777079.53617027251</v>
      </c>
      <c r="E60" s="1"/>
    </row>
    <row r="61" spans="1:5" ht="15.6">
      <c r="B61" s="1">
        <v>451505</v>
      </c>
      <c r="C61" s="1" t="str">
        <f>VLOOKUP(B61,'[7]6.1 Taxonomía'!$A$1:$B$2548,2,0)</f>
        <v>Interés implícito</v>
      </c>
      <c r="D61" s="89"/>
      <c r="E61" s="82">
        <f>D60</f>
        <v>777079.53617027251</v>
      </c>
    </row>
    <row r="62" spans="1:5" ht="15.6"/>
    <row r="63" spans="1:5" ht="15.6">
      <c r="A63" s="87">
        <f>B35</f>
        <v>43830</v>
      </c>
    </row>
    <row r="64" spans="1:5" ht="15.6">
      <c r="B64" s="2" t="s">
        <v>1</v>
      </c>
      <c r="C64" s="2" t="s">
        <v>2</v>
      </c>
      <c r="D64" s="2" t="s">
        <v>73</v>
      </c>
      <c r="E64" s="2" t="s">
        <v>4</v>
      </c>
    </row>
    <row r="65" spans="2:5" ht="15.6">
      <c r="B65" s="88">
        <v>136599</v>
      </c>
      <c r="C65" s="1" t="str">
        <f>VLOOKUP(B65,'[7]6.1 Taxonomía'!$A$1:$B$2548,2,0)</f>
        <v>Otros prestamos a  trabajadores</v>
      </c>
      <c r="D65" s="3">
        <f>D35</f>
        <v>790212.18033155007</v>
      </c>
      <c r="E65" s="1"/>
    </row>
    <row r="66" spans="2:5" ht="15.6">
      <c r="B66" s="1">
        <v>451505</v>
      </c>
      <c r="C66" s="1" t="str">
        <f>VLOOKUP(B66,'[7]6.1 Taxonomía'!$A$1:$B$2548,2,0)</f>
        <v>Interés implícito</v>
      </c>
      <c r="D66" s="89"/>
      <c r="E66" s="82">
        <f>D65</f>
        <v>790212.18033155007</v>
      </c>
    </row>
    <row r="67" spans="2:5" ht="15.6"/>
    <row r="68" spans="2:5" ht="16.05" customHeight="1"/>
    <row r="69" spans="2:5" ht="16.05" customHeight="1"/>
    <row r="70" spans="2:5" ht="16.05" customHeight="1"/>
    <row r="71" spans="2:5" ht="16.05" customHeight="1"/>
    <row r="72" spans="2:5" ht="16.05" customHeight="1"/>
    <row r="73" spans="2:5" ht="16.05" customHeight="1"/>
    <row r="74" spans="2:5" ht="16.05" customHeight="1"/>
    <row r="75" spans="2:5" ht="16.05" customHeight="1"/>
    <row r="76" spans="2:5" ht="16.05" customHeight="1"/>
    <row r="77" spans="2:5" ht="16.05" customHeight="1"/>
    <row r="78" spans="2:5" ht="16.05" customHeight="1"/>
    <row r="79" spans="2:5" ht="16.05" customHeight="1"/>
    <row r="80" spans="2:5" ht="16.05" customHeight="1"/>
    <row r="81" ht="16.05" customHeight="1"/>
    <row r="82" ht="16.05" customHeight="1"/>
    <row r="83" ht="16.05" customHeight="1"/>
    <row r="84" ht="16.05" customHeight="1"/>
    <row r="85" ht="16.05" customHeight="1"/>
    <row r="86" ht="16.05" customHeight="1"/>
    <row r="87" ht="16.05" customHeight="1"/>
    <row r="88" ht="16.05" customHeight="1"/>
    <row r="89" ht="16.05" customHeight="1"/>
    <row r="90" ht="16.05" customHeight="1"/>
    <row r="91" ht="16.05" customHeight="1"/>
    <row r="92" ht="16.05" customHeight="1"/>
    <row r="93" ht="16.05" customHeight="1"/>
    <row r="94" ht="16.05" customHeight="1"/>
    <row r="95" ht="16.05" customHeight="1"/>
    <row r="96" ht="16.05" customHeight="1"/>
    <row r="97" ht="16.05" customHeight="1"/>
    <row r="98" ht="16.05" customHeight="1"/>
    <row r="99" ht="16.05" customHeight="1"/>
    <row r="100" ht="16.05" customHeight="1"/>
    <row r="101" ht="16.05" customHeight="1"/>
    <row r="102" ht="16.05" customHeight="1"/>
    <row r="103" ht="16.05" customHeight="1"/>
    <row r="104" ht="16.05" customHeight="1"/>
    <row r="105" ht="16.05" customHeight="1"/>
    <row r="106" ht="16.05" customHeight="1"/>
    <row r="107" ht="16.05" customHeight="1"/>
    <row r="108" ht="16.05" customHeight="1"/>
    <row r="109" ht="16.05" customHeight="1"/>
    <row r="110" ht="16.05" customHeight="1"/>
    <row r="111" ht="16.05" customHeight="1"/>
    <row r="112" ht="16.05" customHeight="1"/>
    <row r="113" ht="16.05" customHeight="1"/>
    <row r="114" ht="16.05" customHeight="1"/>
    <row r="115" ht="16.05" customHeight="1"/>
    <row r="116" ht="16.05" customHeight="1"/>
    <row r="117" ht="16.05" customHeight="1"/>
    <row r="118" ht="16.05" customHeight="1"/>
    <row r="119" ht="16.05" customHeight="1"/>
    <row r="120" ht="16.05" customHeight="1"/>
    <row r="121" ht="16.05" customHeight="1"/>
    <row r="122" ht="16.05" customHeight="1"/>
    <row r="123" ht="16.05" customHeight="1"/>
    <row r="124" ht="16.05" customHeight="1"/>
    <row r="125" ht="16.05" customHeight="1"/>
    <row r="126" ht="16.05" customHeight="1"/>
    <row r="127" ht="16.05" customHeight="1"/>
    <row r="128" ht="16.05" customHeight="1"/>
    <row r="129" ht="16.05" customHeight="1"/>
    <row r="130" ht="16.05" customHeight="1"/>
    <row r="131" ht="16.05" customHeight="1"/>
    <row r="132" ht="16.05" customHeight="1"/>
    <row r="133" ht="16.05" customHeight="1"/>
    <row r="134" ht="16.05" customHeight="1"/>
    <row r="135" ht="16.05" customHeight="1"/>
    <row r="136" ht="16.05" customHeight="1"/>
    <row r="137" ht="16.05" customHeight="1"/>
    <row r="138" ht="16.05" customHeight="1"/>
    <row r="139" ht="16.05" customHeight="1"/>
    <row r="140" ht="16.05" customHeight="1"/>
    <row r="141" ht="16.05" customHeight="1"/>
    <row r="142" ht="16.05" customHeight="1"/>
    <row r="143" ht="16.05" customHeight="1"/>
    <row r="144" ht="16.05" customHeight="1"/>
    <row r="145" ht="16.05" customHeight="1"/>
    <row r="146" ht="16.05" customHeight="1"/>
    <row r="147" ht="16.05" customHeight="1"/>
    <row r="148" ht="16.05" customHeight="1"/>
    <row r="149" ht="16.05" customHeight="1"/>
    <row r="150" ht="16.05" customHeight="1"/>
    <row r="151" ht="16.05" customHeight="1"/>
    <row r="152" ht="16.05" customHeight="1"/>
    <row r="153" ht="16.05" customHeight="1"/>
    <row r="154" ht="16.05" customHeight="1"/>
    <row r="155" ht="16.05" customHeight="1"/>
    <row r="156" ht="16.05" customHeight="1"/>
    <row r="157" ht="16.05" customHeight="1"/>
    <row r="158" ht="16.05" customHeight="1"/>
    <row r="159" ht="16.05" customHeight="1"/>
    <row r="160" ht="16.05" customHeight="1"/>
    <row r="161" ht="16.05" customHeight="1"/>
    <row r="162" ht="16.05" customHeight="1"/>
    <row r="163" ht="16.05" customHeight="1"/>
    <row r="164" ht="16.05" customHeight="1"/>
    <row r="165" ht="16.05" customHeight="1"/>
    <row r="166" ht="16.05" customHeight="1"/>
    <row r="167" ht="16.05" customHeight="1"/>
    <row r="168" ht="16.05" customHeight="1"/>
    <row r="169" ht="16.05" customHeight="1"/>
    <row r="170" ht="16.05" customHeight="1"/>
    <row r="171" ht="16.05" customHeight="1"/>
    <row r="172" ht="16.05" customHeight="1"/>
    <row r="173" ht="16.05" customHeight="1"/>
    <row r="174" ht="16.05" customHeight="1"/>
    <row r="175" ht="16.05" customHeight="1"/>
    <row r="176" ht="16.05" customHeight="1"/>
    <row r="177" ht="16.05" customHeight="1"/>
    <row r="178" ht="16.05" customHeight="1"/>
    <row r="179" ht="16.05" customHeight="1"/>
    <row r="180" ht="16.05" customHeight="1"/>
    <row r="181" ht="16.05" customHeight="1"/>
    <row r="182" ht="16.05" customHeight="1"/>
    <row r="183" ht="16.05" customHeight="1"/>
    <row r="184" ht="16.05" customHeight="1"/>
    <row r="185" ht="16.05" customHeight="1"/>
    <row r="186" ht="16.05" customHeight="1"/>
    <row r="187" ht="16.05" customHeight="1"/>
    <row r="188" ht="16.05" customHeight="1"/>
    <row r="189" ht="16.05" customHeight="1"/>
    <row r="190" ht="16.05" customHeight="1"/>
    <row r="191" ht="16.05" customHeight="1"/>
    <row r="192" ht="16.05" customHeight="1"/>
    <row r="193" ht="16.05" customHeight="1"/>
    <row r="194" ht="16.05" customHeight="1"/>
    <row r="195" ht="16.05" customHeight="1"/>
    <row r="196" ht="16.05" customHeight="1"/>
    <row r="197" ht="16.05" customHeight="1"/>
    <row r="198" ht="16.05" customHeight="1"/>
    <row r="199" ht="16.05" customHeight="1"/>
    <row r="200" ht="16.05" customHeight="1"/>
    <row r="201" ht="16.05" customHeight="1"/>
    <row r="202" ht="16.05" customHeight="1"/>
    <row r="203" ht="16.05" customHeight="1"/>
    <row r="204" ht="16.05" customHeight="1"/>
    <row r="205" ht="16.05" customHeight="1"/>
    <row r="206" ht="16.05" customHeight="1"/>
    <row r="207" ht="16.05" customHeight="1"/>
    <row r="208" ht="16.05" customHeight="1"/>
    <row r="209" ht="16.05" customHeight="1"/>
    <row r="210" ht="16.05" customHeight="1"/>
    <row r="211" ht="16.05" customHeight="1"/>
    <row r="212" ht="16.05" customHeight="1"/>
    <row r="213" ht="16.05" customHeight="1"/>
    <row r="214" ht="16.05" customHeight="1"/>
    <row r="215" ht="16.05" customHeight="1"/>
    <row r="216" ht="16.05" customHeight="1"/>
    <row r="217" ht="16.05" customHeight="1"/>
    <row r="218" ht="16.05" customHeight="1"/>
    <row r="219" ht="16.05" customHeight="1"/>
    <row r="220" ht="16.05" customHeight="1"/>
    <row r="221" ht="16.05" customHeight="1"/>
    <row r="222" ht="16.05" customHeight="1"/>
    <row r="223" ht="16.05" customHeight="1"/>
    <row r="224" ht="16.05" customHeight="1"/>
    <row r="225" ht="16.05" customHeight="1"/>
    <row r="226" ht="16.05" customHeight="1"/>
    <row r="227" ht="16.05" customHeight="1"/>
    <row r="228" ht="16.05" customHeight="1"/>
    <row r="229" ht="16.05" customHeight="1"/>
    <row r="230" ht="16.05" customHeight="1"/>
    <row r="231" ht="16.05" customHeight="1"/>
    <row r="232" ht="16.05" customHeight="1"/>
    <row r="233" ht="16.05" customHeight="1"/>
    <row r="234" ht="16.05" customHeight="1"/>
    <row r="235" ht="16.05" customHeight="1"/>
    <row r="236" ht="16.05" customHeight="1"/>
    <row r="237" ht="16.05" customHeight="1"/>
    <row r="238" ht="16.05" customHeight="1"/>
    <row r="239" ht="16.05" customHeight="1"/>
    <row r="240" ht="16.05" customHeight="1"/>
    <row r="241" ht="16.05" customHeight="1"/>
    <row r="242" ht="16.05" customHeight="1"/>
    <row r="243" ht="16.05" customHeight="1"/>
    <row r="244" ht="16.05" customHeight="1"/>
    <row r="245" ht="16.05" customHeight="1"/>
    <row r="246" ht="16.05" customHeight="1"/>
    <row r="247" ht="16.05" customHeight="1"/>
    <row r="248" ht="16.05" customHeight="1"/>
    <row r="249" ht="16.05" customHeight="1"/>
    <row r="250" ht="16.05" customHeight="1"/>
    <row r="251" ht="16.05" customHeight="1"/>
    <row r="252" ht="16.05" customHeight="1"/>
    <row r="253" ht="16.05" customHeight="1"/>
    <row r="254" ht="16.05" customHeight="1"/>
    <row r="255" ht="16.05" customHeight="1"/>
    <row r="256" ht="16.05" customHeight="1"/>
    <row r="257" ht="16.05" customHeight="1"/>
    <row r="258" ht="16.05" customHeight="1"/>
    <row r="259" ht="16.05" customHeight="1"/>
    <row r="260" ht="16.05" customHeight="1"/>
    <row r="261" ht="16.05" customHeight="1"/>
    <row r="262" ht="16.05" customHeight="1"/>
    <row r="263" ht="16.05" customHeight="1"/>
    <row r="264" ht="16.05" customHeight="1"/>
    <row r="265" ht="16.05" customHeight="1"/>
    <row r="266" ht="16.05" customHeight="1"/>
    <row r="267" ht="16.05" customHeight="1"/>
    <row r="268" ht="16.05" customHeight="1"/>
    <row r="269" ht="16.05" customHeight="1"/>
    <row r="270" ht="16.05" customHeight="1"/>
    <row r="271" ht="16.05" customHeight="1"/>
    <row r="272" ht="16.05" customHeight="1"/>
    <row r="273" ht="16.05" customHeight="1"/>
    <row r="274" ht="16.05" customHeight="1"/>
    <row r="275" ht="16.05" customHeight="1"/>
    <row r="276" ht="16.05" customHeight="1"/>
    <row r="277" ht="16.05" customHeight="1"/>
    <row r="278" ht="16.05" customHeight="1"/>
    <row r="279" ht="16.05" customHeight="1"/>
    <row r="280" ht="16.05" customHeight="1"/>
    <row r="281" ht="16.05" customHeight="1"/>
    <row r="282" ht="16.05" customHeight="1"/>
    <row r="283" ht="16.05" customHeight="1"/>
    <row r="284" ht="16.05" customHeight="1"/>
    <row r="285" ht="16.05" customHeight="1"/>
    <row r="286" ht="16.05" customHeight="1"/>
    <row r="287" ht="16.05" customHeight="1"/>
    <row r="288" ht="16.05" customHeight="1"/>
    <row r="289" ht="16.05" customHeight="1"/>
    <row r="290" ht="16.05" customHeight="1"/>
    <row r="291" ht="16.05" customHeight="1"/>
    <row r="292" ht="16.05" customHeight="1"/>
    <row r="293" ht="16.05" customHeight="1"/>
    <row r="294" ht="16.05" customHeight="1"/>
    <row r="295" ht="16.05" customHeight="1"/>
    <row r="296" ht="16.05" customHeight="1"/>
    <row r="297" ht="16.05" customHeight="1"/>
    <row r="298" ht="16.05" customHeight="1"/>
    <row r="299" ht="16.05" customHeight="1"/>
    <row r="300" ht="16.05" customHeight="1"/>
    <row r="301" ht="16.05" customHeight="1"/>
    <row r="302" ht="16.05" customHeight="1"/>
    <row r="303" ht="16.05" customHeight="1"/>
    <row r="304" ht="16.05" customHeight="1"/>
    <row r="305" ht="16.05" customHeight="1"/>
    <row r="306" ht="16.05" customHeight="1"/>
    <row r="307" ht="16.05" customHeight="1"/>
    <row r="308" ht="16.05" customHeight="1"/>
    <row r="309" ht="16.05" customHeight="1"/>
    <row r="310" ht="16.05" customHeight="1"/>
    <row r="311" ht="16.05" customHeight="1"/>
    <row r="312" ht="16.05" customHeight="1"/>
    <row r="313" ht="16.05" customHeight="1"/>
    <row r="314" ht="16.05" customHeight="1"/>
    <row r="315" ht="16.05" customHeight="1"/>
    <row r="316" ht="16.05" customHeight="1"/>
    <row r="317" ht="16.05" customHeight="1"/>
    <row r="318" ht="16.05" customHeight="1"/>
    <row r="319" ht="16.05" customHeight="1"/>
    <row r="320" ht="16.05" customHeight="1"/>
    <row r="321" ht="16.05" customHeight="1"/>
    <row r="322" ht="16.05" customHeight="1"/>
    <row r="323" ht="16.05" customHeight="1"/>
    <row r="324" ht="16.05" customHeight="1"/>
    <row r="325" ht="16.05" customHeight="1"/>
    <row r="326" ht="16.05" customHeight="1"/>
    <row r="327" ht="16.05" customHeight="1"/>
    <row r="328" ht="16.05" customHeight="1"/>
    <row r="329" ht="16.05" customHeight="1"/>
    <row r="330" ht="16.05" customHeight="1"/>
    <row r="331" ht="16.05" customHeight="1"/>
    <row r="332" ht="16.05" customHeight="1"/>
    <row r="333" ht="16.05" customHeight="1"/>
    <row r="334" ht="16.05" customHeight="1"/>
    <row r="335" ht="16.05" customHeight="1"/>
    <row r="336" ht="16.05" customHeight="1"/>
    <row r="337" ht="16.05" customHeight="1"/>
    <row r="338" ht="16.05" customHeight="1"/>
    <row r="339" ht="16.05" customHeight="1"/>
    <row r="340" ht="16.05" customHeight="1"/>
    <row r="341" ht="16.05" customHeight="1"/>
    <row r="342" ht="16.05" customHeight="1"/>
    <row r="343" ht="16.05" customHeight="1"/>
    <row r="344" ht="16.05" customHeight="1"/>
    <row r="345" ht="16.05" customHeight="1"/>
    <row r="346" ht="16.05" customHeight="1"/>
    <row r="347" ht="16.05" customHeight="1"/>
    <row r="348" ht="16.05" customHeight="1"/>
    <row r="349" ht="16.05" customHeight="1"/>
    <row r="350" ht="16.05" customHeight="1"/>
    <row r="351" ht="16.05" customHeight="1"/>
    <row r="352" ht="16.05" customHeight="1"/>
    <row r="353" ht="16.05" customHeight="1"/>
    <row r="354" ht="16.05" customHeight="1"/>
    <row r="355" ht="16.05" customHeight="1"/>
    <row r="356" ht="16.05" customHeight="1"/>
    <row r="357" ht="16.05" customHeight="1"/>
    <row r="358" ht="16.05" customHeight="1"/>
    <row r="359" ht="16.05" customHeight="1"/>
    <row r="360" ht="16.05" customHeight="1"/>
    <row r="361" ht="16.05" customHeight="1"/>
    <row r="362" ht="16.05" customHeight="1"/>
    <row r="363" ht="16.05" customHeight="1"/>
    <row r="364" ht="16.05" customHeight="1"/>
    <row r="365" ht="16.05" customHeight="1"/>
    <row r="366" ht="16.05" customHeight="1"/>
    <row r="367" ht="16.05" customHeight="1"/>
    <row r="368" ht="16.05" customHeight="1"/>
    <row r="369" ht="16.05" customHeight="1"/>
    <row r="370" ht="16.05" customHeight="1"/>
    <row r="371" ht="16.05" customHeight="1"/>
    <row r="372" ht="16.05" customHeight="1"/>
    <row r="373" ht="16.05" customHeight="1"/>
    <row r="374" ht="16.05" customHeight="1"/>
    <row r="375" ht="16.05" customHeight="1"/>
    <row r="376" ht="16.05" customHeight="1"/>
    <row r="377" ht="16.05" customHeight="1"/>
    <row r="378" ht="16.05" customHeight="1"/>
    <row r="379" ht="16.05" customHeight="1"/>
    <row r="380" ht="16.05" customHeight="1"/>
    <row r="381" ht="16.05" customHeight="1"/>
    <row r="382" ht="16.05" customHeight="1"/>
    <row r="383" ht="16.05" customHeight="1"/>
    <row r="384" ht="16.05" customHeight="1"/>
    <row r="385" ht="16.05" customHeight="1"/>
    <row r="386" ht="16.05" customHeight="1"/>
    <row r="387" ht="16.05" customHeight="1"/>
    <row r="388" ht="16.05" customHeight="1"/>
    <row r="389" ht="16.05" customHeight="1"/>
    <row r="390" ht="16.05" customHeight="1"/>
    <row r="391" ht="16.05" customHeight="1"/>
    <row r="392" ht="16.05" customHeight="1"/>
    <row r="393" ht="16.05" customHeight="1"/>
    <row r="394" ht="16.05" customHeight="1"/>
    <row r="395" ht="16.05" customHeight="1"/>
    <row r="396" ht="16.05" customHeight="1"/>
    <row r="397" ht="16.05" customHeight="1"/>
    <row r="398" ht="16.05" customHeight="1"/>
    <row r="399" ht="16.05" customHeight="1"/>
    <row r="400" ht="16.05" customHeight="1"/>
    <row r="401" ht="16.05" customHeight="1"/>
    <row r="402" ht="16.05" customHeight="1"/>
    <row r="403" ht="16.05" customHeight="1"/>
    <row r="404" ht="16.05" customHeight="1"/>
    <row r="405" ht="16.05" customHeight="1"/>
    <row r="406" ht="16.05" customHeight="1"/>
    <row r="407" ht="16.05" customHeight="1"/>
    <row r="408" ht="16.05" customHeight="1"/>
    <row r="409" ht="16.05" customHeight="1"/>
    <row r="410" ht="16.05" customHeight="1"/>
    <row r="411" ht="16.05" customHeight="1"/>
    <row r="412" ht="16.05" customHeight="1"/>
    <row r="413" ht="16.05" customHeight="1"/>
    <row r="414" ht="16.05" customHeight="1"/>
    <row r="415" ht="16.05" customHeight="1"/>
    <row r="416" ht="16.05" customHeight="1"/>
    <row r="417" ht="16.05" customHeight="1"/>
    <row r="418" ht="16.05" customHeight="1"/>
    <row r="419" ht="16.05" customHeight="1"/>
    <row r="420" ht="16.05" customHeight="1"/>
    <row r="421" ht="16.05" customHeight="1"/>
    <row r="422" ht="16.05" customHeight="1"/>
    <row r="423" ht="16.05" customHeight="1"/>
    <row r="424" ht="16.05" customHeight="1"/>
    <row r="425" ht="16.05" customHeight="1"/>
    <row r="426" ht="16.05" customHeight="1"/>
    <row r="427" ht="16.05" customHeight="1"/>
    <row r="428" ht="16.05" customHeight="1"/>
    <row r="429" ht="16.05" customHeight="1"/>
    <row r="430" ht="16.05" customHeight="1"/>
    <row r="431" ht="16.05" customHeight="1"/>
    <row r="432" ht="16.05" customHeight="1"/>
    <row r="433" ht="16.05" customHeight="1"/>
    <row r="434" ht="16.05" customHeight="1"/>
    <row r="435" ht="16.05" customHeight="1"/>
    <row r="436" ht="16.05" customHeight="1"/>
    <row r="437" ht="16.05" customHeight="1"/>
    <row r="438" ht="16.05" customHeight="1"/>
    <row r="439" ht="16.05" customHeight="1"/>
    <row r="440" ht="16.05" customHeight="1"/>
    <row r="441" ht="16.05" customHeight="1"/>
    <row r="442" ht="16.05" customHeight="1"/>
    <row r="443" ht="16.05" customHeight="1"/>
    <row r="444" ht="16.05" customHeight="1"/>
    <row r="445" ht="16.05" customHeight="1"/>
    <row r="446" ht="16.05" customHeight="1"/>
    <row r="447" ht="16.05" customHeight="1"/>
    <row r="448" ht="16.05" customHeight="1"/>
    <row r="449" ht="16.05" customHeight="1"/>
    <row r="450" ht="16.05" customHeight="1"/>
    <row r="451" ht="16.05" customHeight="1"/>
    <row r="452" ht="16.05" customHeight="1"/>
    <row r="453" ht="16.05" customHeight="1"/>
    <row r="454" ht="16.05" customHeight="1"/>
    <row r="455" ht="16.05" customHeight="1"/>
    <row r="456" ht="16.05" customHeight="1"/>
    <row r="457" ht="16.05" customHeight="1"/>
    <row r="458" ht="16.05" customHeight="1"/>
    <row r="459" ht="16.05" customHeight="1"/>
    <row r="460" ht="16.05" customHeight="1"/>
    <row r="461" ht="16.05" customHeight="1"/>
    <row r="462" ht="16.05" customHeight="1"/>
    <row r="463" ht="16.05" customHeight="1"/>
    <row r="464" ht="16.05" customHeight="1"/>
    <row r="465" ht="16.05" customHeight="1"/>
    <row r="466" ht="16.05" customHeight="1"/>
    <row r="467" ht="16.05" customHeight="1"/>
    <row r="468" ht="16.05" customHeight="1"/>
    <row r="469" ht="16.05" customHeight="1"/>
    <row r="470" ht="16.05" customHeight="1"/>
    <row r="471" ht="16.05" customHeight="1"/>
    <row r="472" ht="16.05" customHeight="1"/>
    <row r="473" ht="16.05" customHeight="1"/>
    <row r="474" ht="16.05" customHeight="1"/>
    <row r="475" ht="16.05" customHeight="1"/>
    <row r="476" ht="16.05" customHeight="1"/>
    <row r="477" ht="16.05" customHeight="1"/>
    <row r="478" ht="16.05" customHeight="1"/>
    <row r="479" ht="16.05" customHeight="1"/>
    <row r="480" ht="16.05" customHeight="1"/>
    <row r="481" ht="16.05" customHeight="1"/>
    <row r="482" ht="16.05" customHeight="1"/>
    <row r="483" ht="16.05" customHeight="1"/>
    <row r="484" ht="16.05" customHeight="1"/>
    <row r="485" ht="16.05" customHeight="1"/>
    <row r="486" ht="16.05" customHeight="1"/>
    <row r="487" ht="16.05" customHeight="1"/>
    <row r="488" ht="16.05" customHeight="1"/>
    <row r="489" ht="16.05" customHeight="1"/>
    <row r="490" ht="16.05" customHeight="1"/>
    <row r="491" ht="16.05" customHeight="1"/>
    <row r="492" ht="16.05" customHeight="1"/>
    <row r="493" ht="16.05" customHeight="1"/>
  </sheetData>
  <mergeCells count="2">
    <mergeCell ref="B5:H8"/>
    <mergeCell ref="B12:H1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1:K494"/>
  <sheetViews>
    <sheetView showGridLines="0" topLeftCell="A34" zoomScale="136" workbookViewId="0">
      <selection activeCell="D15" sqref="D15"/>
    </sheetView>
  </sheetViews>
  <sheetFormatPr baseColWidth="10" defaultColWidth="0" defaultRowHeight="16.05" customHeight="1" zeroHeight="1"/>
  <cols>
    <col min="1" max="2" width="11" customWidth="1"/>
    <col min="3" max="3" width="38" customWidth="1"/>
    <col min="4" max="4" width="18.69921875" bestFit="1" customWidth="1"/>
    <col min="5" max="5" width="17.5" customWidth="1"/>
    <col min="6" max="6" width="14.69921875" bestFit="1" customWidth="1"/>
    <col min="7" max="7" width="13.69921875" bestFit="1" customWidth="1"/>
    <col min="8" max="8" width="15.5" bestFit="1" customWidth="1"/>
    <col min="9" max="9" width="12.5" bestFit="1" customWidth="1"/>
    <col min="10" max="10" width="11.296875" hidden="1" customWidth="1"/>
    <col min="11" max="11" width="12.5" hidden="1" customWidth="1"/>
    <col min="12" max="16384" width="11" hidden="1"/>
  </cols>
  <sheetData>
    <row r="1" spans="2:8" ht="15.6"/>
    <row r="2" spans="2:8" ht="21">
      <c r="B2" s="75" t="s">
        <v>80</v>
      </c>
    </row>
    <row r="3" spans="2:8" ht="15.6"/>
    <row r="4" spans="2:8" ht="15.6"/>
    <row r="5" spans="2:8" ht="15.6">
      <c r="B5" s="179" t="s">
        <v>74</v>
      </c>
      <c r="C5" s="179"/>
      <c r="D5" s="179"/>
      <c r="E5" s="179"/>
      <c r="F5" s="179"/>
      <c r="G5" s="179"/>
      <c r="H5" s="179"/>
    </row>
    <row r="6" spans="2:8" ht="15.6">
      <c r="B6" s="179"/>
      <c r="C6" s="179"/>
      <c r="D6" s="179"/>
      <c r="E6" s="179"/>
      <c r="F6" s="179"/>
      <c r="G6" s="179"/>
      <c r="H6" s="179"/>
    </row>
    <row r="7" spans="2:8" ht="15.6">
      <c r="B7" s="179"/>
      <c r="C7" s="179"/>
      <c r="D7" s="179"/>
      <c r="E7" s="179"/>
      <c r="F7" s="179"/>
      <c r="G7" s="179"/>
      <c r="H7" s="179"/>
    </row>
    <row r="8" spans="2:8" ht="15.6">
      <c r="B8" s="179"/>
      <c r="C8" s="179"/>
      <c r="D8" s="179"/>
      <c r="E8" s="179"/>
      <c r="F8" s="179"/>
      <c r="G8" s="179"/>
      <c r="H8" s="179"/>
    </row>
    <row r="9" spans="2:8" ht="15.6">
      <c r="B9" s="76"/>
      <c r="C9" s="76"/>
      <c r="D9" s="76"/>
      <c r="E9" s="76"/>
      <c r="F9" s="76"/>
      <c r="G9" s="76"/>
      <c r="H9" s="76"/>
    </row>
    <row r="10" spans="2:8" ht="15.6">
      <c r="B10" s="79"/>
      <c r="C10" s="79"/>
      <c r="D10" s="79"/>
      <c r="E10" s="79"/>
      <c r="F10" s="79"/>
      <c r="G10" s="79"/>
      <c r="H10" s="79"/>
    </row>
    <row r="11" spans="2:8" ht="15.6">
      <c r="B11" s="4" t="s">
        <v>63</v>
      </c>
      <c r="C11" s="79"/>
      <c r="D11" s="79"/>
      <c r="E11" s="79"/>
      <c r="F11" s="79"/>
      <c r="G11" s="79"/>
      <c r="H11" s="79"/>
    </row>
    <row r="12" spans="2:8" ht="15.6">
      <c r="B12" s="79"/>
      <c r="C12" s="170" t="s">
        <v>22</v>
      </c>
      <c r="D12" s="174">
        <v>50000000</v>
      </c>
      <c r="E12" s="79"/>
      <c r="F12" s="79"/>
      <c r="G12" s="79"/>
      <c r="H12" s="79"/>
    </row>
    <row r="13" spans="2:8" ht="15.6">
      <c r="B13" s="79"/>
      <c r="C13" s="170" t="s">
        <v>64</v>
      </c>
      <c r="D13" s="175">
        <v>1.6899999999999998E-2</v>
      </c>
      <c r="E13" s="79"/>
      <c r="F13" s="79"/>
      <c r="G13" s="79"/>
      <c r="H13" s="79"/>
    </row>
    <row r="14" spans="2:8" ht="15.6">
      <c r="B14" s="79"/>
      <c r="C14" s="170" t="s">
        <v>65</v>
      </c>
      <c r="D14" s="176">
        <v>5</v>
      </c>
      <c r="E14" s="79"/>
      <c r="F14" s="79"/>
      <c r="G14" s="79"/>
      <c r="H14" s="79"/>
    </row>
    <row r="15" spans="2:8" ht="15.6">
      <c r="B15" s="79"/>
      <c r="C15" s="170" t="s">
        <v>66</v>
      </c>
      <c r="D15" s="174">
        <f>PV(D13,D14,-10000000,)</f>
        <v>47561684.695723377</v>
      </c>
      <c r="E15" s="92"/>
      <c r="F15" s="79"/>
      <c r="G15" s="79"/>
      <c r="H15" s="79"/>
    </row>
    <row r="16" spans="2:8" ht="15.6">
      <c r="B16" s="79"/>
      <c r="C16" s="79"/>
      <c r="D16" s="79"/>
      <c r="E16" s="91"/>
      <c r="F16" s="79"/>
      <c r="G16" s="79"/>
      <c r="H16" s="79"/>
    </row>
    <row r="17" spans="1:7" ht="15.6">
      <c r="C17" s="28"/>
      <c r="D17" s="5"/>
      <c r="F17" s="85"/>
    </row>
    <row r="18" spans="1:7" ht="15.6">
      <c r="B18" s="4" t="s">
        <v>70</v>
      </c>
      <c r="C18" s="4"/>
      <c r="D18" s="5"/>
      <c r="E18" s="86"/>
      <c r="F18" s="85"/>
    </row>
    <row r="19" spans="1:7" ht="15.6">
      <c r="C19" s="28"/>
      <c r="D19" s="5"/>
      <c r="E19" s="86"/>
      <c r="F19" s="85"/>
    </row>
    <row r="20" spans="1:7" ht="15.6">
      <c r="B20" s="81" t="s">
        <v>71</v>
      </c>
      <c r="C20" s="81" t="s">
        <v>11</v>
      </c>
      <c r="D20" s="81" t="s">
        <v>75</v>
      </c>
      <c r="E20" s="81" t="s">
        <v>76</v>
      </c>
      <c r="F20" s="81" t="s">
        <v>69</v>
      </c>
      <c r="G20" s="81" t="s">
        <v>13</v>
      </c>
    </row>
    <row r="21" spans="1:7" ht="15.6">
      <c r="B21" s="71">
        <v>43709</v>
      </c>
      <c r="C21" s="82"/>
      <c r="D21" s="3"/>
      <c r="E21" s="3"/>
      <c r="F21" s="3"/>
      <c r="G21" s="82">
        <f>D15</f>
        <v>47561684.695723377</v>
      </c>
    </row>
    <row r="22" spans="1:7" ht="15.6">
      <c r="B22" s="71">
        <v>43738</v>
      </c>
      <c r="C22" s="82">
        <f>G21</f>
        <v>47561684.695723377</v>
      </c>
      <c r="D22" s="3">
        <v>10000000</v>
      </c>
      <c r="E22" s="3">
        <f>D22-F22</f>
        <v>9196207.5286422744</v>
      </c>
      <c r="F22" s="3">
        <f>C22*1.69%</f>
        <v>803792.47135772498</v>
      </c>
      <c r="G22" s="82">
        <f>C22-E22</f>
        <v>38365477.167081103</v>
      </c>
    </row>
    <row r="23" spans="1:7" ht="15.6">
      <c r="B23" s="71">
        <v>43769</v>
      </c>
      <c r="C23" s="82">
        <f>G22</f>
        <v>38365477.167081103</v>
      </c>
      <c r="D23" s="3">
        <v>10000000</v>
      </c>
      <c r="E23" s="3">
        <f t="shared" ref="E23:E26" si="0">D23-F23</f>
        <v>9351623.4358763285</v>
      </c>
      <c r="F23" s="3">
        <f t="shared" ref="F23:F26" si="1">C23*1.69%</f>
        <v>648376.56412367057</v>
      </c>
      <c r="G23" s="82">
        <f t="shared" ref="G23:G26" si="2">C23-E23</f>
        <v>29013853.731204774</v>
      </c>
    </row>
    <row r="24" spans="1:7" ht="15.6">
      <c r="B24" s="71">
        <v>43799</v>
      </c>
      <c r="C24" s="82">
        <f>G23</f>
        <v>29013853.731204774</v>
      </c>
      <c r="D24" s="3">
        <v>10000000</v>
      </c>
      <c r="E24" s="3">
        <f t="shared" si="0"/>
        <v>9509665.8719426394</v>
      </c>
      <c r="F24" s="3">
        <f t="shared" si="1"/>
        <v>490334.12805736065</v>
      </c>
      <c r="G24" s="82">
        <f t="shared" si="2"/>
        <v>19504187.859262135</v>
      </c>
    </row>
    <row r="25" spans="1:7" ht="15.6">
      <c r="B25" s="71">
        <v>43830</v>
      </c>
      <c r="C25" s="82">
        <f>G24</f>
        <v>19504187.859262135</v>
      </c>
      <c r="D25" s="3">
        <v>10000000</v>
      </c>
      <c r="E25" s="3">
        <f t="shared" si="0"/>
        <v>9670379.2251784708</v>
      </c>
      <c r="F25" s="3">
        <f t="shared" si="1"/>
        <v>329620.77482153004</v>
      </c>
      <c r="G25" s="82">
        <f t="shared" si="2"/>
        <v>9833808.634083664</v>
      </c>
    </row>
    <row r="26" spans="1:7" ht="15.6">
      <c r="B26" s="71">
        <v>43496</v>
      </c>
      <c r="C26" s="82">
        <f>G25</f>
        <v>9833808.634083664</v>
      </c>
      <c r="D26" s="3">
        <v>10000000</v>
      </c>
      <c r="E26" s="3">
        <f t="shared" si="0"/>
        <v>9833808.6340839863</v>
      </c>
      <c r="F26" s="3">
        <f t="shared" si="1"/>
        <v>166191.36591601389</v>
      </c>
      <c r="G26" s="82">
        <f t="shared" si="2"/>
        <v>-3.2223761081695557E-7</v>
      </c>
    </row>
    <row r="27" spans="1:7" ht="15.6">
      <c r="C27" s="28"/>
      <c r="D27" s="5"/>
      <c r="E27" s="86"/>
      <c r="F27" s="85"/>
    </row>
    <row r="28" spans="1:7" ht="15.6">
      <c r="C28" s="76"/>
      <c r="D28" s="77"/>
    </row>
    <row r="29" spans="1:7" ht="15.6">
      <c r="B29" s="4" t="s">
        <v>72</v>
      </c>
    </row>
    <row r="30" spans="1:7" ht="15.6">
      <c r="A30" s="87">
        <f>B21</f>
        <v>43709</v>
      </c>
    </row>
    <row r="31" spans="1:7" ht="15.6">
      <c r="B31" s="2" t="s">
        <v>1</v>
      </c>
      <c r="C31" s="2" t="s">
        <v>2</v>
      </c>
      <c r="D31" s="2" t="s">
        <v>73</v>
      </c>
      <c r="E31" s="2" t="s">
        <v>4</v>
      </c>
    </row>
    <row r="32" spans="1:7" ht="15.6">
      <c r="B32" s="88">
        <v>136599</v>
      </c>
      <c r="C32" s="1" t="s">
        <v>78</v>
      </c>
      <c r="D32" s="3">
        <f>G21</f>
        <v>47561684.695723377</v>
      </c>
      <c r="E32" s="1"/>
    </row>
    <row r="33" spans="1:5" ht="15.6">
      <c r="B33" s="1">
        <v>1110</v>
      </c>
      <c r="C33" s="1" t="s">
        <v>79</v>
      </c>
      <c r="D33" s="89"/>
      <c r="E33" s="82">
        <f>D12</f>
        <v>50000000</v>
      </c>
    </row>
    <row r="34" spans="1:5" ht="15.6">
      <c r="B34" s="90">
        <v>5330</v>
      </c>
      <c r="C34" s="1" t="s">
        <v>69</v>
      </c>
      <c r="D34" s="3">
        <f>E33-D32</f>
        <v>2438315.3042766228</v>
      </c>
      <c r="E34" s="1"/>
    </row>
    <row r="35" spans="1:5" ht="15.6"/>
    <row r="36" spans="1:5" ht="15.6">
      <c r="A36" s="87">
        <f>B22</f>
        <v>43738</v>
      </c>
    </row>
    <row r="37" spans="1:5" ht="15.6">
      <c r="B37" s="2" t="s">
        <v>1</v>
      </c>
      <c r="C37" s="2" t="s">
        <v>2</v>
      </c>
      <c r="D37" s="2" t="s">
        <v>73</v>
      </c>
      <c r="E37" s="2" t="s">
        <v>4</v>
      </c>
    </row>
    <row r="38" spans="1:5" ht="15.6">
      <c r="B38" s="88">
        <v>11</v>
      </c>
      <c r="C38" s="1" t="s">
        <v>77</v>
      </c>
      <c r="D38" s="3">
        <f>D22</f>
        <v>10000000</v>
      </c>
      <c r="E38" s="1"/>
    </row>
    <row r="39" spans="1:5" ht="15.6">
      <c r="B39" s="88">
        <v>136599</v>
      </c>
      <c r="C39" s="88" t="s">
        <v>78</v>
      </c>
      <c r="D39" s="3"/>
      <c r="E39" s="82">
        <f>E22</f>
        <v>9196207.5286422744</v>
      </c>
    </row>
    <row r="40" spans="1:5" ht="15.6">
      <c r="B40" s="1">
        <v>451505</v>
      </c>
      <c r="C40" s="1" t="s">
        <v>69</v>
      </c>
      <c r="D40" s="89"/>
      <c r="E40" s="82">
        <f>F22</f>
        <v>803792.47135772498</v>
      </c>
    </row>
    <row r="41" spans="1:5" ht="15.6"/>
    <row r="42" spans="1:5" ht="16.05" customHeight="1">
      <c r="A42" s="87">
        <f>B23</f>
        <v>43769</v>
      </c>
    </row>
    <row r="43" spans="1:5" ht="16.05" customHeight="1">
      <c r="B43" s="2" t="s">
        <v>1</v>
      </c>
      <c r="C43" s="2" t="s">
        <v>2</v>
      </c>
      <c r="D43" s="2" t="s">
        <v>73</v>
      </c>
      <c r="E43" s="2" t="s">
        <v>4</v>
      </c>
    </row>
    <row r="44" spans="1:5" ht="16.05" customHeight="1">
      <c r="B44" s="88">
        <f>B38</f>
        <v>11</v>
      </c>
      <c r="C44" s="88" t="str">
        <f t="shared" ref="C44:C46" si="3">C38</f>
        <v>Efectivo y equivalentes al efectivo</v>
      </c>
      <c r="D44" s="3">
        <f>D38</f>
        <v>10000000</v>
      </c>
      <c r="E44" s="1"/>
    </row>
    <row r="45" spans="1:5" ht="16.05" customHeight="1">
      <c r="B45" s="88">
        <f t="shared" ref="B45" si="4">B39</f>
        <v>136599</v>
      </c>
      <c r="C45" s="88" t="str">
        <f t="shared" si="3"/>
        <v>Otros prestamos a  trabajadores</v>
      </c>
      <c r="D45" s="3"/>
      <c r="E45" s="82">
        <f>E39</f>
        <v>9196207.5286422744</v>
      </c>
    </row>
    <row r="46" spans="1:5" ht="16.05" customHeight="1">
      <c r="B46" s="88">
        <f t="shared" ref="B46" si="5">B40</f>
        <v>451505</v>
      </c>
      <c r="C46" s="88" t="str">
        <f t="shared" si="3"/>
        <v>Interés implícito</v>
      </c>
      <c r="D46" s="89"/>
      <c r="E46" s="82">
        <f>E40</f>
        <v>803792.47135772498</v>
      </c>
    </row>
    <row r="47" spans="1:5" ht="16.05" customHeight="1"/>
    <row r="48" spans="1:5" ht="16.05" customHeight="1"/>
    <row r="49" ht="16.05" customHeight="1"/>
    <row r="50" ht="16.05" customHeight="1"/>
    <row r="51" ht="16.05" customHeight="1"/>
    <row r="52" ht="16.05" customHeight="1"/>
    <row r="53" ht="16.05" customHeight="1"/>
    <row r="54" ht="16.05" customHeight="1"/>
    <row r="55" ht="16.05" customHeight="1"/>
    <row r="56" ht="16.05" customHeight="1"/>
    <row r="57" ht="16.05" customHeight="1"/>
    <row r="58" ht="16.05" customHeight="1"/>
    <row r="59" ht="16.05" customHeight="1"/>
    <row r="60" ht="16.05" customHeight="1"/>
    <row r="61" ht="16.05" customHeight="1"/>
    <row r="62" ht="16.05" customHeight="1"/>
    <row r="63" ht="16.05" customHeight="1"/>
    <row r="64" ht="16.05" customHeight="1"/>
    <row r="65" ht="16.05" customHeight="1"/>
    <row r="66" ht="16.05" customHeight="1"/>
    <row r="67" ht="16.05" customHeight="1"/>
    <row r="68" ht="16.05" customHeight="1"/>
    <row r="69" ht="16.05" customHeight="1"/>
    <row r="70" ht="16.05" customHeight="1"/>
    <row r="71" ht="16.05" customHeight="1"/>
    <row r="72" ht="16.05" customHeight="1"/>
    <row r="73" ht="16.05" customHeight="1"/>
    <row r="74" ht="16.05" customHeight="1"/>
    <row r="75" ht="16.05" customHeight="1"/>
    <row r="76" ht="16.05" customHeight="1"/>
    <row r="77" ht="16.05" customHeight="1"/>
    <row r="78" ht="16.05" customHeight="1"/>
    <row r="79" ht="16.05" customHeight="1"/>
    <row r="80" ht="16.05" customHeight="1"/>
    <row r="81" ht="16.05" customHeight="1"/>
    <row r="82" ht="16.05" customHeight="1"/>
    <row r="83" ht="16.05" customHeight="1"/>
    <row r="84" ht="16.05" customHeight="1"/>
    <row r="85" ht="16.05" customHeight="1"/>
    <row r="86" ht="16.05" customHeight="1"/>
    <row r="87" ht="16.05" customHeight="1"/>
    <row r="88" ht="16.05" customHeight="1"/>
    <row r="89" ht="16.05" customHeight="1"/>
    <row r="90" ht="16.05" customHeight="1"/>
    <row r="91" ht="16.05" customHeight="1"/>
    <row r="92" ht="16.05" customHeight="1"/>
    <row r="93" ht="16.05" customHeight="1"/>
    <row r="94" ht="16.05" customHeight="1"/>
    <row r="95" ht="16.05" customHeight="1"/>
    <row r="96" ht="16.05" customHeight="1"/>
    <row r="97" ht="16.05" customHeight="1"/>
    <row r="98" ht="16.05" customHeight="1"/>
    <row r="99" ht="16.05" customHeight="1"/>
    <row r="100" ht="16.05" customHeight="1"/>
    <row r="101" ht="16.05" customHeight="1"/>
    <row r="102" ht="16.05" customHeight="1"/>
    <row r="103" ht="16.05" customHeight="1"/>
    <row r="104" ht="16.05" customHeight="1"/>
    <row r="105" ht="16.05" customHeight="1"/>
    <row r="106" ht="16.05" customHeight="1"/>
    <row r="107" ht="16.05" customHeight="1"/>
    <row r="108" ht="16.05" customHeight="1"/>
    <row r="109" ht="16.05" customHeight="1"/>
    <row r="110" ht="16.05" customHeight="1"/>
    <row r="111" ht="16.05" customHeight="1"/>
    <row r="112" ht="16.05" customHeight="1"/>
    <row r="113" ht="16.05" customHeight="1"/>
    <row r="114" ht="16.05" customHeight="1"/>
    <row r="115" ht="16.05" customHeight="1"/>
    <row r="116" ht="16.05" customHeight="1"/>
    <row r="117" ht="16.05" customHeight="1"/>
    <row r="118" ht="16.05" customHeight="1"/>
    <row r="119" ht="16.05" customHeight="1"/>
    <row r="120" ht="16.05" customHeight="1"/>
    <row r="121" ht="16.05" customHeight="1"/>
    <row r="122" ht="16.05" customHeight="1"/>
    <row r="123" ht="16.05" customHeight="1"/>
    <row r="124" ht="16.05" customHeight="1"/>
    <row r="125" ht="16.05" customHeight="1"/>
    <row r="126" ht="16.05" customHeight="1"/>
    <row r="127" ht="16.05" customHeight="1"/>
    <row r="128" ht="16.05" customHeight="1"/>
    <row r="129" ht="16.05" customHeight="1"/>
    <row r="130" ht="16.05" customHeight="1"/>
    <row r="131" ht="16.05" customHeight="1"/>
    <row r="132" ht="16.05" customHeight="1"/>
    <row r="133" ht="16.05" customHeight="1"/>
    <row r="134" ht="16.05" customHeight="1"/>
    <row r="135" ht="16.05" customHeight="1"/>
    <row r="136" ht="16.05" customHeight="1"/>
    <row r="137" ht="16.05" customHeight="1"/>
    <row r="138" ht="16.05" customHeight="1"/>
    <row r="139" ht="16.05" customHeight="1"/>
    <row r="140" ht="16.05" customHeight="1"/>
    <row r="141" ht="16.05" customHeight="1"/>
    <row r="142" ht="16.05" customHeight="1"/>
    <row r="143" ht="16.05" customHeight="1"/>
    <row r="144" ht="16.05" customHeight="1"/>
    <row r="145" ht="16.05" customHeight="1"/>
    <row r="146" ht="16.05" customHeight="1"/>
    <row r="147" ht="16.05" customHeight="1"/>
    <row r="148" ht="16.05" customHeight="1"/>
    <row r="149" ht="16.05" customHeight="1"/>
    <row r="150" ht="16.05" customHeight="1"/>
    <row r="151" ht="16.05" customHeight="1"/>
    <row r="152" ht="16.05" customHeight="1"/>
    <row r="153" ht="16.05" customHeight="1"/>
    <row r="154" ht="16.05" customHeight="1"/>
    <row r="155" ht="16.05" customHeight="1"/>
    <row r="156" ht="16.05" customHeight="1"/>
    <row r="157" ht="16.05" customHeight="1"/>
    <row r="158" ht="16.05" customHeight="1"/>
    <row r="159" ht="16.05" customHeight="1"/>
    <row r="160" ht="16.05" customHeight="1"/>
    <row r="161" ht="16.05" customHeight="1"/>
    <row r="162" ht="16.05" customHeight="1"/>
    <row r="163" ht="16.05" customHeight="1"/>
    <row r="164" ht="16.05" customHeight="1"/>
    <row r="165" ht="16.05" customHeight="1"/>
    <row r="166" ht="16.05" customHeight="1"/>
    <row r="167" ht="16.05" customHeight="1"/>
    <row r="168" ht="16.05" customHeight="1"/>
    <row r="169" ht="16.05" customHeight="1"/>
    <row r="170" ht="16.05" customHeight="1"/>
    <row r="171" ht="16.05" customHeight="1"/>
    <row r="172" ht="16.05" customHeight="1"/>
    <row r="173" ht="16.05" customHeight="1"/>
    <row r="174" ht="16.05" customHeight="1"/>
    <row r="175" ht="16.05" customHeight="1"/>
    <row r="176" ht="16.05" customHeight="1"/>
    <row r="177" ht="16.05" customHeight="1"/>
    <row r="178" ht="16.05" customHeight="1"/>
    <row r="179" ht="16.05" customHeight="1"/>
    <row r="180" ht="16.05" customHeight="1"/>
    <row r="181" ht="16.05" customHeight="1"/>
    <row r="182" ht="16.05" customHeight="1"/>
    <row r="183" ht="16.05" customHeight="1"/>
    <row r="184" ht="16.05" customHeight="1"/>
    <row r="185" ht="16.05" customHeight="1"/>
    <row r="186" ht="16.05" customHeight="1"/>
    <row r="187" ht="16.05" customHeight="1"/>
    <row r="188" ht="16.05" customHeight="1"/>
    <row r="189" ht="16.05" customHeight="1"/>
    <row r="190" ht="16.05" customHeight="1"/>
    <row r="191" ht="16.05" customHeight="1"/>
    <row r="192" ht="16.05" customHeight="1"/>
    <row r="193" ht="16.05" customHeight="1"/>
    <row r="194" ht="16.05" customHeight="1"/>
    <row r="195" ht="16.05" customHeight="1"/>
    <row r="196" ht="16.05" customHeight="1"/>
    <row r="197" ht="16.05" customHeight="1"/>
    <row r="198" ht="16.05" customHeight="1"/>
    <row r="199" ht="16.05" customHeight="1"/>
    <row r="200" ht="16.05" customHeight="1"/>
    <row r="201" ht="16.05" customHeight="1"/>
    <row r="202" ht="16.05" customHeight="1"/>
    <row r="203" ht="16.05" customHeight="1"/>
    <row r="204" ht="16.05" customHeight="1"/>
    <row r="205" ht="16.05" customHeight="1"/>
    <row r="206" ht="16.05" customHeight="1"/>
    <row r="207" ht="16.05" customHeight="1"/>
    <row r="208" ht="16.05" customHeight="1"/>
    <row r="209" ht="16.05" customHeight="1"/>
    <row r="210" ht="16.05" customHeight="1"/>
    <row r="211" ht="16.05" customHeight="1"/>
    <row r="212" ht="16.05" customHeight="1"/>
    <row r="213" ht="16.05" customHeight="1"/>
    <row r="214" ht="16.05" customHeight="1"/>
    <row r="215" ht="16.05" customHeight="1"/>
    <row r="216" ht="16.05" customHeight="1"/>
    <row r="217" ht="16.05" customHeight="1"/>
    <row r="218" ht="16.05" customHeight="1"/>
    <row r="219" ht="16.05" customHeight="1"/>
    <row r="220" ht="16.05" customHeight="1"/>
    <row r="221" ht="16.05" customHeight="1"/>
    <row r="222" ht="16.05" customHeight="1"/>
    <row r="223" ht="16.05" customHeight="1"/>
    <row r="224" ht="16.05" customHeight="1"/>
    <row r="225" ht="16.05" customHeight="1"/>
    <row r="226" ht="16.05" customHeight="1"/>
    <row r="227" ht="16.05" customHeight="1"/>
    <row r="228" ht="16.05" customHeight="1"/>
    <row r="229" ht="16.05" customHeight="1"/>
    <row r="230" ht="16.05" customHeight="1"/>
    <row r="231" ht="16.05" customHeight="1"/>
    <row r="232" ht="16.05" customHeight="1"/>
    <row r="233" ht="16.05" customHeight="1"/>
    <row r="234" ht="16.05" customHeight="1"/>
    <row r="235" ht="16.05" customHeight="1"/>
    <row r="236" ht="16.05" customHeight="1"/>
    <row r="237" ht="16.05" customHeight="1"/>
    <row r="238" ht="16.05" customHeight="1"/>
    <row r="239" ht="16.05" customHeight="1"/>
    <row r="240" ht="16.05" customHeight="1"/>
    <row r="241" ht="16.05" customHeight="1"/>
    <row r="242" ht="16.05" customHeight="1"/>
    <row r="243" ht="16.05" customHeight="1"/>
    <row r="244" ht="16.05" customHeight="1"/>
    <row r="245" ht="16.05" customHeight="1"/>
    <row r="246" ht="16.05" customHeight="1"/>
    <row r="247" ht="16.05" customHeight="1"/>
    <row r="248" ht="16.05" customHeight="1"/>
    <row r="249" ht="16.05" customHeight="1"/>
    <row r="250" ht="16.05" customHeight="1"/>
    <row r="251" ht="16.05" customHeight="1"/>
    <row r="252" ht="16.05" customHeight="1"/>
    <row r="253" ht="16.05" customHeight="1"/>
    <row r="254" ht="16.05" customHeight="1"/>
    <row r="255" ht="16.05" customHeight="1"/>
    <row r="256" ht="16.05" customHeight="1"/>
    <row r="257" ht="16.05" customHeight="1"/>
    <row r="258" ht="16.05" customHeight="1"/>
    <row r="259" ht="16.05" customHeight="1"/>
    <row r="260" ht="16.05" customHeight="1"/>
    <row r="261" ht="16.05" customHeight="1"/>
    <row r="262" ht="16.05" customHeight="1"/>
    <row r="263" ht="16.05" customHeight="1"/>
    <row r="264" ht="16.05" customHeight="1"/>
    <row r="265" ht="16.05" customHeight="1"/>
    <row r="266" ht="16.05" customHeight="1"/>
    <row r="267" ht="16.05" customHeight="1"/>
    <row r="268" ht="16.05" customHeight="1"/>
    <row r="269" ht="16.05" customHeight="1"/>
    <row r="270" ht="16.05" customHeight="1"/>
    <row r="271" ht="16.05" customHeight="1"/>
    <row r="272" ht="16.05" customHeight="1"/>
    <row r="273" ht="16.05" customHeight="1"/>
    <row r="274" ht="16.05" customHeight="1"/>
    <row r="275" ht="16.05" customHeight="1"/>
    <row r="276" ht="16.05" customHeight="1"/>
    <row r="277" ht="16.05" customHeight="1"/>
    <row r="278" ht="16.05" customHeight="1"/>
    <row r="279" ht="16.05" customHeight="1"/>
    <row r="280" ht="16.05" customHeight="1"/>
    <row r="281" ht="16.05" customHeight="1"/>
    <row r="282" ht="16.05" customHeight="1"/>
    <row r="283" ht="16.05" customHeight="1"/>
    <row r="284" ht="16.05" customHeight="1"/>
    <row r="285" ht="16.05" customHeight="1"/>
    <row r="286" ht="16.05" customHeight="1"/>
    <row r="287" ht="16.05" customHeight="1"/>
    <row r="288" ht="16.05" customHeight="1"/>
    <row r="289" ht="16.05" customHeight="1"/>
    <row r="290" ht="16.05" customHeight="1"/>
    <row r="291" ht="16.05" customHeight="1"/>
    <row r="292" ht="16.05" customHeight="1"/>
    <row r="293" ht="16.05" customHeight="1"/>
    <row r="294" ht="16.05" customHeight="1"/>
    <row r="295" ht="16.05" customHeight="1"/>
    <row r="296" ht="16.05" customHeight="1"/>
    <row r="297" ht="16.05" customHeight="1"/>
    <row r="298" ht="16.05" customHeight="1"/>
    <row r="299" ht="16.05" customHeight="1"/>
    <row r="300" ht="16.05" customHeight="1"/>
    <row r="301" ht="16.05" customHeight="1"/>
    <row r="302" ht="16.05" customHeight="1"/>
    <row r="303" ht="16.05" customHeight="1"/>
    <row r="304" ht="16.05" customHeight="1"/>
    <row r="305" ht="16.05" customHeight="1"/>
    <row r="306" ht="16.05" customHeight="1"/>
    <row r="307" ht="16.05" customHeight="1"/>
    <row r="308" ht="16.05" customHeight="1"/>
    <row r="309" ht="16.05" customHeight="1"/>
    <row r="310" ht="16.05" customHeight="1"/>
    <row r="311" ht="16.05" customHeight="1"/>
    <row r="312" ht="16.05" customHeight="1"/>
    <row r="313" ht="16.05" customHeight="1"/>
    <row r="314" ht="16.05" customHeight="1"/>
    <row r="315" ht="16.05" customHeight="1"/>
    <row r="316" ht="16.05" customHeight="1"/>
    <row r="317" ht="16.05" customHeight="1"/>
    <row r="318" ht="16.05" customHeight="1"/>
    <row r="319" ht="16.05" customHeight="1"/>
    <row r="320" ht="16.05" customHeight="1"/>
    <row r="321" ht="16.05" customHeight="1"/>
    <row r="322" ht="16.05" customHeight="1"/>
    <row r="323" ht="16.05" customHeight="1"/>
    <row r="324" ht="16.05" customHeight="1"/>
    <row r="325" ht="16.05" customHeight="1"/>
    <row r="326" ht="16.05" customHeight="1"/>
    <row r="327" ht="16.05" customHeight="1"/>
    <row r="328" ht="16.05" customHeight="1"/>
    <row r="329" ht="16.05" customHeight="1"/>
    <row r="330" ht="16.05" customHeight="1"/>
    <row r="331" ht="16.05" customHeight="1"/>
    <row r="332" ht="16.05" customHeight="1"/>
    <row r="333" ht="16.05" customHeight="1"/>
    <row r="334" ht="16.05" customHeight="1"/>
    <row r="335" ht="16.05" customHeight="1"/>
    <row r="336" ht="16.05" customHeight="1"/>
    <row r="337" ht="16.05" customHeight="1"/>
    <row r="338" ht="16.05" customHeight="1"/>
    <row r="339" ht="16.05" customHeight="1"/>
    <row r="340" ht="16.05" customHeight="1"/>
    <row r="341" ht="16.05" customHeight="1"/>
    <row r="342" ht="16.05" customHeight="1"/>
    <row r="343" ht="16.05" customHeight="1"/>
    <row r="344" ht="16.05" customHeight="1"/>
    <row r="345" ht="16.05" customHeight="1"/>
    <row r="346" ht="16.05" customHeight="1"/>
    <row r="347" ht="16.05" customHeight="1"/>
    <row r="348" ht="16.05" customHeight="1"/>
    <row r="349" ht="16.05" customHeight="1"/>
    <row r="350" ht="16.05" customHeight="1"/>
    <row r="351" ht="16.05" customHeight="1"/>
    <row r="352" ht="16.05" customHeight="1"/>
    <row r="353" ht="16.05" customHeight="1"/>
    <row r="354" ht="16.05" customHeight="1"/>
    <row r="355" ht="16.05" customHeight="1"/>
    <row r="356" ht="16.05" customHeight="1"/>
    <row r="357" ht="16.05" customHeight="1"/>
    <row r="358" ht="16.05" customHeight="1"/>
    <row r="359" ht="16.05" customHeight="1"/>
    <row r="360" ht="16.05" customHeight="1"/>
    <row r="361" ht="16.05" customHeight="1"/>
    <row r="362" ht="16.05" customHeight="1"/>
    <row r="363" ht="16.05" customHeight="1"/>
    <row r="364" ht="16.05" customHeight="1"/>
    <row r="365" ht="16.05" customHeight="1"/>
    <row r="366" ht="16.05" customHeight="1"/>
    <row r="367" ht="16.05" customHeight="1"/>
    <row r="368" ht="16.05" customHeight="1"/>
    <row r="369" ht="16.05" customHeight="1"/>
    <row r="370" ht="16.05" customHeight="1"/>
    <row r="371" ht="16.05" customHeight="1"/>
    <row r="372" ht="16.05" customHeight="1"/>
    <row r="373" ht="16.05" customHeight="1"/>
    <row r="374" ht="16.05" customHeight="1"/>
    <row r="375" ht="16.05" customHeight="1"/>
    <row r="376" ht="16.05" customHeight="1"/>
    <row r="377" ht="16.05" customHeight="1"/>
    <row r="378" ht="16.05" customHeight="1"/>
    <row r="379" ht="16.05" customHeight="1"/>
    <row r="380" ht="16.05" customHeight="1"/>
    <row r="381" ht="16.05" customHeight="1"/>
    <row r="382" ht="16.05" customHeight="1"/>
    <row r="383" ht="16.05" customHeight="1"/>
    <row r="384" ht="16.05" customHeight="1"/>
    <row r="385" ht="16.05" customHeight="1"/>
    <row r="386" ht="16.05" customHeight="1"/>
    <row r="387" ht="16.05" customHeight="1"/>
    <row r="388" ht="16.05" customHeight="1"/>
    <row r="389" ht="16.05" customHeight="1"/>
    <row r="390" ht="16.05" customHeight="1"/>
    <row r="391" ht="16.05" customHeight="1"/>
    <row r="392" ht="16.05" customHeight="1"/>
    <row r="393" ht="16.05" customHeight="1"/>
    <row r="394" ht="16.05" customHeight="1"/>
    <row r="395" ht="16.05" customHeight="1"/>
    <row r="396" ht="16.05" customHeight="1"/>
    <row r="397" ht="16.05" customHeight="1"/>
    <row r="398" ht="16.05" customHeight="1"/>
    <row r="399" ht="16.05" customHeight="1"/>
    <row r="400" ht="16.05" customHeight="1"/>
    <row r="401" ht="16.05" customHeight="1"/>
    <row r="402" ht="16.05" customHeight="1"/>
    <row r="403" ht="16.05" customHeight="1"/>
    <row r="404" ht="16.05" customHeight="1"/>
    <row r="405" ht="16.05" customHeight="1"/>
    <row r="406" ht="16.05" customHeight="1"/>
    <row r="407" ht="16.05" customHeight="1"/>
    <row r="408" ht="16.05" customHeight="1"/>
    <row r="409" ht="16.05" customHeight="1"/>
    <row r="410" ht="16.05" customHeight="1"/>
    <row r="411" ht="16.05" customHeight="1"/>
    <row r="412" ht="16.05" customHeight="1"/>
    <row r="413" ht="16.05" customHeight="1"/>
    <row r="414" ht="16.05" customHeight="1"/>
    <row r="415" ht="16.05" customHeight="1"/>
    <row r="416" ht="16.05" customHeight="1"/>
    <row r="417" ht="16.05" customHeight="1"/>
    <row r="418" ht="16.05" customHeight="1"/>
    <row r="419" ht="16.05" customHeight="1"/>
    <row r="420" ht="16.05" customHeight="1"/>
    <row r="421" ht="16.05" customHeight="1"/>
    <row r="422" ht="16.05" customHeight="1"/>
    <row r="423" ht="16.05" customHeight="1"/>
    <row r="424" ht="16.05" customHeight="1"/>
    <row r="425" ht="16.05" customHeight="1"/>
    <row r="426" ht="16.05" customHeight="1"/>
    <row r="427" ht="16.05" customHeight="1"/>
    <row r="428" ht="16.05" customHeight="1"/>
    <row r="429" ht="16.05" customHeight="1"/>
    <row r="430" ht="16.05" customHeight="1"/>
    <row r="431" ht="16.05" customHeight="1"/>
    <row r="432" ht="16.05" customHeight="1"/>
    <row r="433" ht="16.05" customHeight="1"/>
    <row r="434" ht="16.05" customHeight="1"/>
    <row r="435" ht="16.05" customHeight="1"/>
    <row r="436" ht="16.05" customHeight="1"/>
    <row r="437" ht="16.05" customHeight="1"/>
    <row r="438" ht="16.05" customHeight="1"/>
    <row r="439" ht="16.05" customHeight="1"/>
    <row r="440" ht="16.05" customHeight="1"/>
    <row r="441" ht="16.05" customHeight="1"/>
    <row r="442" ht="16.05" customHeight="1"/>
    <row r="443" ht="16.05" customHeight="1"/>
    <row r="444" ht="16.05" customHeight="1"/>
    <row r="445" ht="16.05" customHeight="1"/>
    <row r="446" ht="16.05" customHeight="1"/>
    <row r="447" ht="16.05" customHeight="1"/>
    <row r="448" ht="16.05" customHeight="1"/>
    <row r="449" ht="16.05" customHeight="1"/>
    <row r="450" ht="16.05" customHeight="1"/>
    <row r="451" ht="16.05" customHeight="1"/>
    <row r="452" ht="16.05" customHeight="1"/>
    <row r="453" ht="16.05" customHeight="1"/>
    <row r="454" ht="16.05" customHeight="1"/>
    <row r="455" ht="16.05" customHeight="1"/>
    <row r="456" ht="16.05" customHeight="1"/>
    <row r="457" ht="16.05" customHeight="1"/>
    <row r="458" ht="16.05" customHeight="1"/>
    <row r="459" ht="16.05" customHeight="1"/>
    <row r="460" ht="16.05" customHeight="1"/>
    <row r="461" ht="16.05" customHeight="1"/>
    <row r="462" ht="16.05" customHeight="1"/>
    <row r="463" ht="16.05" customHeight="1"/>
    <row r="464" ht="16.05" customHeight="1"/>
    <row r="465" ht="16.05" customHeight="1"/>
    <row r="466" ht="16.05" customHeight="1"/>
    <row r="467" ht="16.05" customHeight="1"/>
    <row r="468" ht="16.05" customHeight="1"/>
    <row r="469" ht="16.05" customHeight="1"/>
    <row r="470" ht="16.05" customHeight="1"/>
    <row r="471" ht="16.05" customHeight="1"/>
    <row r="472" ht="16.05" customHeight="1"/>
    <row r="473" ht="16.05" customHeight="1"/>
    <row r="474" ht="16.05" customHeight="1"/>
    <row r="475" ht="16.05" customHeight="1"/>
    <row r="476" ht="16.05" customHeight="1"/>
    <row r="477" ht="16.05" customHeight="1"/>
    <row r="478" ht="16.05" customHeight="1"/>
    <row r="479" ht="16.05" customHeight="1"/>
    <row r="480" ht="16.05" customHeight="1"/>
    <row r="481" ht="16.05" customHeight="1"/>
    <row r="482" ht="16.05" customHeight="1"/>
    <row r="483" ht="16.05" customHeight="1"/>
    <row r="484" ht="16.05" customHeight="1"/>
    <row r="485" ht="16.05" customHeight="1"/>
    <row r="486" ht="16.05" customHeight="1"/>
    <row r="487" ht="16.05" customHeight="1"/>
    <row r="488" ht="16.05" customHeight="1"/>
    <row r="489" ht="16.05" customHeight="1"/>
    <row r="490" ht="16.05" customHeight="1"/>
    <row r="491" ht="16.05" customHeight="1"/>
    <row r="492" ht="16.05" customHeight="1"/>
    <row r="493" ht="16.05" customHeight="1"/>
    <row r="494" ht="16.05" customHeight="1"/>
  </sheetData>
  <mergeCells count="1">
    <mergeCell ref="B5:H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3:R46"/>
  <sheetViews>
    <sheetView showGridLines="0" topLeftCell="A15" zoomScale="116" workbookViewId="0">
      <selection activeCell="B8" sqref="B8:K10"/>
    </sheetView>
  </sheetViews>
  <sheetFormatPr baseColWidth="10" defaultRowHeight="15.6"/>
  <cols>
    <col min="3" max="3" width="18" customWidth="1"/>
    <col min="9" max="9" width="13" customWidth="1"/>
    <col min="13" max="13" width="15.296875" customWidth="1"/>
    <col min="14" max="14" width="13.69921875" customWidth="1"/>
    <col min="15" max="15" width="18.19921875" customWidth="1"/>
    <col min="16" max="16" width="15.296875" customWidth="1"/>
    <col min="17" max="17" width="13.796875" customWidth="1"/>
    <col min="18" max="18" width="15.296875" customWidth="1"/>
  </cols>
  <sheetData>
    <row r="3" spans="1:11" ht="21">
      <c r="B3" s="75" t="s">
        <v>105</v>
      </c>
    </row>
    <row r="5" spans="1:11">
      <c r="B5" s="111"/>
      <c r="C5" s="111"/>
      <c r="D5" s="111"/>
      <c r="E5" s="111"/>
      <c r="F5" s="111"/>
      <c r="G5" s="112"/>
      <c r="H5" s="111"/>
    </row>
    <row r="6" spans="1:11" ht="18">
      <c r="B6" s="78" t="s">
        <v>106</v>
      </c>
      <c r="H6" s="113"/>
    </row>
    <row r="7" spans="1:11" ht="16.05" customHeight="1" thickBot="1">
      <c r="A7" s="17"/>
      <c r="B7" s="17"/>
      <c r="C7" s="17"/>
      <c r="D7" s="17"/>
      <c r="E7" s="17"/>
      <c r="F7" s="17"/>
      <c r="G7" s="17"/>
      <c r="H7" s="17"/>
      <c r="I7" s="17"/>
      <c r="J7" s="17"/>
      <c r="K7" s="17"/>
    </row>
    <row r="8" spans="1:11" ht="16.05" customHeight="1">
      <c r="A8" s="17"/>
      <c r="B8" s="185" t="s">
        <v>107</v>
      </c>
      <c r="C8" s="186"/>
      <c r="D8" s="186"/>
      <c r="E8" s="186"/>
      <c r="F8" s="186"/>
      <c r="G8" s="186"/>
      <c r="H8" s="186"/>
      <c r="I8" s="186"/>
      <c r="J8" s="186"/>
      <c r="K8" s="187"/>
    </row>
    <row r="9" spans="1:11">
      <c r="A9" s="17"/>
      <c r="B9" s="188"/>
      <c r="C9" s="179"/>
      <c r="D9" s="179"/>
      <c r="E9" s="179"/>
      <c r="F9" s="179"/>
      <c r="G9" s="179"/>
      <c r="H9" s="179"/>
      <c r="I9" s="179"/>
      <c r="J9" s="179"/>
      <c r="K9" s="189"/>
    </row>
    <row r="10" spans="1:11">
      <c r="A10" s="17"/>
      <c r="B10" s="188"/>
      <c r="C10" s="179"/>
      <c r="D10" s="179"/>
      <c r="E10" s="179"/>
      <c r="F10" s="179"/>
      <c r="G10" s="179"/>
      <c r="H10" s="179"/>
      <c r="I10" s="179"/>
      <c r="J10" s="179"/>
      <c r="K10" s="189"/>
    </row>
    <row r="11" spans="1:11">
      <c r="A11" s="17"/>
      <c r="B11" s="114"/>
      <c r="C11" s="121"/>
      <c r="D11" s="121"/>
      <c r="E11" s="121"/>
      <c r="F11" s="121"/>
      <c r="G11" s="121"/>
      <c r="H11" s="121"/>
      <c r="I11" s="17"/>
      <c r="J11" s="17"/>
      <c r="K11" s="36"/>
    </row>
    <row r="12" spans="1:11">
      <c r="A12" s="17"/>
      <c r="B12" s="114"/>
      <c r="C12" s="119" t="s">
        <v>84</v>
      </c>
      <c r="D12" s="191" t="s">
        <v>108</v>
      </c>
      <c r="E12" s="191"/>
      <c r="F12" s="121"/>
      <c r="G12" s="121"/>
      <c r="H12" s="121"/>
      <c r="I12" s="17"/>
      <c r="J12" s="17"/>
      <c r="K12" s="36"/>
    </row>
    <row r="13" spans="1:11">
      <c r="A13" s="17"/>
      <c r="B13" s="114"/>
      <c r="C13" s="119" t="s">
        <v>85</v>
      </c>
      <c r="D13" s="191" t="s">
        <v>100</v>
      </c>
      <c r="E13" s="191"/>
      <c r="F13" s="121"/>
      <c r="G13" s="121"/>
      <c r="H13" s="121"/>
      <c r="I13" s="17"/>
      <c r="J13" s="17"/>
      <c r="K13" s="36"/>
    </row>
    <row r="14" spans="1:11">
      <c r="A14" s="17"/>
      <c r="B14" s="114"/>
      <c r="C14" s="119" t="s">
        <v>109</v>
      </c>
      <c r="D14" s="191" t="s">
        <v>110</v>
      </c>
      <c r="E14" s="191"/>
      <c r="F14" s="121"/>
      <c r="G14" s="121"/>
      <c r="H14" s="121"/>
      <c r="I14" s="17"/>
      <c r="J14" s="17"/>
      <c r="K14" s="36"/>
    </row>
    <row r="15" spans="1:11">
      <c r="A15" s="17"/>
      <c r="B15" s="114"/>
      <c r="C15" s="119" t="s">
        <v>111</v>
      </c>
      <c r="D15" s="192" t="s">
        <v>112</v>
      </c>
      <c r="E15" s="192"/>
      <c r="F15" s="121"/>
      <c r="G15" s="121"/>
      <c r="H15" s="121"/>
      <c r="I15" s="17"/>
      <c r="J15" s="17"/>
      <c r="K15" s="36"/>
    </row>
    <row r="16" spans="1:11">
      <c r="A16" s="17"/>
      <c r="B16" s="114"/>
      <c r="C16" s="119" t="s">
        <v>96</v>
      </c>
      <c r="D16" s="193">
        <v>3000</v>
      </c>
      <c r="E16" s="193"/>
      <c r="F16" s="121"/>
      <c r="G16" s="121"/>
      <c r="H16" s="121"/>
      <c r="I16" s="17"/>
      <c r="J16" s="17"/>
      <c r="K16" s="36"/>
    </row>
    <row r="17" spans="1:11">
      <c r="A17" s="17"/>
      <c r="B17" s="114"/>
      <c r="C17" s="119" t="s">
        <v>113</v>
      </c>
      <c r="D17" s="194">
        <v>43830</v>
      </c>
      <c r="E17" s="194"/>
      <c r="F17" s="121"/>
      <c r="G17" s="121"/>
      <c r="H17" s="121"/>
      <c r="I17" s="17"/>
      <c r="J17" s="17"/>
      <c r="K17" s="36"/>
    </row>
    <row r="18" spans="1:11">
      <c r="A18" s="17"/>
      <c r="B18" s="22"/>
      <c r="C18" s="119" t="s">
        <v>88</v>
      </c>
      <c r="D18" s="194">
        <v>44196</v>
      </c>
      <c r="E18" s="194"/>
      <c r="F18" s="17"/>
      <c r="G18" s="17"/>
      <c r="H18" s="17"/>
      <c r="I18" s="17"/>
      <c r="J18" s="17"/>
      <c r="K18" s="36"/>
    </row>
    <row r="19" spans="1:11" ht="16.05" customHeight="1">
      <c r="A19" s="17"/>
      <c r="B19" s="115"/>
      <c r="C19" s="17"/>
      <c r="D19" s="17"/>
      <c r="E19" s="17"/>
      <c r="F19" s="17"/>
      <c r="G19" s="17"/>
      <c r="H19" s="17"/>
      <c r="I19" s="17"/>
      <c r="J19" s="17"/>
      <c r="K19" s="36"/>
    </row>
    <row r="20" spans="1:11" ht="16.05" customHeight="1">
      <c r="A20" s="17"/>
      <c r="B20" s="188" t="s">
        <v>114</v>
      </c>
      <c r="C20" s="179"/>
      <c r="D20" s="179"/>
      <c r="E20" s="179"/>
      <c r="F20" s="179"/>
      <c r="G20" s="179"/>
      <c r="H20" s="179"/>
      <c r="I20" s="179"/>
      <c r="J20" s="179"/>
      <c r="K20" s="189"/>
    </row>
    <row r="21" spans="1:11">
      <c r="A21" s="17"/>
      <c r="B21" s="188"/>
      <c r="C21" s="179"/>
      <c r="D21" s="179"/>
      <c r="E21" s="179"/>
      <c r="F21" s="179"/>
      <c r="G21" s="179"/>
      <c r="H21" s="179"/>
      <c r="I21" s="179"/>
      <c r="J21" s="179"/>
      <c r="K21" s="189"/>
    </row>
    <row r="22" spans="1:11" ht="16.05" customHeight="1">
      <c r="A22" s="17"/>
      <c r="B22" s="115"/>
      <c r="C22" s="122"/>
      <c r="D22" s="123"/>
      <c r="E22" s="17"/>
      <c r="F22" s="17"/>
      <c r="G22" s="17"/>
      <c r="H22" s="17"/>
      <c r="I22" s="17"/>
      <c r="J22" s="17"/>
      <c r="K22" s="36"/>
    </row>
    <row r="23" spans="1:11">
      <c r="A23" s="17"/>
      <c r="B23" s="115"/>
      <c r="C23" s="190" t="s">
        <v>115</v>
      </c>
      <c r="D23" s="190"/>
      <c r="E23" s="17"/>
      <c r="F23" s="17"/>
      <c r="G23" s="17"/>
      <c r="H23" s="17"/>
      <c r="I23" s="17"/>
      <c r="J23" s="17"/>
      <c r="K23" s="36"/>
    </row>
    <row r="24" spans="1:11">
      <c r="A24" s="17"/>
      <c r="B24" s="115"/>
      <c r="C24" s="116">
        <v>43991</v>
      </c>
      <c r="D24" s="117">
        <v>3011.44</v>
      </c>
      <c r="E24" s="17"/>
      <c r="F24" s="17"/>
      <c r="G24" s="17"/>
      <c r="H24" s="17"/>
      <c r="I24" s="17"/>
      <c r="J24" s="17"/>
      <c r="K24" s="36"/>
    </row>
    <row r="25" spans="1:11">
      <c r="A25" s="17"/>
      <c r="B25" s="115"/>
      <c r="C25" s="122"/>
      <c r="D25" s="123"/>
      <c r="E25" s="17"/>
      <c r="F25" s="17"/>
      <c r="G25" s="17"/>
      <c r="H25" s="17"/>
      <c r="I25" s="17"/>
      <c r="J25" s="17"/>
      <c r="K25" s="36"/>
    </row>
    <row r="26" spans="1:11">
      <c r="A26" s="17"/>
      <c r="B26" s="115"/>
      <c r="C26" s="122" t="s">
        <v>116</v>
      </c>
      <c r="D26" s="123"/>
      <c r="E26" s="17"/>
      <c r="F26" s="17"/>
      <c r="G26" s="17"/>
      <c r="H26" s="17"/>
      <c r="I26" s="17"/>
      <c r="J26" s="17"/>
      <c r="K26" s="36"/>
    </row>
    <row r="27" spans="1:11">
      <c r="A27" s="17"/>
      <c r="B27" s="115"/>
      <c r="C27" s="122"/>
      <c r="D27" s="123"/>
      <c r="E27" s="17"/>
      <c r="F27" s="17"/>
      <c r="G27" s="17"/>
      <c r="H27" s="17"/>
      <c r="I27" s="17"/>
      <c r="J27" s="17"/>
      <c r="K27" s="36"/>
    </row>
    <row r="28" spans="1:11" ht="16.2" thickBot="1">
      <c r="A28" s="17"/>
      <c r="B28" s="38"/>
      <c r="C28" s="39"/>
      <c r="D28" s="39"/>
      <c r="E28" s="39"/>
      <c r="F28" s="39"/>
      <c r="G28" s="39"/>
      <c r="H28" s="39"/>
      <c r="I28" s="39"/>
      <c r="J28" s="39"/>
      <c r="K28" s="40"/>
    </row>
    <row r="31" spans="1:11" ht="21">
      <c r="B31" s="75" t="s">
        <v>102</v>
      </c>
    </row>
    <row r="35" spans="2:18">
      <c r="B35" s="180" t="s">
        <v>101</v>
      </c>
      <c r="C35" s="181"/>
      <c r="D35" s="181"/>
      <c r="E35" s="181"/>
      <c r="F35" s="181"/>
      <c r="G35" s="181"/>
      <c r="H35" s="182"/>
      <c r="I35" s="183" t="s">
        <v>103</v>
      </c>
      <c r="J35" s="183"/>
      <c r="K35" s="183"/>
      <c r="L35" s="183"/>
      <c r="M35" s="183"/>
      <c r="N35" s="183"/>
      <c r="O35" s="184" t="s">
        <v>104</v>
      </c>
      <c r="P35" s="184"/>
      <c r="Q35" s="184"/>
      <c r="R35" s="184"/>
    </row>
    <row r="36" spans="2:18" ht="52.8">
      <c r="B36" s="104" t="s">
        <v>84</v>
      </c>
      <c r="C36" s="104" t="s">
        <v>85</v>
      </c>
      <c r="D36" s="104" t="s">
        <v>86</v>
      </c>
      <c r="E36" s="104" t="s">
        <v>88</v>
      </c>
      <c r="F36" s="104" t="s">
        <v>89</v>
      </c>
      <c r="G36" s="104" t="s">
        <v>94</v>
      </c>
      <c r="H36" s="104" t="s">
        <v>96</v>
      </c>
      <c r="I36" s="105" t="s">
        <v>90</v>
      </c>
      <c r="J36" s="105" t="s">
        <v>91</v>
      </c>
      <c r="K36" s="106" t="s">
        <v>92</v>
      </c>
      <c r="L36" s="106" t="s">
        <v>87</v>
      </c>
      <c r="M36" s="105" t="s">
        <v>93</v>
      </c>
      <c r="N36" s="105" t="s">
        <v>95</v>
      </c>
      <c r="O36" s="107" t="s">
        <v>97</v>
      </c>
      <c r="P36" s="107" t="s">
        <v>42</v>
      </c>
      <c r="Q36" s="108" t="s">
        <v>98</v>
      </c>
      <c r="R36" s="110" t="s">
        <v>99</v>
      </c>
    </row>
    <row r="37" spans="2:18">
      <c r="B37" s="93" t="str">
        <f>D12</f>
        <v>FW75301</v>
      </c>
      <c r="C37" s="93" t="str">
        <f>D13</f>
        <v>Compra</v>
      </c>
      <c r="D37" s="94">
        <f>C24</f>
        <v>43991</v>
      </c>
      <c r="E37" s="94">
        <f>D18</f>
        <v>44196</v>
      </c>
      <c r="F37" s="95">
        <v>0</v>
      </c>
      <c r="G37" s="101">
        <v>1000000</v>
      </c>
      <c r="H37" s="100">
        <f>D16</f>
        <v>3000</v>
      </c>
      <c r="I37" s="94">
        <f>+E37+F37</f>
        <v>44196</v>
      </c>
      <c r="J37" s="96">
        <f>+I37-D37</f>
        <v>205</v>
      </c>
      <c r="K37" s="97">
        <v>0</v>
      </c>
      <c r="L37" s="120">
        <f>D24</f>
        <v>3011.44</v>
      </c>
      <c r="M37" s="97">
        <f>L37+K37</f>
        <v>3011.44</v>
      </c>
      <c r="N37" s="98">
        <f>+G37*M37</f>
        <v>3011440000</v>
      </c>
      <c r="O37" s="100">
        <f>+H37*G37</f>
        <v>3000000000</v>
      </c>
      <c r="P37" s="102">
        <v>4.1236279016465538E-4</v>
      </c>
      <c r="Q37" s="99">
        <f>PV(P37,J37,,-O37)</f>
        <v>2756868244.098681</v>
      </c>
      <c r="R37" s="109">
        <f>N37-Q37</f>
        <v>254571755.90131903</v>
      </c>
    </row>
    <row r="39" spans="2:18">
      <c r="P39" s="5"/>
    </row>
    <row r="46" spans="2:18">
      <c r="M46" s="26"/>
    </row>
  </sheetData>
  <mergeCells count="13">
    <mergeCell ref="B35:H35"/>
    <mergeCell ref="I35:N35"/>
    <mergeCell ref="O35:R35"/>
    <mergeCell ref="B8:K10"/>
    <mergeCell ref="B20:K21"/>
    <mergeCell ref="C23:D23"/>
    <mergeCell ref="D12:E12"/>
    <mergeCell ref="D13:E13"/>
    <mergeCell ref="D14:E14"/>
    <mergeCell ref="D15:E15"/>
    <mergeCell ref="D16:E16"/>
    <mergeCell ref="D17:E17"/>
    <mergeCell ref="D18:E1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B3:I63"/>
  <sheetViews>
    <sheetView showGridLines="0" topLeftCell="A52" zoomScale="150" workbookViewId="0">
      <selection activeCell="G42" sqref="G42:G45"/>
    </sheetView>
  </sheetViews>
  <sheetFormatPr baseColWidth="10" defaultRowHeight="15.6"/>
  <cols>
    <col min="2" max="2" width="20" customWidth="1"/>
    <col min="3" max="3" width="21.5" customWidth="1"/>
    <col min="4" max="4" width="16.69921875" customWidth="1"/>
    <col min="5" max="5" width="20.19921875" customWidth="1"/>
    <col min="6" max="6" width="11.69921875" bestFit="1" customWidth="1"/>
    <col min="7" max="7" width="12.5" bestFit="1" customWidth="1"/>
    <col min="8" max="8" width="14.19921875" customWidth="1"/>
  </cols>
  <sheetData>
    <row r="3" spans="2:8" ht="21">
      <c r="B3" s="75" t="s">
        <v>117</v>
      </c>
    </row>
    <row r="5" spans="2:8">
      <c r="B5" s="124"/>
      <c r="C5" s="124"/>
      <c r="D5" s="124"/>
      <c r="E5" s="124"/>
      <c r="F5" s="124"/>
      <c r="G5" s="124"/>
      <c r="H5" s="124"/>
    </row>
    <row r="6" spans="2:8">
      <c r="B6" s="198" t="s">
        <v>118</v>
      </c>
      <c r="C6" s="199"/>
      <c r="D6" s="199"/>
      <c r="E6" s="199"/>
      <c r="F6" s="199"/>
      <c r="G6" s="199"/>
      <c r="H6" s="200"/>
    </row>
    <row r="7" spans="2:8">
      <c r="B7" s="201"/>
      <c r="C7" s="202"/>
      <c r="D7" s="202"/>
      <c r="E7" s="202"/>
      <c r="F7" s="202"/>
      <c r="G7" s="202"/>
      <c r="H7" s="203"/>
    </row>
    <row r="8" spans="2:8">
      <c r="B8" s="201"/>
      <c r="C8" s="202"/>
      <c r="D8" s="202"/>
      <c r="E8" s="202"/>
      <c r="F8" s="202"/>
      <c r="G8" s="202"/>
      <c r="H8" s="203"/>
    </row>
    <row r="9" spans="2:8">
      <c r="B9" s="201"/>
      <c r="C9" s="202"/>
      <c r="D9" s="202"/>
      <c r="E9" s="202"/>
      <c r="F9" s="202"/>
      <c r="G9" s="202"/>
      <c r="H9" s="203"/>
    </row>
    <row r="10" spans="2:8">
      <c r="B10" s="201"/>
      <c r="C10" s="202"/>
      <c r="D10" s="202"/>
      <c r="E10" s="202"/>
      <c r="F10" s="202"/>
      <c r="G10" s="202"/>
      <c r="H10" s="203"/>
    </row>
    <row r="11" spans="2:8">
      <c r="B11" s="201"/>
      <c r="C11" s="202"/>
      <c r="D11" s="202"/>
      <c r="E11" s="202"/>
      <c r="F11" s="202"/>
      <c r="G11" s="202"/>
      <c r="H11" s="203"/>
    </row>
    <row r="12" spans="2:8">
      <c r="B12" s="201"/>
      <c r="C12" s="202"/>
      <c r="D12" s="202"/>
      <c r="E12" s="202"/>
      <c r="F12" s="202"/>
      <c r="G12" s="202"/>
      <c r="H12" s="203"/>
    </row>
    <row r="13" spans="2:8">
      <c r="B13" s="201"/>
      <c r="C13" s="202"/>
      <c r="D13" s="202"/>
      <c r="E13" s="202"/>
      <c r="F13" s="202"/>
      <c r="G13" s="202"/>
      <c r="H13" s="203"/>
    </row>
    <row r="14" spans="2:8">
      <c r="B14" s="204"/>
      <c r="C14" s="205"/>
      <c r="D14" s="205"/>
      <c r="E14" s="205"/>
      <c r="F14" s="205"/>
      <c r="G14" s="205"/>
      <c r="H14" s="206"/>
    </row>
    <row r="15" spans="2:8">
      <c r="B15" s="125"/>
      <c r="C15" s="125"/>
      <c r="D15" s="125"/>
      <c r="E15" s="125"/>
      <c r="F15" s="125"/>
      <c r="G15" s="125"/>
      <c r="H15" s="125"/>
    </row>
    <row r="16" spans="2:8" ht="16.05" customHeight="1">
      <c r="B16" s="196" t="s">
        <v>119</v>
      </c>
      <c r="C16" s="196"/>
      <c r="D16" s="196"/>
      <c r="E16" s="196"/>
      <c r="F16" s="196"/>
      <c r="G16" s="196"/>
      <c r="H16" s="196"/>
    </row>
    <row r="17" spans="2:8">
      <c r="B17" s="197"/>
      <c r="C17" s="197"/>
      <c r="D17" s="197"/>
      <c r="E17" s="197"/>
      <c r="F17" s="197"/>
      <c r="G17" s="197"/>
      <c r="H17" s="197"/>
    </row>
    <row r="18" spans="2:8">
      <c r="B18" s="197"/>
      <c r="C18" s="197"/>
      <c r="D18" s="197"/>
      <c r="E18" s="197"/>
      <c r="F18" s="197"/>
      <c r="G18" s="197"/>
      <c r="H18" s="197"/>
    </row>
    <row r="19" spans="2:8">
      <c r="B19" s="72"/>
      <c r="C19" s="72"/>
      <c r="D19" s="72"/>
      <c r="E19" s="72"/>
      <c r="F19" s="72"/>
      <c r="G19" s="72"/>
      <c r="H19" s="72"/>
    </row>
    <row r="20" spans="2:8">
      <c r="B20" s="127" t="s">
        <v>120</v>
      </c>
      <c r="C20" s="127" t="s">
        <v>121</v>
      </c>
      <c r="D20" s="128"/>
      <c r="E20" s="126"/>
      <c r="F20" s="126"/>
      <c r="G20" s="126"/>
      <c r="H20" s="126"/>
    </row>
    <row r="21" spans="2:8">
      <c r="B21" s="129">
        <v>2019</v>
      </c>
      <c r="C21" s="130">
        <v>125000000</v>
      </c>
      <c r="D21" s="131"/>
      <c r="E21" s="126"/>
      <c r="F21" s="126"/>
      <c r="G21" s="126"/>
      <c r="H21" s="126"/>
    </row>
    <row r="22" spans="2:8">
      <c r="B22" s="129">
        <v>2020</v>
      </c>
      <c r="C22" s="130">
        <v>105680000</v>
      </c>
      <c r="D22" s="131"/>
      <c r="E22" s="126"/>
      <c r="F22" s="126"/>
      <c r="G22" s="126"/>
      <c r="H22" s="126"/>
    </row>
    <row r="23" spans="2:8">
      <c r="B23" s="129">
        <v>2021</v>
      </c>
      <c r="C23" s="130">
        <v>97658000</v>
      </c>
      <c r="D23" s="131"/>
      <c r="E23" s="126"/>
      <c r="F23" s="126"/>
      <c r="G23" s="126"/>
      <c r="H23" s="126"/>
    </row>
    <row r="24" spans="2:8">
      <c r="B24" s="129">
        <v>2022</v>
      </c>
      <c r="C24" s="130">
        <v>89462800</v>
      </c>
      <c r="D24" s="131"/>
      <c r="E24" s="126"/>
      <c r="F24" s="126"/>
      <c r="G24" s="126"/>
      <c r="H24" s="126"/>
    </row>
    <row r="25" spans="2:8">
      <c r="B25" s="126"/>
      <c r="C25" s="132"/>
      <c r="D25" s="131"/>
      <c r="E25" s="126"/>
      <c r="F25" s="126"/>
      <c r="G25" s="126"/>
      <c r="H25" s="126"/>
    </row>
    <row r="26" spans="2:8" ht="49.95" customHeight="1">
      <c r="B26" s="207" t="s">
        <v>122</v>
      </c>
      <c r="C26" s="208"/>
      <c r="D26" s="208"/>
      <c r="E26" s="208"/>
      <c r="F26" s="208"/>
      <c r="G26" s="208"/>
      <c r="H26" s="209"/>
    </row>
    <row r="27" spans="2:8">
      <c r="B27" s="118"/>
      <c r="C27" s="118"/>
      <c r="D27" s="118"/>
      <c r="E27" s="118"/>
      <c r="F27" s="118"/>
      <c r="G27" s="118"/>
      <c r="H27" s="118"/>
    </row>
    <row r="28" spans="2:8" ht="33" customHeight="1">
      <c r="B28" s="210" t="s">
        <v>123</v>
      </c>
      <c r="C28" s="211"/>
      <c r="D28" s="211"/>
      <c r="E28" s="211"/>
      <c r="F28" s="211"/>
      <c r="G28" s="211"/>
      <c r="H28" s="212"/>
    </row>
    <row r="29" spans="2:8">
      <c r="B29" s="118"/>
      <c r="C29" s="118"/>
      <c r="D29" s="118"/>
      <c r="E29" s="118"/>
      <c r="F29" s="118"/>
      <c r="G29" s="118"/>
      <c r="H29" s="118"/>
    </row>
    <row r="30" spans="2:8">
      <c r="B30" s="4" t="s">
        <v>61</v>
      </c>
      <c r="C30" s="118"/>
      <c r="D30" s="118"/>
      <c r="E30" s="118"/>
      <c r="F30" s="118"/>
      <c r="G30" s="118"/>
      <c r="H30" s="118"/>
    </row>
    <row r="31" spans="2:8">
      <c r="B31" s="118"/>
      <c r="C31" s="118"/>
      <c r="D31" s="118"/>
      <c r="E31" s="118"/>
      <c r="F31" s="118"/>
      <c r="G31" s="118"/>
      <c r="H31" s="118"/>
    </row>
    <row r="32" spans="2:8" ht="88.05" customHeight="1">
      <c r="B32" s="210" t="s">
        <v>124</v>
      </c>
      <c r="C32" s="211"/>
      <c r="D32" s="211"/>
      <c r="E32" s="211"/>
      <c r="F32" s="211"/>
      <c r="G32" s="211"/>
      <c r="H32" s="212"/>
    </row>
    <row r="34" spans="2:9">
      <c r="B34" s="133" t="s">
        <v>125</v>
      </c>
    </row>
    <row r="36" spans="2:9">
      <c r="B36" s="134" t="s">
        <v>126</v>
      </c>
      <c r="C36" s="1" t="s">
        <v>127</v>
      </c>
      <c r="D36" s="135">
        <v>405000000</v>
      </c>
    </row>
    <row r="37" spans="2:9">
      <c r="B37" s="134" t="s">
        <v>128</v>
      </c>
      <c r="C37" s="1" t="s">
        <v>129</v>
      </c>
      <c r="D37" s="135">
        <f>+D36*10%</f>
        <v>40500000</v>
      </c>
    </row>
    <row r="38" spans="2:9">
      <c r="B38" s="136" t="s">
        <v>130</v>
      </c>
      <c r="C38" s="137" t="s">
        <v>131</v>
      </c>
      <c r="D38" s="138">
        <f>+D36-D37</f>
        <v>364500000</v>
      </c>
    </row>
    <row r="40" spans="2:9">
      <c r="B40" s="139" t="s">
        <v>143</v>
      </c>
    </row>
    <row r="41" spans="2:9">
      <c r="B41" s="139"/>
    </row>
    <row r="42" spans="2:9" ht="31.2">
      <c r="B42" s="140" t="s">
        <v>120</v>
      </c>
      <c r="C42" s="141" t="s">
        <v>132</v>
      </c>
      <c r="D42" s="141" t="s">
        <v>142</v>
      </c>
      <c r="E42" s="141" t="s">
        <v>133</v>
      </c>
      <c r="F42" s="142"/>
      <c r="G42" s="172"/>
      <c r="H42" s="142"/>
      <c r="I42" s="142"/>
    </row>
    <row r="43" spans="2:9">
      <c r="B43" s="143">
        <v>2019</v>
      </c>
      <c r="C43" s="130">
        <v>125000000</v>
      </c>
      <c r="D43" s="144">
        <v>0.20280000000000001</v>
      </c>
      <c r="E43" s="145">
        <f>PV(D43,1,,-C43)</f>
        <v>103924176.92051879</v>
      </c>
      <c r="G43" s="173"/>
    </row>
    <row r="44" spans="2:9">
      <c r="B44" s="143">
        <v>2020</v>
      </c>
      <c r="C44" s="130">
        <v>105680000</v>
      </c>
      <c r="D44" s="144">
        <v>0.20280000000000001</v>
      </c>
      <c r="E44" s="145">
        <f>PV(D44,2,,-C44)</f>
        <v>73047602.374196365</v>
      </c>
      <c r="G44" s="173"/>
    </row>
    <row r="45" spans="2:9">
      <c r="B45" s="143">
        <v>2021</v>
      </c>
      <c r="C45" s="130">
        <v>97658000</v>
      </c>
      <c r="D45" s="144">
        <v>0.20280000000000001</v>
      </c>
      <c r="E45" s="145">
        <f>PV(D45,3,,-C45)</f>
        <v>56121279.975943618</v>
      </c>
      <c r="G45" s="173"/>
    </row>
    <row r="46" spans="2:9">
      <c r="B46" s="143" t="s">
        <v>156</v>
      </c>
      <c r="C46" s="130">
        <f>89462800+255000000</f>
        <v>344462800</v>
      </c>
      <c r="D46" s="144">
        <v>0.20280000000000001</v>
      </c>
      <c r="E46" s="145">
        <f>PV(D46,4,,-C46)</f>
        <v>164576813.65230387</v>
      </c>
      <c r="G46" s="173"/>
    </row>
    <row r="47" spans="2:9">
      <c r="B47" s="213" t="s">
        <v>134</v>
      </c>
      <c r="C47" s="213"/>
      <c r="D47" s="213"/>
      <c r="E47" s="146">
        <f>SUM(E43:E46)</f>
        <v>397669872.92296267</v>
      </c>
      <c r="G47" s="173"/>
    </row>
    <row r="50" spans="2:6">
      <c r="B50" s="139" t="s">
        <v>144</v>
      </c>
      <c r="E50" s="103">
        <f>NPV(D43,C43:C46)</f>
        <v>397669872.92296267</v>
      </c>
      <c r="F50" s="151"/>
    </row>
    <row r="52" spans="2:6">
      <c r="B52" s="4" t="s">
        <v>135</v>
      </c>
      <c r="E52" s="103"/>
    </row>
    <row r="53" spans="2:6">
      <c r="E53" s="150"/>
    </row>
    <row r="54" spans="2:6">
      <c r="B54" s="1" t="s">
        <v>136</v>
      </c>
      <c r="C54" s="147">
        <f>+E47</f>
        <v>397669872.92296267</v>
      </c>
      <c r="E54" s="103"/>
    </row>
    <row r="55" spans="2:6">
      <c r="B55" s="1" t="s">
        <v>137</v>
      </c>
      <c r="C55" s="148">
        <f>+D38</f>
        <v>364500000</v>
      </c>
    </row>
    <row r="56" spans="2:6">
      <c r="B56" s="195" t="s">
        <v>138</v>
      </c>
      <c r="C56" s="195"/>
      <c r="D56" s="148">
        <f>+C54</f>
        <v>397669872.92296267</v>
      </c>
    </row>
    <row r="58" spans="2:6">
      <c r="B58" t="s">
        <v>139</v>
      </c>
    </row>
    <row r="60" spans="2:6">
      <c r="B60" s="1" t="s">
        <v>140</v>
      </c>
      <c r="C60" s="135">
        <f>500000000-71500000</f>
        <v>428500000</v>
      </c>
    </row>
    <row r="61" spans="2:6">
      <c r="B61" s="1" t="s">
        <v>135</v>
      </c>
      <c r="C61" s="148">
        <f>+D56</f>
        <v>397669872.92296267</v>
      </c>
    </row>
    <row r="62" spans="2:6">
      <c r="B62" s="1" t="s">
        <v>141</v>
      </c>
      <c r="C62" s="148">
        <f>+C60-C61</f>
        <v>30830127.077037334</v>
      </c>
    </row>
    <row r="63" spans="2:6">
      <c r="D63" s="149"/>
    </row>
  </sheetData>
  <mergeCells count="7">
    <mergeCell ref="B56:C56"/>
    <mergeCell ref="B16:H18"/>
    <mergeCell ref="B6:H14"/>
    <mergeCell ref="B26:H26"/>
    <mergeCell ref="B28:H28"/>
    <mergeCell ref="B32:H32"/>
    <mergeCell ref="B47:D47"/>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B3:I79"/>
  <sheetViews>
    <sheetView showGridLines="0" zoomScale="144" workbookViewId="0">
      <selection activeCell="B3" sqref="B3"/>
    </sheetView>
  </sheetViews>
  <sheetFormatPr baseColWidth="10" defaultRowHeight="15.6"/>
  <cols>
    <col min="3" max="3" width="22.296875" customWidth="1"/>
    <col min="4" max="4" width="17.796875" customWidth="1"/>
    <col min="6" max="6" width="16" customWidth="1"/>
    <col min="7" max="7" width="18.5" customWidth="1"/>
    <col min="8" max="8" width="13.69921875" customWidth="1"/>
    <col min="9" max="9" width="13.796875" customWidth="1"/>
    <col min="11" max="12" width="10.796875" customWidth="1"/>
    <col min="14" max="14" width="11.19921875" bestFit="1" customWidth="1"/>
  </cols>
  <sheetData>
    <row r="3" spans="2:8" ht="21">
      <c r="B3" s="171" t="s">
        <v>155</v>
      </c>
    </row>
    <row r="5" spans="2:8" ht="16.2" thickBot="1"/>
    <row r="6" spans="2:8">
      <c r="B6" s="214" t="s">
        <v>153</v>
      </c>
      <c r="C6" s="215"/>
      <c r="D6" s="215"/>
      <c r="E6" s="215"/>
      <c r="F6" s="215"/>
      <c r="G6" s="215"/>
      <c r="H6" s="216"/>
    </row>
    <row r="7" spans="2:8">
      <c r="B7" s="217"/>
      <c r="C7" s="218"/>
      <c r="D7" s="218"/>
      <c r="E7" s="218"/>
      <c r="F7" s="218"/>
      <c r="G7" s="218"/>
      <c r="H7" s="219"/>
    </row>
    <row r="8" spans="2:8" ht="16.2" thickBot="1">
      <c r="B8" s="220"/>
      <c r="C8" s="221"/>
      <c r="D8" s="221"/>
      <c r="E8" s="221"/>
      <c r="F8" s="221"/>
      <c r="G8" s="221"/>
      <c r="H8" s="222"/>
    </row>
    <row r="9" spans="2:8">
      <c r="B9" s="79"/>
      <c r="C9" s="79"/>
      <c r="D9" s="79"/>
      <c r="E9" s="79"/>
      <c r="F9" s="79"/>
      <c r="G9" s="79"/>
      <c r="H9" s="79"/>
    </row>
    <row r="10" spans="2:8">
      <c r="B10" s="152" t="s">
        <v>145</v>
      </c>
      <c r="C10" s="79"/>
      <c r="D10" s="79"/>
      <c r="E10" s="79"/>
      <c r="H10" s="79"/>
    </row>
    <row r="11" spans="2:8" ht="16.2" thickBot="1">
      <c r="B11" s="79"/>
      <c r="C11" s="79"/>
      <c r="D11" s="79"/>
      <c r="E11" s="79"/>
      <c r="F11" s="79"/>
      <c r="G11" s="79"/>
      <c r="H11" s="79"/>
    </row>
    <row r="12" spans="2:8">
      <c r="C12" s="153" t="s">
        <v>146</v>
      </c>
      <c r="D12" s="167">
        <v>200000000</v>
      </c>
      <c r="E12" s="79"/>
      <c r="F12" s="170" t="s">
        <v>75</v>
      </c>
      <c r="G12" s="165">
        <f>PMT(D16,D13,-D12,)</f>
        <v>4296975.9373667631</v>
      </c>
      <c r="H12" s="79"/>
    </row>
    <row r="13" spans="2:8">
      <c r="C13" s="154" t="s">
        <v>147</v>
      </c>
      <c r="D13" s="168">
        <f>5*12</f>
        <v>60</v>
      </c>
      <c r="E13" s="79"/>
      <c r="F13" s="170" t="s">
        <v>66</v>
      </c>
      <c r="G13" s="166">
        <f>PV(D14,D13,-G12)</f>
        <v>162014716.96629435</v>
      </c>
      <c r="H13" s="79"/>
    </row>
    <row r="14" spans="2:8">
      <c r="C14" s="154" t="s">
        <v>150</v>
      </c>
      <c r="D14" s="169">
        <f>NOMINAL(22%,12)/12</f>
        <v>1.6708963873128146E-2</v>
      </c>
      <c r="E14" s="79"/>
      <c r="F14" s="79"/>
      <c r="G14" s="79"/>
      <c r="H14" s="79"/>
    </row>
    <row r="15" spans="2:8">
      <c r="C15" s="154" t="s">
        <v>151</v>
      </c>
      <c r="D15" s="169">
        <f>NOMINAL(10%,12)/12</f>
        <v>7.9741404289037643E-3</v>
      </c>
      <c r="E15" s="79"/>
      <c r="F15" s="79"/>
      <c r="G15" s="79"/>
      <c r="H15" s="79"/>
    </row>
    <row r="16" spans="2:8">
      <c r="B16" s="79"/>
      <c r="C16" s="154" t="s">
        <v>152</v>
      </c>
      <c r="D16" s="169">
        <f>D14-D15</f>
        <v>8.7348234442243822E-3</v>
      </c>
      <c r="E16" s="79"/>
      <c r="F16" s="79"/>
      <c r="G16" s="79"/>
      <c r="H16" s="79"/>
    </row>
    <row r="17" spans="2:9">
      <c r="B17" s="79"/>
      <c r="C17" s="79"/>
      <c r="D17" s="79"/>
      <c r="E17" s="79"/>
      <c r="F17" s="79"/>
      <c r="G17" s="79"/>
      <c r="H17" s="79"/>
    </row>
    <row r="18" spans="2:9">
      <c r="B18" s="79"/>
      <c r="C18" s="162" t="s">
        <v>148</v>
      </c>
      <c r="D18" s="162" t="s">
        <v>11</v>
      </c>
      <c r="E18" s="162" t="s">
        <v>76</v>
      </c>
      <c r="F18" s="163" t="s">
        <v>149</v>
      </c>
      <c r="G18" s="163" t="s">
        <v>154</v>
      </c>
      <c r="H18" s="162" t="s">
        <v>75</v>
      </c>
      <c r="I18" s="164" t="s">
        <v>13</v>
      </c>
    </row>
    <row r="19" spans="2:9">
      <c r="B19" s="79"/>
      <c r="C19" s="155">
        <v>0</v>
      </c>
      <c r="D19" s="155"/>
      <c r="E19" s="156"/>
      <c r="F19" s="156"/>
      <c r="G19" s="156"/>
      <c r="H19" s="157"/>
      <c r="I19" s="158">
        <f>G13</f>
        <v>162014716.96629435</v>
      </c>
    </row>
    <row r="20" spans="2:9">
      <c r="B20" s="79"/>
      <c r="C20" s="159">
        <v>1</v>
      </c>
      <c r="D20" s="159">
        <f>I19</f>
        <v>162014716.96629435</v>
      </c>
      <c r="E20" s="156">
        <f>H20-F20</f>
        <v>2881805.9893001975</v>
      </c>
      <c r="F20" s="156">
        <f>D20*$D$16</f>
        <v>1415169.9480665657</v>
      </c>
      <c r="G20" s="156">
        <f>D20*$D$15</f>
        <v>1291928.1046383283</v>
      </c>
      <c r="H20" s="156">
        <f>$G$12</f>
        <v>4296975.9373667631</v>
      </c>
      <c r="I20" s="160">
        <f>+I19-E20+G20</f>
        <v>160424839.08163249</v>
      </c>
    </row>
    <row r="21" spans="2:9">
      <c r="B21" s="79"/>
      <c r="C21" s="161">
        <v>2</v>
      </c>
      <c r="D21" s="159">
        <f>I20</f>
        <v>160424839.08163249</v>
      </c>
      <c r="E21" s="156">
        <f>H21-F21</f>
        <v>2895693.2919205958</v>
      </c>
      <c r="F21" s="156">
        <f>D21*$D$16</f>
        <v>1401282.6454461673</v>
      </c>
      <c r="G21" s="156">
        <f t="shared" ref="G21:G79" si="0">D21*$D$15</f>
        <v>1279250.1951212264</v>
      </c>
      <c r="H21" s="156">
        <f t="shared" ref="H21:H79" si="1">$G$12</f>
        <v>4296975.9373667631</v>
      </c>
      <c r="I21" s="160">
        <f t="shared" ref="I21:I79" si="2">+I20-E21+G21</f>
        <v>158808395.98483312</v>
      </c>
    </row>
    <row r="22" spans="2:9">
      <c r="B22" s="79"/>
      <c r="C22" s="159">
        <v>3</v>
      </c>
      <c r="D22" s="159">
        <f t="shared" ref="D22:D79" si="3">I21</f>
        <v>158808395.98483312</v>
      </c>
      <c r="E22" s="156">
        <f t="shared" ref="E22:E79" si="4">H22-F22</f>
        <v>2909812.6369787734</v>
      </c>
      <c r="F22" s="156">
        <f t="shared" ref="F22:F79" si="5">D22*$D$16</f>
        <v>1387163.3003879895</v>
      </c>
      <c r="G22" s="156">
        <f t="shared" si="0"/>
        <v>1266360.4508720161</v>
      </c>
      <c r="H22" s="156">
        <f t="shared" si="1"/>
        <v>4296975.9373667631</v>
      </c>
      <c r="I22" s="160">
        <f t="shared" si="2"/>
        <v>157164943.79872635</v>
      </c>
    </row>
    <row r="23" spans="2:9">
      <c r="B23" s="79"/>
      <c r="C23" s="159">
        <f>C22+1</f>
        <v>4</v>
      </c>
      <c r="D23" s="159">
        <f t="shared" si="3"/>
        <v>157164943.79872635</v>
      </c>
      <c r="E23" s="156">
        <f t="shared" si="4"/>
        <v>2924167.9016634407</v>
      </c>
      <c r="F23" s="156">
        <f t="shared" si="5"/>
        <v>1372808.0357033224</v>
      </c>
      <c r="G23" s="156">
        <f t="shared" si="0"/>
        <v>1253255.3323518117</v>
      </c>
      <c r="H23" s="156">
        <f t="shared" si="1"/>
        <v>4296975.9373667631</v>
      </c>
      <c r="I23" s="160">
        <f t="shared" si="2"/>
        <v>155494031.2294147</v>
      </c>
    </row>
    <row r="24" spans="2:9">
      <c r="B24" s="79"/>
      <c r="C24" s="159">
        <f t="shared" ref="C24:C79" si="6">C23+1</f>
        <v>5</v>
      </c>
      <c r="D24" s="159">
        <f t="shared" si="3"/>
        <v>155494031.2294147</v>
      </c>
      <c r="E24" s="156">
        <f t="shared" si="4"/>
        <v>2938763.0279471134</v>
      </c>
      <c r="F24" s="156">
        <f t="shared" si="5"/>
        <v>1358212.9094196497</v>
      </c>
      <c r="G24" s="156">
        <f t="shared" si="0"/>
        <v>1239931.2408797003</v>
      </c>
      <c r="H24" s="156">
        <f t="shared" si="1"/>
        <v>4296975.9373667631</v>
      </c>
      <c r="I24" s="160">
        <f t="shared" si="2"/>
        <v>153795199.44234729</v>
      </c>
    </row>
    <row r="25" spans="2:9">
      <c r="B25" s="79"/>
      <c r="C25" s="159">
        <f t="shared" si="6"/>
        <v>6</v>
      </c>
      <c r="D25" s="159">
        <f t="shared" si="3"/>
        <v>153795199.44234729</v>
      </c>
      <c r="E25" s="156">
        <f t="shared" si="4"/>
        <v>2953602.0236685835</v>
      </c>
      <c r="F25" s="156">
        <f t="shared" si="5"/>
        <v>1343373.9136981796</v>
      </c>
      <c r="G25" s="156">
        <f t="shared" si="0"/>
        <v>1226384.5176445392</v>
      </c>
      <c r="H25" s="156">
        <f t="shared" si="1"/>
        <v>4296975.9373667631</v>
      </c>
      <c r="I25" s="160">
        <f t="shared" si="2"/>
        <v>152067981.93632323</v>
      </c>
    </row>
    <row r="26" spans="2:9">
      <c r="B26" s="79"/>
      <c r="C26" s="159">
        <f t="shared" si="6"/>
        <v>7</v>
      </c>
      <c r="D26" s="159">
        <f t="shared" si="3"/>
        <v>152067981.93632323</v>
      </c>
      <c r="E26" s="156">
        <f t="shared" si="4"/>
        <v>2968688.9636334772</v>
      </c>
      <c r="F26" s="156">
        <f t="shared" si="5"/>
        <v>1328286.9737332859</v>
      </c>
      <c r="G26" s="156">
        <f t="shared" si="0"/>
        <v>1212611.4427002424</v>
      </c>
      <c r="H26" s="156">
        <f t="shared" si="1"/>
        <v>4296975.9373667631</v>
      </c>
      <c r="I26" s="160">
        <f t="shared" si="2"/>
        <v>150311904.41538998</v>
      </c>
    </row>
    <row r="27" spans="2:9">
      <c r="B27" s="79"/>
      <c r="C27" s="159">
        <f t="shared" si="6"/>
        <v>8</v>
      </c>
      <c r="D27" s="159">
        <f t="shared" si="3"/>
        <v>150311904.41538998</v>
      </c>
      <c r="E27" s="156">
        <f t="shared" si="4"/>
        <v>2984027.9907332002</v>
      </c>
      <c r="F27" s="156">
        <f t="shared" si="5"/>
        <v>1312947.9466335629</v>
      </c>
      <c r="G27" s="156">
        <f t="shared" si="0"/>
        <v>1198608.2339442796</v>
      </c>
      <c r="H27" s="156">
        <f t="shared" si="1"/>
        <v>4296975.9373667631</v>
      </c>
      <c r="I27" s="160">
        <f t="shared" si="2"/>
        <v>148526484.65860105</v>
      </c>
    </row>
    <row r="28" spans="2:9">
      <c r="B28" s="79"/>
      <c r="C28" s="159">
        <f t="shared" si="6"/>
        <v>9</v>
      </c>
      <c r="D28" s="159">
        <f t="shared" si="3"/>
        <v>148526484.65860105</v>
      </c>
      <c r="E28" s="156">
        <f t="shared" si="4"/>
        <v>2999623.3170825816</v>
      </c>
      <c r="F28" s="156">
        <f t="shared" si="5"/>
        <v>1297352.6202841816</v>
      </c>
      <c r="G28" s="156">
        <f t="shared" si="0"/>
        <v>1184371.0460791052</v>
      </c>
      <c r="H28" s="156">
        <f t="shared" si="1"/>
        <v>4296975.9373667631</v>
      </c>
      <c r="I28" s="160">
        <f t="shared" si="2"/>
        <v>146711232.38759756</v>
      </c>
    </row>
    <row r="29" spans="2:9">
      <c r="B29" s="79"/>
      <c r="C29" s="159">
        <f t="shared" si="6"/>
        <v>10</v>
      </c>
      <c r="D29" s="159">
        <f t="shared" si="3"/>
        <v>146711232.38759756</v>
      </c>
      <c r="E29" s="156">
        <f t="shared" si="4"/>
        <v>3015479.2251765244</v>
      </c>
      <c r="F29" s="156">
        <f t="shared" si="5"/>
        <v>1281496.7121902388</v>
      </c>
      <c r="G29" s="156">
        <f t="shared" si="0"/>
        <v>1169895.9695562371</v>
      </c>
      <c r="H29" s="156">
        <f t="shared" si="1"/>
        <v>4296975.9373667631</v>
      </c>
      <c r="I29" s="160">
        <f t="shared" si="2"/>
        <v>144865649.13197729</v>
      </c>
    </row>
    <row r="30" spans="2:9">
      <c r="B30" s="79"/>
      <c r="C30" s="159">
        <f t="shared" si="6"/>
        <v>11</v>
      </c>
      <c r="D30" s="159">
        <f t="shared" si="3"/>
        <v>144865649.13197729</v>
      </c>
      <c r="E30" s="156">
        <f t="shared" si="4"/>
        <v>3031600.0690659843</v>
      </c>
      <c r="F30" s="156">
        <f t="shared" si="5"/>
        <v>1265375.8683007788</v>
      </c>
      <c r="G30" s="156">
        <f t="shared" si="0"/>
        <v>1155179.0295026875</v>
      </c>
      <c r="H30" s="156">
        <f t="shared" si="1"/>
        <v>4296975.9373667631</v>
      </c>
      <c r="I30" s="160">
        <f t="shared" si="2"/>
        <v>142989228.09241399</v>
      </c>
    </row>
    <row r="31" spans="2:9">
      <c r="B31" s="79"/>
      <c r="C31" s="159">
        <f t="shared" si="6"/>
        <v>12</v>
      </c>
      <c r="D31" s="159">
        <f t="shared" si="3"/>
        <v>142989228.09241399</v>
      </c>
      <c r="E31" s="156">
        <f t="shared" si="4"/>
        <v>3047990.2755535981</v>
      </c>
      <c r="F31" s="156">
        <f t="shared" si="5"/>
        <v>1248985.6618131653</v>
      </c>
      <c r="G31" s="156">
        <f t="shared" si="0"/>
        <v>1140216.1846294603</v>
      </c>
      <c r="H31" s="156">
        <f t="shared" si="1"/>
        <v>4296975.9373667631</v>
      </c>
      <c r="I31" s="160">
        <f t="shared" si="2"/>
        <v>141081454.00148988</v>
      </c>
    </row>
    <row r="32" spans="2:9">
      <c r="B32" s="79"/>
      <c r="C32" s="159">
        <f t="shared" si="6"/>
        <v>13</v>
      </c>
      <c r="D32" s="159">
        <f t="shared" si="3"/>
        <v>141081454.00148988</v>
      </c>
      <c r="E32" s="156">
        <f t="shared" si="4"/>
        <v>3064654.3454092853</v>
      </c>
      <c r="F32" s="156">
        <f t="shared" si="5"/>
        <v>1232321.5919574776</v>
      </c>
      <c r="G32" s="156">
        <f t="shared" si="0"/>
        <v>1125003.3261218071</v>
      </c>
      <c r="H32" s="156">
        <f t="shared" si="1"/>
        <v>4296975.9373667631</v>
      </c>
      <c r="I32" s="160">
        <f t="shared" si="2"/>
        <v>139141802.98220241</v>
      </c>
    </row>
    <row r="33" spans="2:9">
      <c r="B33" s="79"/>
      <c r="C33" s="159">
        <f t="shared" si="6"/>
        <v>14</v>
      </c>
      <c r="D33" s="159">
        <f t="shared" si="3"/>
        <v>139141802.98220241</v>
      </c>
      <c r="E33" s="156">
        <f t="shared" si="4"/>
        <v>3081596.8546061711</v>
      </c>
      <c r="F33" s="156">
        <f t="shared" si="5"/>
        <v>1215379.0827605918</v>
      </c>
      <c r="G33" s="156">
        <f t="shared" si="0"/>
        <v>1109536.2765109425</v>
      </c>
      <c r="H33" s="156">
        <f t="shared" si="1"/>
        <v>4296975.9373667631</v>
      </c>
      <c r="I33" s="160">
        <f t="shared" si="2"/>
        <v>137169742.40410718</v>
      </c>
    </row>
    <row r="34" spans="2:9">
      <c r="B34" s="79"/>
      <c r="C34" s="159">
        <f t="shared" si="6"/>
        <v>15</v>
      </c>
      <c r="D34" s="159">
        <f t="shared" si="3"/>
        <v>137169742.40410718</v>
      </c>
      <c r="E34" s="156">
        <f t="shared" si="4"/>
        <v>3098822.4555771481</v>
      </c>
      <c r="F34" s="156">
        <f t="shared" si="5"/>
        <v>1198153.4817896148</v>
      </c>
      <c r="G34" s="156">
        <f t="shared" si="0"/>
        <v>1093810.7885269062</v>
      </c>
      <c r="H34" s="156">
        <f t="shared" si="1"/>
        <v>4296975.9373667631</v>
      </c>
      <c r="I34" s="160">
        <f t="shared" si="2"/>
        <v>135164730.73705694</v>
      </c>
    </row>
    <row r="35" spans="2:9">
      <c r="B35" s="79"/>
      <c r="C35" s="159">
        <f t="shared" si="6"/>
        <v>16</v>
      </c>
      <c r="D35" s="159">
        <f t="shared" si="3"/>
        <v>135164730.73705694</v>
      </c>
      <c r="E35" s="156">
        <f t="shared" si="4"/>
        <v>3116335.878492442</v>
      </c>
      <c r="F35" s="156">
        <f t="shared" si="5"/>
        <v>1180640.0588743209</v>
      </c>
      <c r="G35" s="156">
        <f t="shared" si="0"/>
        <v>1077822.543932257</v>
      </c>
      <c r="H35" s="156">
        <f t="shared" si="1"/>
        <v>4296975.9373667631</v>
      </c>
      <c r="I35" s="160">
        <f t="shared" si="2"/>
        <v>133126217.40249676</v>
      </c>
    </row>
    <row r="36" spans="2:9">
      <c r="B36" s="79"/>
      <c r="C36" s="159">
        <f t="shared" si="6"/>
        <v>17</v>
      </c>
      <c r="D36" s="159">
        <f t="shared" si="3"/>
        <v>133126217.40249676</v>
      </c>
      <c r="E36" s="156">
        <f t="shared" si="4"/>
        <v>3134141.9325585226</v>
      </c>
      <c r="F36" s="156">
        <f t="shared" si="5"/>
        <v>1162834.0048082406</v>
      </c>
      <c r="G36" s="156">
        <f t="shared" si="0"/>
        <v>1061567.1523362813</v>
      </c>
      <c r="H36" s="156">
        <f t="shared" si="1"/>
        <v>4296975.9373667631</v>
      </c>
      <c r="I36" s="160">
        <f t="shared" si="2"/>
        <v>131053642.62227452</v>
      </c>
    </row>
    <row r="37" spans="2:9">
      <c r="B37" s="79"/>
      <c r="C37" s="159">
        <f t="shared" si="6"/>
        <v>18</v>
      </c>
      <c r="D37" s="159">
        <f t="shared" si="3"/>
        <v>131053642.62227452</v>
      </c>
      <c r="E37" s="156">
        <f t="shared" si="4"/>
        <v>3152245.5073387157</v>
      </c>
      <c r="F37" s="156">
        <f t="shared" si="5"/>
        <v>1144730.4300280472</v>
      </c>
      <c r="G37" s="156">
        <f t="shared" si="0"/>
        <v>1045040.1499893848</v>
      </c>
      <c r="H37" s="156">
        <f t="shared" si="1"/>
        <v>4296975.9373667631</v>
      </c>
      <c r="I37" s="160">
        <f t="shared" si="2"/>
        <v>128946437.26492518</v>
      </c>
    </row>
    <row r="38" spans="2:9">
      <c r="B38" s="79"/>
      <c r="C38" s="159">
        <f t="shared" si="6"/>
        <v>19</v>
      </c>
      <c r="D38" s="159">
        <f t="shared" si="3"/>
        <v>128946437.26492518</v>
      </c>
      <c r="E38" s="156">
        <f t="shared" si="4"/>
        <v>3170651.5740958862</v>
      </c>
      <c r="F38" s="156">
        <f t="shared" si="5"/>
        <v>1126324.3632708769</v>
      </c>
      <c r="G38" s="156">
        <f t="shared" si="0"/>
        <v>1028236.9985573428</v>
      </c>
      <c r="H38" s="156">
        <f t="shared" si="1"/>
        <v>4296975.9373667631</v>
      </c>
      <c r="I38" s="160">
        <f t="shared" si="2"/>
        <v>126804022.68938664</v>
      </c>
    </row>
    <row r="39" spans="2:9">
      <c r="B39" s="79"/>
      <c r="C39" s="159">
        <f t="shared" si="6"/>
        <v>20</v>
      </c>
      <c r="D39" s="159">
        <f t="shared" si="3"/>
        <v>126804022.68938664</v>
      </c>
      <c r="E39" s="156">
        <f t="shared" si="4"/>
        <v>3189365.187157548</v>
      </c>
      <c r="F39" s="156">
        <f t="shared" si="5"/>
        <v>1107610.7502092149</v>
      </c>
      <c r="G39" s="156">
        <f t="shared" si="0"/>
        <v>1011153.0838750682</v>
      </c>
      <c r="H39" s="156">
        <f t="shared" si="1"/>
        <v>4296975.9373667631</v>
      </c>
      <c r="I39" s="160">
        <f t="shared" si="2"/>
        <v>124625810.58610417</v>
      </c>
    </row>
    <row r="40" spans="2:9">
      <c r="B40" s="79"/>
      <c r="C40" s="159">
        <f t="shared" si="6"/>
        <v>21</v>
      </c>
      <c r="D40" s="159">
        <f t="shared" si="3"/>
        <v>124625810.58610417</v>
      </c>
      <c r="E40" s="156">
        <f t="shared" si="4"/>
        <v>3208391.4853037931</v>
      </c>
      <c r="F40" s="156">
        <f t="shared" si="5"/>
        <v>1088584.4520629698</v>
      </c>
      <c r="G40" s="156">
        <f t="shared" si="0"/>
        <v>993783.71467955597</v>
      </c>
      <c r="H40" s="156">
        <f t="shared" si="1"/>
        <v>4296975.9373667631</v>
      </c>
      <c r="I40" s="160">
        <f t="shared" si="2"/>
        <v>122411202.81547993</v>
      </c>
    </row>
    <row r="41" spans="2:9">
      <c r="B41" s="79"/>
      <c r="C41" s="159">
        <f t="shared" si="6"/>
        <v>22</v>
      </c>
      <c r="D41" s="159">
        <f t="shared" si="3"/>
        <v>122411202.81547993</v>
      </c>
      <c r="E41" s="156">
        <f t="shared" si="4"/>
        <v>3227735.6931784032</v>
      </c>
      <c r="F41" s="156">
        <f t="shared" si="5"/>
        <v>1069240.2441883599</v>
      </c>
      <c r="G41" s="156">
        <f t="shared" si="0"/>
        <v>976124.12132165686</v>
      </c>
      <c r="H41" s="156">
        <f t="shared" si="1"/>
        <v>4296975.9373667631</v>
      </c>
      <c r="I41" s="160">
        <f t="shared" si="2"/>
        <v>120159591.2436232</v>
      </c>
    </row>
    <row r="42" spans="2:9">
      <c r="B42" s="79"/>
      <c r="C42" s="159">
        <f t="shared" si="6"/>
        <v>23</v>
      </c>
      <c r="D42" s="159">
        <f t="shared" si="3"/>
        <v>120159591.2436232</v>
      </c>
      <c r="E42" s="156">
        <f t="shared" si="4"/>
        <v>3247403.1227235445</v>
      </c>
      <c r="F42" s="156">
        <f t="shared" si="5"/>
        <v>1049572.8146432186</v>
      </c>
      <c r="G42" s="156">
        <f t="shared" si="0"/>
        <v>958169.45445632644</v>
      </c>
      <c r="H42" s="156">
        <f t="shared" si="1"/>
        <v>4296975.9373667631</v>
      </c>
      <c r="I42" s="160">
        <f t="shared" si="2"/>
        <v>117870357.57535598</v>
      </c>
    </row>
    <row r="43" spans="2:9">
      <c r="B43" s="79"/>
      <c r="C43" s="159">
        <f t="shared" si="6"/>
        <v>24</v>
      </c>
      <c r="D43" s="159">
        <f t="shared" si="3"/>
        <v>117870357.57535598</v>
      </c>
      <c r="E43" s="156">
        <f t="shared" si="4"/>
        <v>3267399.1746384325</v>
      </c>
      <c r="F43" s="156">
        <f t="shared" si="5"/>
        <v>1029576.7627283304</v>
      </c>
      <c r="G43" s="156">
        <f t="shared" si="0"/>
        <v>939914.78371098917</v>
      </c>
      <c r="H43" s="156">
        <f t="shared" si="1"/>
        <v>4296975.9373667631</v>
      </c>
      <c r="I43" s="160">
        <f t="shared" si="2"/>
        <v>115542873.18442853</v>
      </c>
    </row>
    <row r="44" spans="2:9">
      <c r="B44" s="79"/>
      <c r="C44" s="159">
        <f t="shared" si="6"/>
        <v>25</v>
      </c>
      <c r="D44" s="159">
        <f t="shared" si="3"/>
        <v>115542873.18442853</v>
      </c>
      <c r="E44" s="156">
        <f t="shared" si="4"/>
        <v>3287729.3398623723</v>
      </c>
      <c r="F44" s="156">
        <f t="shared" si="5"/>
        <v>1009246.597504391</v>
      </c>
      <c r="G44" s="156">
        <f t="shared" si="0"/>
        <v>921355.09633165214</v>
      </c>
      <c r="H44" s="156">
        <f t="shared" si="1"/>
        <v>4296975.9373667631</v>
      </c>
      <c r="I44" s="160">
        <f t="shared" si="2"/>
        <v>113176498.94089781</v>
      </c>
    </row>
    <row r="45" spans="2:9">
      <c r="B45" s="79"/>
      <c r="C45" s="159">
        <f t="shared" si="6"/>
        <v>26</v>
      </c>
      <c r="D45" s="159">
        <f t="shared" si="3"/>
        <v>113176498.94089781</v>
      </c>
      <c r="E45" s="156">
        <f t="shared" si="4"/>
        <v>3308399.2010825733</v>
      </c>
      <c r="F45" s="156">
        <f t="shared" si="5"/>
        <v>988576.73628419009</v>
      </c>
      <c r="G45" s="156">
        <f t="shared" si="0"/>
        <v>902485.29580639722</v>
      </c>
      <c r="H45" s="156">
        <f t="shared" si="1"/>
        <v>4296975.9373667631</v>
      </c>
      <c r="I45" s="160">
        <f t="shared" si="2"/>
        <v>110770585.03562163</v>
      </c>
    </row>
    <row r="46" spans="2:9">
      <c r="B46" s="79"/>
      <c r="C46" s="159">
        <f t="shared" si="6"/>
        <v>27</v>
      </c>
      <c r="D46" s="159">
        <f t="shared" si="3"/>
        <v>110770585.03562163</v>
      </c>
      <c r="E46" s="156">
        <f t="shared" si="4"/>
        <v>3329414.4342671647</v>
      </c>
      <c r="F46" s="156">
        <f t="shared" si="5"/>
        <v>967561.50309959834</v>
      </c>
      <c r="G46" s="156">
        <f t="shared" si="0"/>
        <v>883300.20046587277</v>
      </c>
      <c r="H46" s="156">
        <f t="shared" si="1"/>
        <v>4296975.9373667631</v>
      </c>
      <c r="I46" s="160">
        <f t="shared" si="2"/>
        <v>108324470.80182034</v>
      </c>
    </row>
    <row r="47" spans="2:9">
      <c r="B47" s="79"/>
      <c r="C47" s="159">
        <f t="shared" si="6"/>
        <v>28</v>
      </c>
      <c r="D47" s="159">
        <f t="shared" si="3"/>
        <v>108324470.80182034</v>
      </c>
      <c r="E47" s="156">
        <f t="shared" si="4"/>
        <v>3350780.8102238234</v>
      </c>
      <c r="F47" s="156">
        <f t="shared" si="5"/>
        <v>946195.12714293983</v>
      </c>
      <c r="G47" s="156">
        <f t="shared" si="0"/>
        <v>863794.54206040094</v>
      </c>
      <c r="H47" s="156">
        <f t="shared" si="1"/>
        <v>4296975.9373667631</v>
      </c>
      <c r="I47" s="160">
        <f t="shared" si="2"/>
        <v>105837484.53365692</v>
      </c>
    </row>
    <row r="48" spans="2:9">
      <c r="B48" s="79"/>
      <c r="C48" s="159">
        <f t="shared" si="6"/>
        <v>29</v>
      </c>
      <c r="D48" s="159">
        <f t="shared" si="3"/>
        <v>105837484.53365692</v>
      </c>
      <c r="E48" s="156">
        <f t="shared" si="4"/>
        <v>3372504.1961844414</v>
      </c>
      <c r="F48" s="156">
        <f t="shared" si="5"/>
        <v>924471.74118232192</v>
      </c>
      <c r="G48" s="156">
        <f t="shared" si="0"/>
        <v>843962.96431331057</v>
      </c>
      <c r="H48" s="156">
        <f t="shared" si="1"/>
        <v>4296975.9373667631</v>
      </c>
      <c r="I48" s="160">
        <f t="shared" si="2"/>
        <v>103308943.3017858</v>
      </c>
    </row>
    <row r="49" spans="2:9">
      <c r="B49" s="79"/>
      <c r="C49" s="159">
        <f t="shared" si="6"/>
        <v>30</v>
      </c>
      <c r="D49" s="159">
        <f t="shared" si="3"/>
        <v>103308943.3017858</v>
      </c>
      <c r="E49" s="156">
        <f t="shared" si="4"/>
        <v>3394590.557416277</v>
      </c>
      <c r="F49" s="156">
        <f t="shared" si="5"/>
        <v>902385.37995048601</v>
      </c>
      <c r="G49" s="156">
        <f t="shared" si="0"/>
        <v>823800.02145009686</v>
      </c>
      <c r="H49" s="156">
        <f t="shared" si="1"/>
        <v>4296975.9373667631</v>
      </c>
      <c r="I49" s="160">
        <f t="shared" si="2"/>
        <v>100738152.76581962</v>
      </c>
    </row>
    <row r="50" spans="2:9">
      <c r="B50" s="79"/>
      <c r="C50" s="159">
        <f t="shared" si="6"/>
        <v>31</v>
      </c>
      <c r="D50" s="159">
        <f t="shared" si="3"/>
        <v>100738152.76581962</v>
      </c>
      <c r="E50" s="156">
        <f t="shared" si="4"/>
        <v>3417045.9588600248</v>
      </c>
      <c r="F50" s="156">
        <f t="shared" si="5"/>
        <v>879929.97850673855</v>
      </c>
      <c r="G50" s="156">
        <f t="shared" si="0"/>
        <v>803300.1767030058</v>
      </c>
      <c r="H50" s="156">
        <f t="shared" si="1"/>
        <v>4296975.9373667631</v>
      </c>
      <c r="I50" s="160">
        <f t="shared" si="2"/>
        <v>98124406.983662605</v>
      </c>
    </row>
    <row r="51" spans="2:9">
      <c r="B51" s="79"/>
      <c r="C51" s="159">
        <f t="shared" si="6"/>
        <v>32</v>
      </c>
      <c r="D51" s="159">
        <f t="shared" si="3"/>
        <v>98124406.983662605</v>
      </c>
      <c r="E51" s="156">
        <f t="shared" si="4"/>
        <v>3439876.5667952523</v>
      </c>
      <c r="F51" s="156">
        <f t="shared" si="5"/>
        <v>857099.37057151087</v>
      </c>
      <c r="G51" s="156">
        <f t="shared" si="0"/>
        <v>782457.80079063086</v>
      </c>
      <c r="H51" s="156">
        <f t="shared" si="1"/>
        <v>4296975.9373667631</v>
      </c>
      <c r="I51" s="160">
        <f t="shared" si="2"/>
        <v>95466988.217657983</v>
      </c>
    </row>
    <row r="52" spans="2:9">
      <c r="B52" s="79"/>
      <c r="C52" s="159">
        <f t="shared" si="6"/>
        <v>33</v>
      </c>
      <c r="D52" s="159">
        <f t="shared" si="3"/>
        <v>95466988.217657983</v>
      </c>
      <c r="E52" s="156">
        <f t="shared" si="4"/>
        <v>3463088.6505336715</v>
      </c>
      <c r="F52" s="156">
        <f t="shared" si="5"/>
        <v>833887.28683309187</v>
      </c>
      <c r="G52" s="156">
        <f t="shared" si="0"/>
        <v>761267.17037210579</v>
      </c>
      <c r="H52" s="156">
        <f t="shared" si="1"/>
        <v>4296975.9373667631</v>
      </c>
      <c r="I52" s="160">
        <f t="shared" si="2"/>
        <v>92765166.737496406</v>
      </c>
    </row>
    <row r="53" spans="2:9">
      <c r="B53" s="79"/>
      <c r="C53" s="159">
        <f t="shared" si="6"/>
        <v>34</v>
      </c>
      <c r="D53" s="159">
        <f t="shared" si="3"/>
        <v>92765166.737496406</v>
      </c>
      <c r="E53" s="156">
        <f t="shared" si="4"/>
        <v>3486688.5841406956</v>
      </c>
      <c r="F53" s="156">
        <f t="shared" si="5"/>
        <v>810287.3532260675</v>
      </c>
      <c r="G53" s="156">
        <f t="shared" si="0"/>
        <v>739722.46647546883</v>
      </c>
      <c r="H53" s="156">
        <f t="shared" si="1"/>
        <v>4296975.9373667631</v>
      </c>
      <c r="I53" s="160">
        <f t="shared" si="2"/>
        <v>90018200.61983119</v>
      </c>
    </row>
    <row r="54" spans="2:9">
      <c r="B54" s="79"/>
      <c r="C54" s="159">
        <f t="shared" si="6"/>
        <v>35</v>
      </c>
      <c r="D54" s="159">
        <f t="shared" si="3"/>
        <v>90018200.61983119</v>
      </c>
      <c r="E54" s="156">
        <f t="shared" si="4"/>
        <v>3510682.8481857679</v>
      </c>
      <c r="F54" s="156">
        <f t="shared" si="5"/>
        <v>786293.08918099524</v>
      </c>
      <c r="G54" s="156">
        <f t="shared" si="0"/>
        <v>717817.77289976575</v>
      </c>
      <c r="H54" s="156">
        <f t="shared" si="1"/>
        <v>4296975.9373667631</v>
      </c>
      <c r="I54" s="160">
        <f t="shared" si="2"/>
        <v>87225335.544545189</v>
      </c>
    </row>
    <row r="55" spans="2:9">
      <c r="B55" s="79"/>
      <c r="C55" s="159">
        <f t="shared" si="6"/>
        <v>36</v>
      </c>
      <c r="D55" s="159">
        <f t="shared" si="3"/>
        <v>87225335.544545189</v>
      </c>
      <c r="E55" s="156">
        <f t="shared" si="4"/>
        <v>3535078.0315219313</v>
      </c>
      <c r="F55" s="156">
        <f t="shared" si="5"/>
        <v>761897.90584483161</v>
      </c>
      <c r="G55" s="156">
        <f t="shared" si="0"/>
        <v>695547.07459045434</v>
      </c>
      <c r="H55" s="156">
        <f t="shared" si="1"/>
        <v>4296975.9373667631</v>
      </c>
      <c r="I55" s="160">
        <f t="shared" si="2"/>
        <v>84385804.587613717</v>
      </c>
    </row>
    <row r="56" spans="2:9">
      <c r="B56" s="79"/>
      <c r="C56" s="159">
        <f t="shared" si="6"/>
        <v>37</v>
      </c>
      <c r="D56" s="159">
        <f t="shared" si="3"/>
        <v>84385804.587613717</v>
      </c>
      <c r="E56" s="156">
        <f t="shared" si="4"/>
        <v>3559880.8330951375</v>
      </c>
      <c r="F56" s="156">
        <f t="shared" si="5"/>
        <v>737095.10427162575</v>
      </c>
      <c r="G56" s="156">
        <f t="shared" si="0"/>
        <v>672904.25598766329</v>
      </c>
      <c r="H56" s="156">
        <f t="shared" si="1"/>
        <v>4296975.9373667631</v>
      </c>
      <c r="I56" s="160">
        <f t="shared" si="2"/>
        <v>81498828.010506243</v>
      </c>
    </row>
    <row r="57" spans="2:9">
      <c r="B57" s="79"/>
      <c r="C57" s="159">
        <f t="shared" si="6"/>
        <v>38</v>
      </c>
      <c r="D57" s="159">
        <f t="shared" si="3"/>
        <v>81498828.010506243</v>
      </c>
      <c r="E57" s="156">
        <f t="shared" si="4"/>
        <v>3585098.0637837825</v>
      </c>
      <c r="F57" s="156">
        <f t="shared" si="5"/>
        <v>711877.87358298071</v>
      </c>
      <c r="G57" s="156">
        <f t="shared" si="0"/>
        <v>649883.0993468524</v>
      </c>
      <c r="H57" s="156">
        <f t="shared" si="1"/>
        <v>4296975.9373667631</v>
      </c>
      <c r="I57" s="160">
        <f t="shared" si="2"/>
        <v>78563613.046069309</v>
      </c>
    </row>
    <row r="58" spans="2:9">
      <c r="B58" s="79"/>
      <c r="C58" s="159">
        <f t="shared" si="6"/>
        <v>39</v>
      </c>
      <c r="D58" s="159">
        <f t="shared" si="3"/>
        <v>78563613.046069309</v>
      </c>
      <c r="E58" s="156">
        <f t="shared" si="4"/>
        <v>3610736.6482689846</v>
      </c>
      <c r="F58" s="156">
        <f t="shared" si="5"/>
        <v>686239.28909777873</v>
      </c>
      <c r="G58" s="156">
        <f t="shared" si="0"/>
        <v>626477.28303141252</v>
      </c>
      <c r="H58" s="156">
        <f t="shared" si="1"/>
        <v>4296975.9373667631</v>
      </c>
      <c r="I58" s="160">
        <f t="shared" si="2"/>
        <v>75579353.680831745</v>
      </c>
    </row>
    <row r="59" spans="2:9">
      <c r="B59" s="79"/>
      <c r="C59" s="159">
        <f t="shared" si="6"/>
        <v>40</v>
      </c>
      <c r="D59" s="159">
        <f t="shared" si="3"/>
        <v>75579353.680831745</v>
      </c>
      <c r="E59" s="156">
        <f t="shared" si="4"/>
        <v>3636803.6269361079</v>
      </c>
      <c r="F59" s="156">
        <f t="shared" si="5"/>
        <v>660172.31043065549</v>
      </c>
      <c r="G59" s="156">
        <f t="shared" si="0"/>
        <v>602680.37977673695</v>
      </c>
      <c r="H59" s="156">
        <f t="shared" si="1"/>
        <v>4296975.9373667631</v>
      </c>
      <c r="I59" s="160">
        <f t="shared" si="2"/>
        <v>72545230.433672369</v>
      </c>
    </row>
    <row r="60" spans="2:9">
      <c r="B60" s="79"/>
      <c r="C60" s="159">
        <f t="shared" si="6"/>
        <v>41</v>
      </c>
      <c r="D60" s="159">
        <f t="shared" si="3"/>
        <v>72545230.433672369</v>
      </c>
      <c r="E60" s="156">
        <f t="shared" si="4"/>
        <v>3663306.1578080617</v>
      </c>
      <c r="F60" s="156">
        <f t="shared" si="5"/>
        <v>633669.77955870156</v>
      </c>
      <c r="G60" s="156">
        <f t="shared" si="0"/>
        <v>578485.85492528661</v>
      </c>
      <c r="H60" s="156">
        <f t="shared" si="1"/>
        <v>4296975.9373667631</v>
      </c>
      <c r="I60" s="160">
        <f t="shared" si="2"/>
        <v>69460410.130789593</v>
      </c>
    </row>
    <row r="61" spans="2:9">
      <c r="B61" s="79"/>
      <c r="C61" s="159">
        <f t="shared" si="6"/>
        <v>42</v>
      </c>
      <c r="D61" s="159">
        <f t="shared" si="3"/>
        <v>69460410.130789593</v>
      </c>
      <c r="E61" s="156">
        <f t="shared" si="4"/>
        <v>3690251.5185109014</v>
      </c>
      <c r="F61" s="156">
        <f t="shared" si="5"/>
        <v>606724.41885586176</v>
      </c>
      <c r="G61" s="156">
        <f t="shared" si="0"/>
        <v>553887.06463216594</v>
      </c>
      <c r="H61" s="156">
        <f t="shared" si="1"/>
        <v>4296975.9373667631</v>
      </c>
      <c r="I61" s="160">
        <f t="shared" si="2"/>
        <v>66324045.676910855</v>
      </c>
    </row>
    <row r="62" spans="2:9">
      <c r="B62" s="79"/>
      <c r="C62" s="159">
        <f t="shared" si="6"/>
        <v>43</v>
      </c>
      <c r="D62" s="159">
        <f t="shared" si="3"/>
        <v>66324045.676910855</v>
      </c>
      <c r="E62" s="156">
        <f t="shared" si="4"/>
        <v>3717647.1082722736</v>
      </c>
      <c r="F62" s="156">
        <f t="shared" si="5"/>
        <v>579328.82909448969</v>
      </c>
      <c r="G62" s="156">
        <f t="shared" si="0"/>
        <v>528877.25404071482</v>
      </c>
      <c r="H62" s="156">
        <f t="shared" si="1"/>
        <v>4296975.9373667631</v>
      </c>
      <c r="I62" s="160">
        <f t="shared" si="2"/>
        <v>63135275.822679296</v>
      </c>
    </row>
    <row r="63" spans="2:9">
      <c r="B63" s="79"/>
      <c r="C63" s="159">
        <f t="shared" si="6"/>
        <v>44</v>
      </c>
      <c r="D63" s="159">
        <f t="shared" si="3"/>
        <v>63135275.822679296</v>
      </c>
      <c r="E63" s="156">
        <f t="shared" si="4"/>
        <v>3745500.4499532511</v>
      </c>
      <c r="F63" s="156">
        <f t="shared" si="5"/>
        <v>551475.48741351196</v>
      </c>
      <c r="G63" s="156">
        <f t="shared" si="0"/>
        <v>503449.55542761734</v>
      </c>
      <c r="H63" s="156">
        <f t="shared" si="1"/>
        <v>4296975.9373667631</v>
      </c>
      <c r="I63" s="160">
        <f t="shared" si="2"/>
        <v>59893224.928153664</v>
      </c>
    </row>
    <row r="64" spans="2:9">
      <c r="B64" s="79"/>
      <c r="C64" s="159">
        <f t="shared" si="6"/>
        <v>45</v>
      </c>
      <c r="D64" s="159">
        <f t="shared" si="3"/>
        <v>59893224.928153664</v>
      </c>
      <c r="E64" s="156">
        <f t="shared" si="4"/>
        <v>3773819.1921141222</v>
      </c>
      <c r="F64" s="156">
        <f t="shared" si="5"/>
        <v>523156.7452526408</v>
      </c>
      <c r="G64" s="156">
        <f t="shared" si="0"/>
        <v>477596.98631701688</v>
      </c>
      <c r="H64" s="156">
        <f t="shared" si="1"/>
        <v>4296975.9373667631</v>
      </c>
      <c r="I64" s="160">
        <f t="shared" si="2"/>
        <v>56597002.722356558</v>
      </c>
    </row>
    <row r="65" spans="2:9">
      <c r="B65" s="79"/>
      <c r="C65" s="159">
        <f t="shared" si="6"/>
        <v>46</v>
      </c>
      <c r="D65" s="159">
        <f t="shared" si="3"/>
        <v>56597002.722356558</v>
      </c>
      <c r="E65" s="156">
        <f t="shared" si="4"/>
        <v>3802611.1111146919</v>
      </c>
      <c r="F65" s="156">
        <f t="shared" si="5"/>
        <v>494364.82625207125</v>
      </c>
      <c r="G65" s="156">
        <f t="shared" si="0"/>
        <v>451312.44756311981</v>
      </c>
      <c r="H65" s="156">
        <f t="shared" si="1"/>
        <v>4296975.9373667631</v>
      </c>
      <c r="I65" s="160">
        <f t="shared" si="2"/>
        <v>53245704.058804981</v>
      </c>
    </row>
    <row r="66" spans="2:9">
      <c r="B66" s="79"/>
      <c r="C66" s="159">
        <f t="shared" si="6"/>
        <v>47</v>
      </c>
      <c r="D66" s="159">
        <f t="shared" si="3"/>
        <v>53245704.058804981</v>
      </c>
      <c r="E66" s="156">
        <f t="shared" si="4"/>
        <v>3831884.11324968</v>
      </c>
      <c r="F66" s="156">
        <f t="shared" si="5"/>
        <v>465091.8241170831</v>
      </c>
      <c r="G66" s="156">
        <f t="shared" si="0"/>
        <v>424588.72140076204</v>
      </c>
      <c r="H66" s="156">
        <f t="shared" si="1"/>
        <v>4296975.9373667631</v>
      </c>
      <c r="I66" s="160">
        <f t="shared" si="2"/>
        <v>49838408.66695606</v>
      </c>
    </row>
    <row r="67" spans="2:9">
      <c r="B67" s="79"/>
      <c r="C67" s="159">
        <f t="shared" si="6"/>
        <v>48</v>
      </c>
      <c r="D67" s="159">
        <f t="shared" si="3"/>
        <v>49838408.66695606</v>
      </c>
      <c r="E67" s="156">
        <f t="shared" si="4"/>
        <v>3861646.2369197998</v>
      </c>
      <c r="F67" s="156">
        <f t="shared" si="5"/>
        <v>435329.70044696343</v>
      </c>
      <c r="G67" s="156">
        <f t="shared" si="0"/>
        <v>397418.46946340206</v>
      </c>
      <c r="H67" s="156">
        <f t="shared" si="1"/>
        <v>4296975.9373667631</v>
      </c>
      <c r="I67" s="160">
        <f t="shared" si="2"/>
        <v>46374180.899499662</v>
      </c>
    </row>
    <row r="68" spans="2:9">
      <c r="B68" s="79"/>
      <c r="C68" s="159">
        <f t="shared" si="6"/>
        <v>49</v>
      </c>
      <c r="D68" s="159">
        <f t="shared" si="3"/>
        <v>46374180.899499662</v>
      </c>
      <c r="E68" s="156">
        <f t="shared" si="4"/>
        <v>3891905.654839111</v>
      </c>
      <c r="F68" s="156">
        <f t="shared" si="5"/>
        <v>405070.28252765222</v>
      </c>
      <c r="G68" s="156">
        <f t="shared" si="0"/>
        <v>369794.23076799698</v>
      </c>
      <c r="H68" s="156">
        <f t="shared" si="1"/>
        <v>4296975.9373667631</v>
      </c>
      <c r="I68" s="160">
        <f t="shared" si="2"/>
        <v>42852069.475428544</v>
      </c>
    </row>
    <row r="69" spans="2:9">
      <c r="B69" s="79"/>
      <c r="C69" s="159">
        <f t="shared" si="6"/>
        <v>50</v>
      </c>
      <c r="D69" s="159">
        <f t="shared" si="3"/>
        <v>42852069.475428544</v>
      </c>
      <c r="E69" s="156">
        <f t="shared" si="4"/>
        <v>3922670.676279258</v>
      </c>
      <c r="F69" s="156">
        <f t="shared" si="5"/>
        <v>374305.26108750526</v>
      </c>
      <c r="G69" s="156">
        <f t="shared" si="0"/>
        <v>341708.41966620769</v>
      </c>
      <c r="H69" s="156">
        <f t="shared" si="1"/>
        <v>4296975.9373667631</v>
      </c>
      <c r="I69" s="160">
        <f t="shared" si="2"/>
        <v>39271107.218815498</v>
      </c>
    </row>
    <row r="70" spans="2:9">
      <c r="B70" s="79"/>
      <c r="C70" s="159">
        <f t="shared" si="6"/>
        <v>51</v>
      </c>
      <c r="D70" s="159">
        <f t="shared" si="3"/>
        <v>39271107.218815498</v>
      </c>
      <c r="E70" s="156">
        <f t="shared" si="4"/>
        <v>3953949.7493512044</v>
      </c>
      <c r="F70" s="156">
        <f t="shared" si="5"/>
        <v>343026.18801555899</v>
      </c>
      <c r="G70" s="156">
        <f t="shared" si="0"/>
        <v>313153.32376137114</v>
      </c>
      <c r="H70" s="156">
        <f t="shared" si="1"/>
        <v>4296975.9373667631</v>
      </c>
      <c r="I70" s="160">
        <f t="shared" si="2"/>
        <v>35630310.793225668</v>
      </c>
    </row>
    <row r="71" spans="2:9">
      <c r="B71" s="79"/>
      <c r="C71" s="159">
        <f t="shared" si="6"/>
        <v>52</v>
      </c>
      <c r="D71" s="159">
        <f t="shared" si="3"/>
        <v>35630310.793225668</v>
      </c>
      <c r="E71" s="156">
        <f t="shared" si="4"/>
        <v>3985751.4633250944</v>
      </c>
      <c r="F71" s="156">
        <f t="shared" si="5"/>
        <v>311224.47404166864</v>
      </c>
      <c r="G71" s="156">
        <f t="shared" si="0"/>
        <v>284121.10179066693</v>
      </c>
      <c r="H71" s="156">
        <f t="shared" si="1"/>
        <v>4296975.9373667631</v>
      </c>
      <c r="I71" s="160">
        <f t="shared" si="2"/>
        <v>31928680.431691241</v>
      </c>
    </row>
    <row r="72" spans="2:9">
      <c r="B72" s="79"/>
      <c r="C72" s="159">
        <f t="shared" si="6"/>
        <v>53</v>
      </c>
      <c r="D72" s="159">
        <f t="shared" si="3"/>
        <v>31928680.431691241</v>
      </c>
      <c r="E72" s="156">
        <f t="shared" si="4"/>
        <v>4018084.5509888781</v>
      </c>
      <c r="F72" s="156">
        <f t="shared" si="5"/>
        <v>278891.38637788489</v>
      </c>
      <c r="G72" s="156">
        <f t="shared" si="0"/>
        <v>254603.78147189762</v>
      </c>
      <c r="H72" s="156">
        <f t="shared" si="1"/>
        <v>4296975.9373667631</v>
      </c>
      <c r="I72" s="160">
        <f t="shared" si="2"/>
        <v>28165199.662174258</v>
      </c>
    </row>
    <row r="73" spans="2:9">
      <c r="B73" s="79"/>
      <c r="C73" s="159">
        <f t="shared" si="6"/>
        <v>54</v>
      </c>
      <c r="D73" s="159">
        <f t="shared" si="3"/>
        <v>28165199.662174258</v>
      </c>
      <c r="E73" s="156">
        <f t="shared" si="4"/>
        <v>4050957.8910463429</v>
      </c>
      <c r="F73" s="156">
        <f t="shared" si="5"/>
        <v>246018.04632042037</v>
      </c>
      <c r="G73" s="156">
        <f t="shared" si="0"/>
        <v>224593.25731429039</v>
      </c>
      <c r="H73" s="156">
        <f t="shared" si="1"/>
        <v>4296975.9373667631</v>
      </c>
      <c r="I73" s="160">
        <f t="shared" si="2"/>
        <v>24338835.028442208</v>
      </c>
    </row>
    <row r="74" spans="2:9">
      <c r="B74" s="79"/>
      <c r="C74" s="159">
        <f t="shared" si="6"/>
        <v>55</v>
      </c>
      <c r="D74" s="159">
        <f t="shared" si="3"/>
        <v>24338835.028442208</v>
      </c>
      <c r="E74" s="156">
        <f t="shared" si="4"/>
        <v>4084380.5105552166</v>
      </c>
      <c r="F74" s="156">
        <f t="shared" si="5"/>
        <v>212595.42681154661</v>
      </c>
      <c r="G74" s="156">
        <f t="shared" si="0"/>
        <v>194081.2883927201</v>
      </c>
      <c r="H74" s="156">
        <f t="shared" si="1"/>
        <v>4296975.9373667631</v>
      </c>
      <c r="I74" s="160">
        <f t="shared" si="2"/>
        <v>20448535.806279711</v>
      </c>
    </row>
    <row r="75" spans="2:9">
      <c r="B75" s="79"/>
      <c r="C75" s="159">
        <f t="shared" si="6"/>
        <v>56</v>
      </c>
      <c r="D75" s="159">
        <f t="shared" si="3"/>
        <v>20448535.806279711</v>
      </c>
      <c r="E75" s="156">
        <f t="shared" si="4"/>
        <v>4118361.5874060094</v>
      </c>
      <c r="F75" s="156">
        <f t="shared" si="5"/>
        <v>178614.34996075375</v>
      </c>
      <c r="G75" s="156">
        <f t="shared" si="0"/>
        <v>163059.49608474129</v>
      </c>
      <c r="H75" s="156">
        <f t="shared" si="1"/>
        <v>4296975.9373667631</v>
      </c>
      <c r="I75" s="160">
        <f t="shared" si="2"/>
        <v>16493233.714958442</v>
      </c>
    </row>
    <row r="76" spans="2:9">
      <c r="B76" s="79"/>
      <c r="C76" s="159">
        <f t="shared" si="6"/>
        <v>57</v>
      </c>
      <c r="D76" s="159">
        <f t="shared" si="3"/>
        <v>16493233.714958442</v>
      </c>
      <c r="E76" s="156">
        <f t="shared" si="4"/>
        <v>4152910.4528422719</v>
      </c>
      <c r="F76" s="156">
        <f t="shared" si="5"/>
        <v>144065.48452449101</v>
      </c>
      <c r="G76" s="156">
        <f t="shared" si="0"/>
        <v>131519.36176980875</v>
      </c>
      <c r="H76" s="156">
        <f t="shared" si="1"/>
        <v>4296975.9373667631</v>
      </c>
      <c r="I76" s="160">
        <f t="shared" si="2"/>
        <v>12471842.62388598</v>
      </c>
    </row>
    <row r="77" spans="2:9">
      <c r="B77" s="79"/>
      <c r="C77" s="159">
        <f t="shared" si="6"/>
        <v>58</v>
      </c>
      <c r="D77" s="159">
        <f t="shared" si="3"/>
        <v>12471842.62388598</v>
      </c>
      <c r="E77" s="156">
        <f t="shared" si="4"/>
        <v>4188036.5940229669</v>
      </c>
      <c r="F77" s="156">
        <f t="shared" si="5"/>
        <v>108939.34334379619</v>
      </c>
      <c r="G77" s="156">
        <f t="shared" si="0"/>
        <v>99452.224490054403</v>
      </c>
      <c r="H77" s="156">
        <f t="shared" si="1"/>
        <v>4296975.9373667631</v>
      </c>
      <c r="I77" s="160">
        <f t="shared" si="2"/>
        <v>8383258.2543530669</v>
      </c>
    </row>
    <row r="78" spans="2:9">
      <c r="B78" s="79"/>
      <c r="C78" s="159">
        <f t="shared" si="6"/>
        <v>59</v>
      </c>
      <c r="D78" s="159">
        <f t="shared" si="3"/>
        <v>8383258.2543530669</v>
      </c>
      <c r="E78" s="156">
        <f t="shared" si="4"/>
        <v>4223749.6566276522</v>
      </c>
      <c r="F78" s="156">
        <f t="shared" si="5"/>
        <v>73226.280739110734</v>
      </c>
      <c r="G78" s="156">
        <f t="shared" si="0"/>
        <v>66849.278571977993</v>
      </c>
      <c r="H78" s="156">
        <f t="shared" si="1"/>
        <v>4296975.9373667631</v>
      </c>
      <c r="I78" s="160">
        <f t="shared" si="2"/>
        <v>4226357.8762973929</v>
      </c>
    </row>
    <row r="79" spans="2:9">
      <c r="B79" s="79"/>
      <c r="C79" s="159">
        <f t="shared" si="6"/>
        <v>60</v>
      </c>
      <c r="D79" s="159">
        <f t="shared" si="3"/>
        <v>4226357.8762973929</v>
      </c>
      <c r="E79" s="156">
        <f t="shared" si="4"/>
        <v>4260059.4475051984</v>
      </c>
      <c r="F79" s="156">
        <f t="shared" si="5"/>
        <v>36916.489861564842</v>
      </c>
      <c r="G79" s="156">
        <f t="shared" si="0"/>
        <v>33701.571208398898</v>
      </c>
      <c r="H79" s="156">
        <f t="shared" si="1"/>
        <v>4296975.9373667631</v>
      </c>
      <c r="I79" s="160">
        <f t="shared" si="2"/>
        <v>5.9336161939427257E-7</v>
      </c>
    </row>
  </sheetData>
  <mergeCells count="1">
    <mergeCell ref="B6:H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Caso No. 1</vt:lpstr>
      <vt:lpstr>Caso No. 2</vt:lpstr>
      <vt:lpstr>Caso No. 3</vt:lpstr>
      <vt:lpstr>Caso No. 4</vt:lpstr>
      <vt:lpstr>Caso No. 5</vt:lpstr>
      <vt:lpstr>Caso No. 6</vt:lpstr>
      <vt:lpstr>Caso No. 7</vt:lpstr>
      <vt:lpstr>Caso No. 8</vt:lpstr>
      <vt:lpstr>Caso No.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Triana Gallo</dc:creator>
  <cp:lastModifiedBy>ACCOUNTER</cp:lastModifiedBy>
  <dcterms:created xsi:type="dcterms:W3CDTF">2020-06-03T00:25:57Z</dcterms:created>
  <dcterms:modified xsi:type="dcterms:W3CDTF">2020-06-11T14:01:21Z</dcterms:modified>
</cp:coreProperties>
</file>