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CCOUNTER\Pictures\"/>
    </mc:Choice>
  </mc:AlternateContent>
  <bookViews>
    <workbookView xWindow="0" yWindow="0" windowWidth="28800" windowHeight="18000" activeTab="2"/>
  </bookViews>
  <sheets>
    <sheet name="Tasas fijas" sheetId="1" r:id="rId1"/>
    <sheet name="Informacion" sheetId="2" state="hidden" r:id="rId2"/>
    <sheet name="Anualidades" sheetId="3" r:id="rId3"/>
    <sheet name="Amortización" sheetId="5" r:id="rId4"/>
    <sheet name="VPN y TIR" sheetId="6" r:id="rId5"/>
    <sheet name="WACC" sheetId="4" r:id="rId6"/>
    <sheet name="Riesgo de mercado" sheetId="8" r:id="rId7"/>
    <sheet name="Beta" sheetId="7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15" i="4" l="1"/>
  <c r="E87" i="4"/>
  <c r="E86" i="4"/>
  <c r="E85" i="4"/>
  <c r="E84" i="4"/>
  <c r="E83" i="4"/>
  <c r="E88" i="4"/>
  <c r="D88" i="4"/>
  <c r="C88" i="4"/>
  <c r="C74" i="4"/>
  <c r="E48" i="4"/>
  <c r="F48" i="4"/>
  <c r="C48" i="4"/>
  <c r="D14" i="4"/>
  <c r="C14" i="4"/>
  <c r="E45" i="4"/>
  <c r="F45" i="4" s="1"/>
  <c r="E44" i="4"/>
  <c r="F44" i="4" s="1"/>
  <c r="C7" i="5"/>
  <c r="D12" i="6"/>
  <c r="H12" i="6" l="1"/>
  <c r="G12" i="6"/>
  <c r="F12" i="6"/>
  <c r="E12" i="6"/>
  <c r="D48" i="4" l="1"/>
  <c r="C124" i="4"/>
  <c r="B67" i="4"/>
  <c r="C67" i="4"/>
  <c r="C113" i="4"/>
  <c r="C108" i="4"/>
  <c r="C105" i="4"/>
  <c r="D4" i="8"/>
  <c r="D3" i="8"/>
  <c r="D2" i="8"/>
  <c r="C60" i="8"/>
  <c r="C59" i="8"/>
  <c r="C58" i="8"/>
  <c r="C57" i="8"/>
  <c r="C56" i="8"/>
  <c r="C55" i="8"/>
  <c r="C54" i="8"/>
  <c r="C53" i="8"/>
  <c r="C52" i="8"/>
  <c r="C51" i="8"/>
  <c r="C50" i="8"/>
  <c r="C49" i="8"/>
  <c r="C48" i="8"/>
  <c r="C47" i="8"/>
  <c r="C46" i="8"/>
  <c r="C45" i="8"/>
  <c r="C44" i="8"/>
  <c r="C43" i="8"/>
  <c r="C42" i="8"/>
  <c r="C41" i="8"/>
  <c r="C40" i="8"/>
  <c r="C39" i="8"/>
  <c r="C38" i="8"/>
  <c r="C37" i="8"/>
  <c r="C36" i="8"/>
  <c r="C35" i="8"/>
  <c r="C34" i="8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C14" i="8"/>
  <c r="C13" i="8"/>
  <c r="C12" i="8"/>
  <c r="C11" i="8"/>
  <c r="C10" i="8"/>
  <c r="C9" i="8"/>
  <c r="C8" i="8"/>
  <c r="C7" i="8"/>
  <c r="C6" i="8"/>
  <c r="C5" i="8"/>
  <c r="C4" i="8"/>
  <c r="C3" i="8"/>
  <c r="C2" i="8"/>
  <c r="D122" i="4" l="1"/>
  <c r="D124" i="4" s="1"/>
  <c r="D123" i="4"/>
  <c r="F87" i="4"/>
  <c r="F86" i="4"/>
  <c r="F85" i="4"/>
  <c r="F84" i="4"/>
  <c r="E47" i="4"/>
  <c r="F47" i="4" s="1"/>
  <c r="E46" i="4"/>
  <c r="E43" i="4"/>
  <c r="F43" i="4" s="1"/>
  <c r="E13" i="4"/>
  <c r="F13" i="4" s="1"/>
  <c r="E12" i="4"/>
  <c r="F12" i="4" s="1"/>
  <c r="F83" i="4"/>
  <c r="C117" i="4"/>
  <c r="E10" i="4"/>
  <c r="F10" i="4" s="1"/>
  <c r="E9" i="4"/>
  <c r="F9" i="4" s="1"/>
  <c r="E11" i="4"/>
  <c r="F11" i="4" s="1"/>
  <c r="E14" i="4"/>
  <c r="D72" i="4" l="1"/>
  <c r="D74" i="4" s="1"/>
  <c r="D73" i="4"/>
  <c r="F46" i="4"/>
  <c r="F88" i="4"/>
  <c r="F14" i="4"/>
  <c r="C27" i="4" l="1"/>
  <c r="C50" i="4" l="1"/>
  <c r="C76" i="4" s="1"/>
  <c r="C16" i="4"/>
  <c r="C34" i="4"/>
  <c r="C90" i="4"/>
  <c r="C126" i="4" l="1"/>
  <c r="D32" i="4"/>
  <c r="D34" i="4"/>
  <c r="D33" i="4"/>
  <c r="C36" i="4" l="1"/>
  <c r="C12" i="6"/>
  <c r="D21" i="6"/>
  <c r="C30" i="6" s="1"/>
  <c r="D20" i="6"/>
  <c r="D7" i="6"/>
  <c r="E7" i="6" s="1"/>
  <c r="F7" i="6" s="1"/>
  <c r="G7" i="6" s="1"/>
  <c r="H7" i="6" s="1"/>
  <c r="B15" i="5"/>
  <c r="E14" i="5"/>
  <c r="I7" i="6" l="1"/>
  <c r="J7" i="6" s="1"/>
  <c r="K7" i="6" s="1"/>
  <c r="L7" i="6" s="1"/>
  <c r="M7" i="6" s="1"/>
  <c r="N7" i="6" s="1"/>
  <c r="O7" i="6" s="1"/>
  <c r="P7" i="6" s="1"/>
  <c r="C31" i="6"/>
  <c r="D31" i="6" s="1"/>
  <c r="C29" i="6"/>
  <c r="D29" i="6" s="1"/>
  <c r="D30" i="6"/>
  <c r="E15" i="5"/>
  <c r="B16" i="5"/>
  <c r="E16" i="5" s="1"/>
  <c r="C32" i="6" l="1"/>
  <c r="B17" i="5"/>
  <c r="C28" i="6"/>
  <c r="C27" i="6" s="1"/>
  <c r="C33" i="6"/>
  <c r="D32" i="6"/>
  <c r="E17" i="5" l="1"/>
  <c r="B18" i="5"/>
  <c r="B19" i="5" s="1"/>
  <c r="D28" i="6"/>
  <c r="C34" i="6"/>
  <c r="D33" i="6"/>
  <c r="C26" i="6"/>
  <c r="D27" i="6"/>
  <c r="E18" i="5" l="1"/>
  <c r="C25" i="6"/>
  <c r="D25" i="6" s="1"/>
  <c r="D26" i="6"/>
  <c r="C35" i="6"/>
  <c r="D35" i="6" s="1"/>
  <c r="D34" i="6"/>
  <c r="B20" i="5"/>
  <c r="E19" i="5"/>
  <c r="B21" i="5" l="1"/>
  <c r="E20" i="5"/>
  <c r="B22" i="5" l="1"/>
  <c r="E21" i="5"/>
  <c r="B23" i="5" l="1"/>
  <c r="E22" i="5"/>
  <c r="B24" i="5" l="1"/>
  <c r="E23" i="5"/>
  <c r="B25" i="5" l="1"/>
  <c r="E24" i="5"/>
  <c r="B26" i="5" l="1"/>
  <c r="E25" i="5"/>
  <c r="B27" i="5" l="1"/>
  <c r="E26" i="5"/>
  <c r="B28" i="5" l="1"/>
  <c r="E27" i="5"/>
  <c r="B29" i="5" l="1"/>
  <c r="E28" i="5"/>
  <c r="B30" i="5" l="1"/>
  <c r="E29" i="5"/>
  <c r="B31" i="5" l="1"/>
  <c r="E30" i="5"/>
  <c r="B32" i="5" l="1"/>
  <c r="E31" i="5"/>
  <c r="B33" i="5" l="1"/>
  <c r="E32" i="5"/>
  <c r="B34" i="5" l="1"/>
  <c r="E33" i="5"/>
  <c r="B35" i="5" l="1"/>
  <c r="E34" i="5"/>
  <c r="B36" i="5" l="1"/>
  <c r="E35" i="5"/>
  <c r="B37" i="5" l="1"/>
  <c r="E36" i="5"/>
  <c r="B38" i="5" l="1"/>
  <c r="E37" i="5"/>
  <c r="B39" i="5" l="1"/>
  <c r="E38" i="5"/>
  <c r="B40" i="5" l="1"/>
  <c r="E39" i="5"/>
  <c r="B41" i="5" l="1"/>
  <c r="E40" i="5"/>
  <c r="B42" i="5" l="1"/>
  <c r="E41" i="5"/>
  <c r="B43" i="5" l="1"/>
  <c r="E42" i="5"/>
  <c r="B44" i="5" l="1"/>
  <c r="E43" i="5"/>
  <c r="E44" i="5" l="1"/>
  <c r="B45" i="5"/>
  <c r="B46" i="5" l="1"/>
  <c r="E45" i="5"/>
  <c r="E46" i="5" l="1"/>
  <c r="B47" i="5"/>
  <c r="B48" i="5" l="1"/>
  <c r="E47" i="5"/>
  <c r="B49" i="5" l="1"/>
  <c r="E48" i="5"/>
  <c r="B50" i="5" l="1"/>
  <c r="E49" i="5"/>
  <c r="E50" i="5" l="1"/>
  <c r="B51" i="5"/>
  <c r="B52" i="5" l="1"/>
  <c r="E51" i="5"/>
  <c r="E52" i="5" l="1"/>
  <c r="B53" i="5"/>
  <c r="B54" i="5" l="1"/>
  <c r="E53" i="5"/>
  <c r="B55" i="5" l="1"/>
  <c r="E54" i="5"/>
  <c r="B56" i="5" l="1"/>
  <c r="E55" i="5"/>
  <c r="B57" i="5" l="1"/>
  <c r="E56" i="5"/>
  <c r="B58" i="5" l="1"/>
  <c r="E57" i="5"/>
  <c r="E58" i="5" l="1"/>
  <c r="B59" i="5"/>
  <c r="B60" i="5" l="1"/>
  <c r="E59" i="5"/>
  <c r="E60" i="5" l="1"/>
  <c r="B61" i="5"/>
  <c r="B62" i="5" l="1"/>
  <c r="E61" i="5"/>
  <c r="B63" i="5" l="1"/>
  <c r="E62" i="5"/>
  <c r="B64" i="5" l="1"/>
  <c r="E63" i="5"/>
  <c r="B65" i="5" l="1"/>
  <c r="E64" i="5"/>
  <c r="B66" i="5" l="1"/>
  <c r="E65" i="5"/>
  <c r="E66" i="5" l="1"/>
  <c r="B67" i="5"/>
  <c r="B68" i="5" l="1"/>
  <c r="E67" i="5"/>
  <c r="E68" i="5" l="1"/>
  <c r="B69" i="5"/>
  <c r="B70" i="5" l="1"/>
  <c r="E69" i="5"/>
  <c r="B71" i="5" l="1"/>
  <c r="E70" i="5"/>
  <c r="B72" i="5" l="1"/>
  <c r="E71" i="5"/>
  <c r="E72" i="5" l="1"/>
  <c r="B73" i="5"/>
  <c r="B74" i="5" l="1"/>
  <c r="E73" i="5"/>
  <c r="E74" i="5" l="1"/>
  <c r="F74" i="5"/>
  <c r="B75" i="5"/>
  <c r="B76" i="5" l="1"/>
  <c r="E75" i="5"/>
  <c r="F75" i="5"/>
  <c r="D74" i="5" l="1"/>
  <c r="C74" i="5" s="1"/>
  <c r="E76" i="5"/>
  <c r="F76" i="5"/>
  <c r="B77" i="5"/>
  <c r="D75" i="5" l="1"/>
  <c r="C75" i="5" s="1"/>
  <c r="D77" i="5"/>
  <c r="B78" i="5"/>
  <c r="E77" i="5"/>
  <c r="F77" i="5"/>
  <c r="C77" i="5" s="1"/>
  <c r="E78" i="5" l="1"/>
  <c r="F78" i="5"/>
  <c r="D78" i="5"/>
  <c r="C78" i="5" s="1"/>
  <c r="B79" i="5"/>
  <c r="F79" i="5" l="1"/>
  <c r="D79" i="5"/>
  <c r="E79" i="5"/>
  <c r="B80" i="5"/>
  <c r="C79" i="5" l="1"/>
  <c r="E80" i="5"/>
  <c r="D80" i="5"/>
  <c r="B81" i="5"/>
  <c r="F80" i="5"/>
  <c r="C80" i="5" l="1"/>
  <c r="F81" i="5"/>
  <c r="E81" i="5"/>
  <c r="B82" i="5"/>
  <c r="D81" i="5"/>
  <c r="C81" i="5" l="1"/>
  <c r="E82" i="5"/>
  <c r="D82" i="5"/>
  <c r="B83" i="5"/>
  <c r="F82" i="5"/>
  <c r="C82" i="5" l="1"/>
  <c r="F83" i="5"/>
  <c r="D83" i="5"/>
  <c r="E83" i="5"/>
  <c r="B84" i="5"/>
  <c r="C83" i="5" l="1"/>
  <c r="E84" i="5"/>
  <c r="D84" i="5"/>
  <c r="B85" i="5"/>
  <c r="F84" i="5"/>
  <c r="C84" i="5" l="1"/>
  <c r="F85" i="5"/>
  <c r="E85" i="5"/>
  <c r="B86" i="5"/>
  <c r="D85" i="5"/>
  <c r="C85" i="5" l="1"/>
  <c r="E86" i="5"/>
  <c r="D86" i="5"/>
  <c r="C86" i="5" s="1"/>
  <c r="B87" i="5"/>
  <c r="F86" i="5"/>
  <c r="F87" i="5" l="1"/>
  <c r="D87" i="5"/>
  <c r="E87" i="5"/>
  <c r="B88" i="5"/>
  <c r="C87" i="5" l="1"/>
  <c r="E88" i="5"/>
  <c r="B89" i="5"/>
  <c r="F88" i="5"/>
  <c r="C88" i="5" l="1"/>
  <c r="F89" i="5"/>
  <c r="C89" i="5" s="1"/>
  <c r="E89" i="5"/>
  <c r="B90" i="5"/>
  <c r="D89" i="5"/>
  <c r="E90" i="5" l="1"/>
  <c r="D90" i="5"/>
  <c r="B91" i="5"/>
  <c r="F90" i="5"/>
  <c r="C90" i="5" s="1"/>
  <c r="F91" i="5" l="1"/>
  <c r="D91" i="5"/>
  <c r="E91" i="5"/>
  <c r="B92" i="5"/>
  <c r="C91" i="5" l="1"/>
  <c r="E92" i="5"/>
  <c r="D92" i="5"/>
  <c r="B93" i="5"/>
  <c r="F92" i="5"/>
  <c r="C92" i="5" s="1"/>
  <c r="F93" i="5" l="1"/>
  <c r="E93" i="5"/>
  <c r="B94" i="5"/>
  <c r="D93" i="5"/>
  <c r="C93" i="5" l="1"/>
  <c r="E94" i="5"/>
  <c r="D94" i="5"/>
  <c r="B95" i="5"/>
  <c r="F94" i="5"/>
  <c r="C94" i="5" l="1"/>
  <c r="F95" i="5"/>
  <c r="E95" i="5"/>
  <c r="B96" i="5"/>
  <c r="C95" i="5" l="1"/>
  <c r="E96" i="5"/>
  <c r="D96" i="5"/>
  <c r="B97" i="5"/>
  <c r="F96" i="5"/>
  <c r="C96" i="5" l="1"/>
  <c r="F97" i="5"/>
  <c r="E97" i="5"/>
  <c r="B98" i="5"/>
  <c r="D97" i="5"/>
  <c r="C97" i="5" l="1"/>
  <c r="E98" i="5"/>
  <c r="D98" i="5"/>
  <c r="B99" i="5"/>
  <c r="F98" i="5"/>
  <c r="C98" i="5" l="1"/>
  <c r="F99" i="5"/>
  <c r="D99" i="5"/>
  <c r="E99" i="5"/>
  <c r="B100" i="5"/>
  <c r="C99" i="5" l="1"/>
  <c r="E100" i="5"/>
  <c r="D100" i="5"/>
  <c r="B101" i="5"/>
  <c r="F100" i="5"/>
  <c r="C100" i="5" l="1"/>
  <c r="E101" i="5"/>
  <c r="F101" i="5"/>
  <c r="B102" i="5"/>
  <c r="D101" i="5"/>
  <c r="C101" i="5" l="1"/>
  <c r="E102" i="5"/>
  <c r="D102" i="5"/>
  <c r="F102" i="5"/>
  <c r="C102" i="5" s="1"/>
  <c r="B103" i="5"/>
  <c r="D103" i="5" l="1"/>
  <c r="E103" i="5"/>
  <c r="F103" i="5"/>
  <c r="C103" i="5" s="1"/>
  <c r="B104" i="5"/>
  <c r="E104" i="5" l="1"/>
  <c r="B105" i="5"/>
  <c r="D104" i="5"/>
  <c r="F104" i="5"/>
  <c r="C104" i="5" l="1"/>
  <c r="B106" i="5"/>
  <c r="D105" i="5"/>
  <c r="E105" i="5"/>
  <c r="F105" i="5"/>
  <c r="C105" i="5" l="1"/>
  <c r="E106" i="5"/>
  <c r="B107" i="5"/>
  <c r="D106" i="5"/>
  <c r="C106" i="5" s="1"/>
  <c r="F106" i="5"/>
  <c r="F107" i="5" l="1"/>
  <c r="B108" i="5"/>
  <c r="D107" i="5"/>
  <c r="E107" i="5"/>
  <c r="C107" i="5" l="1"/>
  <c r="E108" i="5"/>
  <c r="F108" i="5"/>
  <c r="D108" i="5"/>
  <c r="C108" i="5" s="1"/>
  <c r="B109" i="5"/>
  <c r="D109" i="5" l="1"/>
  <c r="B110" i="5"/>
  <c r="E109" i="5"/>
  <c r="F109" i="5"/>
  <c r="C109" i="5" s="1"/>
  <c r="E110" i="5" l="1"/>
  <c r="F110" i="5"/>
  <c r="D110" i="5"/>
  <c r="B111" i="5"/>
  <c r="C110" i="5" l="1"/>
  <c r="D111" i="5"/>
  <c r="B112" i="5"/>
  <c r="E111" i="5"/>
  <c r="F111" i="5"/>
  <c r="C111" i="5" l="1"/>
  <c r="E112" i="5"/>
  <c r="F112" i="5"/>
  <c r="D112" i="5"/>
  <c r="B113" i="5"/>
  <c r="C112" i="5" l="1"/>
  <c r="D113" i="5"/>
  <c r="B114" i="5"/>
  <c r="E113" i="5"/>
  <c r="F113" i="5"/>
  <c r="C113" i="5" l="1"/>
  <c r="E114" i="5"/>
  <c r="F114" i="5"/>
  <c r="C114" i="5"/>
  <c r="D114" i="5"/>
  <c r="B115" i="5"/>
  <c r="C115" i="5" l="1"/>
  <c r="D115" i="5"/>
  <c r="B116" i="5"/>
  <c r="E115" i="5"/>
  <c r="F115" i="5"/>
  <c r="E116" i="5" l="1"/>
  <c r="F116" i="5"/>
  <c r="C116" i="5"/>
  <c r="D116" i="5"/>
  <c r="B117" i="5"/>
  <c r="C117" i="5" l="1"/>
  <c r="D117" i="5"/>
  <c r="B118" i="5"/>
  <c r="E117" i="5"/>
  <c r="F117" i="5"/>
  <c r="E118" i="5" l="1"/>
  <c r="F118" i="5"/>
  <c r="C118" i="5"/>
  <c r="D118" i="5"/>
  <c r="B119" i="5"/>
  <c r="C119" i="5" l="1"/>
  <c r="D119" i="5"/>
  <c r="B120" i="5"/>
  <c r="E119" i="5"/>
  <c r="F119" i="5"/>
  <c r="E120" i="5" l="1"/>
  <c r="F120" i="5"/>
  <c r="C120" i="5"/>
  <c r="D120" i="5"/>
  <c r="B121" i="5"/>
  <c r="C121" i="5" l="1"/>
  <c r="D121" i="5"/>
  <c r="B122" i="5"/>
  <c r="E121" i="5"/>
  <c r="F121" i="5"/>
  <c r="E122" i="5" l="1"/>
  <c r="F122" i="5"/>
  <c r="C122" i="5"/>
  <c r="D122" i="5"/>
  <c r="B123" i="5"/>
  <c r="C123" i="5" l="1"/>
  <c r="D123" i="5"/>
  <c r="B124" i="5"/>
  <c r="E123" i="5"/>
  <c r="F123" i="5"/>
  <c r="E124" i="5" l="1"/>
  <c r="F124" i="5"/>
  <c r="C124" i="5"/>
  <c r="D124" i="5"/>
  <c r="B125" i="5"/>
  <c r="C125" i="5" l="1"/>
  <c r="D125" i="5"/>
  <c r="B126" i="5"/>
  <c r="E125" i="5"/>
  <c r="F125" i="5"/>
  <c r="E126" i="5" l="1"/>
  <c r="F126" i="5"/>
  <c r="C126" i="5"/>
  <c r="D126" i="5"/>
  <c r="B127" i="5"/>
  <c r="C127" i="5" l="1"/>
  <c r="D127" i="5"/>
  <c r="B128" i="5"/>
  <c r="E127" i="5"/>
  <c r="F127" i="5"/>
  <c r="E128" i="5" l="1"/>
  <c r="F128" i="5"/>
  <c r="C128" i="5"/>
  <c r="D128" i="5"/>
  <c r="B129" i="5"/>
  <c r="C129" i="5" l="1"/>
  <c r="D129" i="5"/>
  <c r="B130" i="5"/>
  <c r="E129" i="5"/>
  <c r="F129" i="5"/>
  <c r="E130" i="5" l="1"/>
  <c r="F130" i="5"/>
  <c r="C130" i="5"/>
  <c r="D130" i="5"/>
  <c r="B131" i="5"/>
  <c r="C131" i="5" l="1"/>
  <c r="D131" i="5"/>
  <c r="B132" i="5"/>
  <c r="E131" i="5"/>
  <c r="F131" i="5"/>
  <c r="E132" i="5" l="1"/>
  <c r="F132" i="5"/>
  <c r="C132" i="5"/>
  <c r="D132" i="5"/>
  <c r="B133" i="5"/>
  <c r="C133" i="5" l="1"/>
  <c r="D133" i="5"/>
  <c r="B134" i="5"/>
  <c r="E133" i="5"/>
  <c r="F133" i="5"/>
  <c r="E134" i="5" l="1"/>
  <c r="F134" i="5"/>
  <c r="C134" i="5"/>
  <c r="D134" i="5"/>
  <c r="B135" i="5"/>
  <c r="C135" i="5" l="1"/>
  <c r="D135" i="5"/>
  <c r="B136" i="5"/>
  <c r="E135" i="5"/>
  <c r="F135" i="5"/>
  <c r="E136" i="5" l="1"/>
  <c r="F136" i="5"/>
  <c r="C136" i="5"/>
  <c r="D136" i="5"/>
  <c r="B137" i="5"/>
  <c r="C137" i="5" l="1"/>
  <c r="D137" i="5"/>
  <c r="B138" i="5"/>
  <c r="E137" i="5"/>
  <c r="F137" i="5"/>
  <c r="E138" i="5" l="1"/>
  <c r="F138" i="5"/>
  <c r="C138" i="5"/>
  <c r="D138" i="5"/>
  <c r="B139" i="5"/>
  <c r="C139" i="5" l="1"/>
  <c r="D139" i="5"/>
  <c r="B140" i="5"/>
  <c r="E139" i="5"/>
  <c r="F139" i="5"/>
  <c r="E140" i="5" l="1"/>
  <c r="F140" i="5"/>
  <c r="C140" i="5"/>
  <c r="D140" i="5"/>
  <c r="B141" i="5"/>
  <c r="C141" i="5" l="1"/>
  <c r="D141" i="5"/>
  <c r="B142" i="5"/>
  <c r="E141" i="5"/>
  <c r="F141" i="5"/>
  <c r="E142" i="5" l="1"/>
  <c r="F142" i="5"/>
  <c r="C142" i="5"/>
  <c r="D142" i="5"/>
  <c r="B143" i="5"/>
  <c r="C143" i="5" l="1"/>
  <c r="D143" i="5"/>
  <c r="B144" i="5"/>
  <c r="E143" i="5"/>
  <c r="F143" i="5"/>
  <c r="E144" i="5" l="1"/>
  <c r="F144" i="5"/>
  <c r="C144" i="5"/>
  <c r="D144" i="5"/>
  <c r="B145" i="5"/>
  <c r="C145" i="5" l="1"/>
  <c r="D145" i="5"/>
  <c r="B146" i="5"/>
  <c r="E145" i="5"/>
  <c r="F145" i="5"/>
  <c r="E146" i="5" l="1"/>
  <c r="F146" i="5"/>
  <c r="C146" i="5"/>
  <c r="D146" i="5"/>
  <c r="B147" i="5"/>
  <c r="C147" i="5" l="1"/>
  <c r="D147" i="5"/>
  <c r="B148" i="5"/>
  <c r="E147" i="5"/>
  <c r="F147" i="5"/>
  <c r="E148" i="5" l="1"/>
  <c r="D148" i="5"/>
  <c r="F148" i="5"/>
  <c r="C148" i="5"/>
  <c r="B149" i="5"/>
  <c r="C149" i="5" l="1"/>
  <c r="D149" i="5"/>
  <c r="E149" i="5"/>
  <c r="F149" i="5"/>
  <c r="B150" i="5"/>
  <c r="E150" i="5" l="1"/>
  <c r="C150" i="5"/>
  <c r="B151" i="5"/>
  <c r="D150" i="5"/>
  <c r="F150" i="5"/>
  <c r="C151" i="5" l="1"/>
  <c r="B152" i="5"/>
  <c r="D151" i="5"/>
  <c r="E151" i="5"/>
  <c r="F151" i="5"/>
  <c r="E152" i="5" l="1"/>
  <c r="C152" i="5"/>
  <c r="B153" i="5"/>
  <c r="D152" i="5"/>
  <c r="F152" i="5"/>
  <c r="C153" i="5" l="1"/>
  <c r="F153" i="5"/>
  <c r="B154" i="5"/>
  <c r="D153" i="5"/>
  <c r="E153" i="5"/>
  <c r="E154" i="5" l="1"/>
  <c r="F154" i="5"/>
  <c r="C154" i="5"/>
  <c r="B155" i="5"/>
  <c r="D154" i="5"/>
  <c r="C155" i="5" l="1"/>
  <c r="E155" i="5"/>
  <c r="F155" i="5"/>
  <c r="B156" i="5"/>
  <c r="D155" i="5"/>
  <c r="E156" i="5" l="1"/>
  <c r="D156" i="5"/>
  <c r="F156" i="5"/>
  <c r="C156" i="5"/>
  <c r="B157" i="5"/>
  <c r="C157" i="5" l="1"/>
  <c r="D157" i="5"/>
  <c r="E157" i="5"/>
  <c r="F157" i="5"/>
  <c r="B158" i="5"/>
  <c r="E158" i="5" l="1"/>
  <c r="C158" i="5"/>
  <c r="B159" i="5"/>
  <c r="D158" i="5"/>
  <c r="F158" i="5"/>
  <c r="C159" i="5" l="1"/>
  <c r="B160" i="5"/>
  <c r="D159" i="5"/>
  <c r="E159" i="5"/>
  <c r="F159" i="5"/>
  <c r="E160" i="5" l="1"/>
  <c r="C160" i="5"/>
  <c r="B161" i="5"/>
  <c r="D160" i="5"/>
  <c r="F160" i="5"/>
  <c r="C161" i="5" l="1"/>
  <c r="F161" i="5"/>
  <c r="B162" i="5"/>
  <c r="D161" i="5"/>
  <c r="E161" i="5"/>
  <c r="E162" i="5" l="1"/>
  <c r="F162" i="5"/>
  <c r="C162" i="5"/>
  <c r="B163" i="5"/>
  <c r="D162" i="5"/>
  <c r="C163" i="5" l="1"/>
  <c r="E163" i="5"/>
  <c r="F163" i="5"/>
  <c r="B164" i="5"/>
  <c r="D163" i="5"/>
  <c r="E164" i="5" l="1"/>
  <c r="D164" i="5"/>
  <c r="F164" i="5"/>
  <c r="C164" i="5"/>
  <c r="B165" i="5"/>
  <c r="C165" i="5" l="1"/>
  <c r="D165" i="5"/>
  <c r="E165" i="5"/>
  <c r="F165" i="5"/>
  <c r="B166" i="5"/>
  <c r="E166" i="5" l="1"/>
  <c r="C166" i="5"/>
  <c r="B167" i="5"/>
  <c r="D166" i="5"/>
  <c r="F166" i="5"/>
  <c r="C167" i="5" l="1"/>
  <c r="B168" i="5"/>
  <c r="D167" i="5"/>
  <c r="E167" i="5"/>
  <c r="F167" i="5"/>
  <c r="E168" i="5" l="1"/>
  <c r="C168" i="5"/>
  <c r="B169" i="5"/>
  <c r="D168" i="5"/>
  <c r="F168" i="5"/>
  <c r="C169" i="5" l="1"/>
  <c r="F169" i="5"/>
  <c r="B170" i="5"/>
  <c r="D169" i="5"/>
  <c r="E169" i="5"/>
  <c r="E170" i="5" l="1"/>
  <c r="F170" i="5"/>
  <c r="C170" i="5"/>
  <c r="B171" i="5"/>
  <c r="D170" i="5"/>
  <c r="C171" i="5" l="1"/>
  <c r="E171" i="5"/>
  <c r="F171" i="5"/>
  <c r="B172" i="5"/>
  <c r="D171" i="5"/>
  <c r="D172" i="5" l="1"/>
  <c r="B173" i="5"/>
  <c r="E172" i="5"/>
  <c r="F172" i="5"/>
  <c r="C172" i="5"/>
  <c r="F173" i="5" l="1"/>
  <c r="C173" i="5"/>
  <c r="D173" i="5"/>
  <c r="B174" i="5"/>
  <c r="E173" i="5"/>
  <c r="D174" i="5" l="1"/>
  <c r="B175" i="5"/>
  <c r="E174" i="5"/>
  <c r="F174" i="5"/>
  <c r="C174" i="5"/>
  <c r="F175" i="5" l="1"/>
  <c r="C175" i="5"/>
  <c r="D175" i="5"/>
  <c r="B176" i="5"/>
  <c r="E175" i="5"/>
  <c r="D176" i="5" l="1"/>
  <c r="B177" i="5"/>
  <c r="E176" i="5"/>
  <c r="F176" i="5"/>
  <c r="C176" i="5"/>
  <c r="F177" i="5" l="1"/>
  <c r="C177" i="5"/>
  <c r="D177" i="5"/>
  <c r="B178" i="5"/>
  <c r="E177" i="5"/>
  <c r="D178" i="5" l="1"/>
  <c r="B179" i="5"/>
  <c r="E178" i="5"/>
  <c r="F178" i="5"/>
  <c r="C178" i="5"/>
  <c r="F179" i="5" l="1"/>
  <c r="C179" i="5"/>
  <c r="D179" i="5"/>
  <c r="B180" i="5"/>
  <c r="E179" i="5"/>
  <c r="D180" i="5" l="1"/>
  <c r="B181" i="5"/>
  <c r="E180" i="5"/>
  <c r="F180" i="5"/>
  <c r="C180" i="5"/>
  <c r="F181" i="5" l="1"/>
  <c r="C181" i="5"/>
  <c r="D181" i="5"/>
  <c r="B182" i="5"/>
  <c r="E181" i="5"/>
  <c r="D182" i="5" l="1"/>
  <c r="B183" i="5"/>
  <c r="E182" i="5"/>
  <c r="F182" i="5"/>
  <c r="C182" i="5"/>
  <c r="F183" i="5" l="1"/>
  <c r="C183" i="5"/>
  <c r="D183" i="5"/>
  <c r="B184" i="5"/>
  <c r="E183" i="5"/>
  <c r="D184" i="5" l="1"/>
  <c r="B185" i="5"/>
  <c r="E184" i="5"/>
  <c r="F184" i="5"/>
  <c r="C184" i="5"/>
  <c r="F185" i="5" l="1"/>
  <c r="C185" i="5"/>
  <c r="D185" i="5"/>
  <c r="B186" i="5"/>
  <c r="E185" i="5"/>
  <c r="D186" i="5" l="1"/>
  <c r="B187" i="5"/>
  <c r="E186" i="5"/>
  <c r="F186" i="5"/>
  <c r="C186" i="5"/>
  <c r="F187" i="5" l="1"/>
  <c r="C187" i="5"/>
  <c r="D187" i="5"/>
  <c r="B188" i="5"/>
  <c r="E187" i="5"/>
  <c r="D188" i="5" l="1"/>
  <c r="B189" i="5"/>
  <c r="E188" i="5"/>
  <c r="F188" i="5"/>
  <c r="C188" i="5"/>
  <c r="F189" i="5" l="1"/>
  <c r="C189" i="5"/>
  <c r="D189" i="5"/>
  <c r="B190" i="5"/>
  <c r="E189" i="5"/>
  <c r="D190" i="5" l="1"/>
  <c r="B191" i="5"/>
  <c r="F190" i="5"/>
  <c r="E190" i="5"/>
  <c r="C190" i="5"/>
  <c r="F191" i="5" l="1"/>
  <c r="C191" i="5"/>
  <c r="B192" i="5"/>
  <c r="E191" i="5"/>
  <c r="D191" i="5"/>
  <c r="D192" i="5" l="1"/>
  <c r="B193" i="5"/>
  <c r="E192" i="5"/>
  <c r="C192" i="5"/>
  <c r="F192" i="5"/>
  <c r="F193" i="5" l="1"/>
  <c r="D193" i="5"/>
  <c r="E193" i="5"/>
  <c r="C193" i="5"/>
  <c r="C12" i="3" l="1"/>
  <c r="D12" i="3" s="1"/>
  <c r="G41" i="1"/>
  <c r="D41" i="1"/>
  <c r="G27" i="1"/>
  <c r="B6" i="2"/>
  <c r="B5" i="2"/>
  <c r="G15" i="1"/>
  <c r="B4" i="2"/>
  <c r="B3" i="2"/>
  <c r="C9" i="5" l="1"/>
  <c r="G13" i="5"/>
  <c r="D14" i="5" s="1"/>
  <c r="F14" i="5" l="1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17" i="5"/>
  <c r="F16" i="5"/>
  <c r="F15" i="5"/>
  <c r="F18" i="5"/>
  <c r="C14" i="5"/>
  <c r="G14" i="5" s="1"/>
  <c r="D15" i="5" s="1"/>
  <c r="C15" i="5" l="1"/>
  <c r="G15" i="5" s="1"/>
  <c r="D16" i="5" s="1"/>
  <c r="C16" i="5" s="1"/>
  <c r="G16" i="5" s="1"/>
  <c r="D17" i="5" s="1"/>
  <c r="C17" i="5" s="1"/>
  <c r="G17" i="5" s="1"/>
  <c r="D18" i="5" s="1"/>
  <c r="C18" i="5" s="1"/>
  <c r="G18" i="5" s="1"/>
  <c r="D88" i="5"/>
  <c r="D19" i="5" l="1"/>
  <c r="C19" i="5" s="1"/>
  <c r="G19" i="5" s="1"/>
  <c r="D95" i="5"/>
  <c r="D20" i="5" l="1"/>
  <c r="C20" i="5" s="1"/>
  <c r="G20" i="5" s="1"/>
  <c r="D21" i="5" l="1"/>
  <c r="C21" i="5" s="1"/>
  <c r="G21" i="5" s="1"/>
  <c r="D22" i="5" l="1"/>
  <c r="C22" i="5" s="1"/>
  <c r="G22" i="5" s="1"/>
  <c r="D23" i="5" l="1"/>
  <c r="C23" i="5" s="1"/>
  <c r="G23" i="5" s="1"/>
  <c r="D24" i="5" l="1"/>
  <c r="C24" i="5" s="1"/>
  <c r="G24" i="5" s="1"/>
  <c r="D25" i="5" l="1"/>
  <c r="C25" i="5" s="1"/>
  <c r="G25" i="5" s="1"/>
  <c r="D26" i="5" l="1"/>
  <c r="C26" i="5" s="1"/>
  <c r="G26" i="5" s="1"/>
  <c r="D27" i="5" l="1"/>
  <c r="C27" i="5" s="1"/>
  <c r="G27" i="5" s="1"/>
  <c r="D28" i="5" l="1"/>
  <c r="C28" i="5" s="1"/>
  <c r="G28" i="5" s="1"/>
  <c r="D29" i="5" l="1"/>
  <c r="C29" i="5" s="1"/>
  <c r="G29" i="5" s="1"/>
  <c r="D30" i="5" l="1"/>
  <c r="C30" i="5" s="1"/>
  <c r="G30" i="5" s="1"/>
  <c r="D31" i="5" l="1"/>
  <c r="C31" i="5" s="1"/>
  <c r="G31" i="5" s="1"/>
  <c r="D32" i="5" l="1"/>
  <c r="C32" i="5" s="1"/>
  <c r="G32" i="5" s="1"/>
  <c r="D33" i="5" l="1"/>
  <c r="C33" i="5" s="1"/>
  <c r="G33" i="5" s="1"/>
  <c r="D34" i="5" l="1"/>
  <c r="C34" i="5" s="1"/>
  <c r="G34" i="5" s="1"/>
  <c r="D35" i="5" l="1"/>
  <c r="C35" i="5" s="1"/>
  <c r="G35" i="5" s="1"/>
  <c r="D36" i="5" l="1"/>
  <c r="C36" i="5" s="1"/>
  <c r="G36" i="5" s="1"/>
  <c r="D37" i="5" l="1"/>
  <c r="C37" i="5" s="1"/>
  <c r="G37" i="5" s="1"/>
  <c r="D38" i="5" l="1"/>
  <c r="C38" i="5" s="1"/>
  <c r="G38" i="5" s="1"/>
  <c r="D39" i="5" l="1"/>
  <c r="C39" i="5" s="1"/>
  <c r="G39" i="5" s="1"/>
  <c r="D40" i="5" l="1"/>
  <c r="C40" i="5" s="1"/>
  <c r="G40" i="5" s="1"/>
  <c r="D41" i="5" l="1"/>
  <c r="C41" i="5" s="1"/>
  <c r="G41" i="5" s="1"/>
  <c r="D42" i="5" l="1"/>
  <c r="C42" i="5" s="1"/>
  <c r="G42" i="5" s="1"/>
  <c r="D43" i="5" l="1"/>
  <c r="C43" i="5" s="1"/>
  <c r="G43" i="5" s="1"/>
  <c r="D44" i="5" l="1"/>
  <c r="C44" i="5" s="1"/>
  <c r="G44" i="5" s="1"/>
  <c r="D45" i="5" l="1"/>
  <c r="C45" i="5" s="1"/>
  <c r="G45" i="5" s="1"/>
  <c r="D46" i="5" l="1"/>
  <c r="C46" i="5" s="1"/>
  <c r="G46" i="5" s="1"/>
  <c r="D47" i="5" l="1"/>
  <c r="C47" i="5" s="1"/>
  <c r="G47" i="5" s="1"/>
  <c r="D48" i="5" l="1"/>
  <c r="C48" i="5" s="1"/>
  <c r="G48" i="5" s="1"/>
  <c r="D49" i="5" l="1"/>
  <c r="C49" i="5" s="1"/>
  <c r="G49" i="5" s="1"/>
  <c r="D50" i="5" l="1"/>
  <c r="C50" i="5" s="1"/>
  <c r="G50" i="5" s="1"/>
  <c r="D51" i="5" l="1"/>
  <c r="C51" i="5" s="1"/>
  <c r="G51" i="5" s="1"/>
  <c r="D52" i="5" l="1"/>
  <c r="C52" i="5" s="1"/>
  <c r="G52" i="5" s="1"/>
  <c r="D53" i="5" l="1"/>
  <c r="C53" i="5" s="1"/>
  <c r="G53" i="5" s="1"/>
  <c r="D54" i="5" l="1"/>
  <c r="C54" i="5" s="1"/>
  <c r="G54" i="5" s="1"/>
  <c r="D55" i="5" l="1"/>
  <c r="C55" i="5" s="1"/>
  <c r="G55" i="5" s="1"/>
  <c r="D56" i="5" l="1"/>
  <c r="C56" i="5" s="1"/>
  <c r="G56" i="5" s="1"/>
  <c r="D57" i="5" l="1"/>
  <c r="C57" i="5" s="1"/>
  <c r="G57" i="5" s="1"/>
  <c r="D58" i="5" l="1"/>
  <c r="C58" i="5" s="1"/>
  <c r="G58" i="5" s="1"/>
  <c r="D59" i="5" l="1"/>
  <c r="C59" i="5" s="1"/>
  <c r="G59" i="5" s="1"/>
  <c r="D60" i="5" l="1"/>
  <c r="C60" i="5" s="1"/>
  <c r="G60" i="5" s="1"/>
  <c r="D61" i="5" l="1"/>
  <c r="C61" i="5" s="1"/>
  <c r="G61" i="5" s="1"/>
  <c r="D62" i="5" l="1"/>
  <c r="C62" i="5" s="1"/>
  <c r="G62" i="5" s="1"/>
  <c r="D63" i="5" l="1"/>
  <c r="C63" i="5" s="1"/>
  <c r="G63" i="5" s="1"/>
  <c r="D64" i="5" l="1"/>
  <c r="C64" i="5" s="1"/>
  <c r="G64" i="5" s="1"/>
  <c r="D65" i="5" l="1"/>
  <c r="C65" i="5" s="1"/>
  <c r="G65" i="5" s="1"/>
  <c r="D66" i="5" l="1"/>
  <c r="C66" i="5" s="1"/>
  <c r="G66" i="5" s="1"/>
  <c r="D67" i="5" l="1"/>
  <c r="C67" i="5" s="1"/>
  <c r="G67" i="5" s="1"/>
  <c r="D68" i="5" l="1"/>
  <c r="C68" i="5" s="1"/>
  <c r="G68" i="5" s="1"/>
  <c r="D69" i="5" l="1"/>
  <c r="C69" i="5" s="1"/>
  <c r="G69" i="5" s="1"/>
  <c r="D70" i="5" l="1"/>
  <c r="C70" i="5" s="1"/>
  <c r="G70" i="5" s="1"/>
  <c r="D71" i="5" l="1"/>
  <c r="C71" i="5" s="1"/>
  <c r="G71" i="5" s="1"/>
  <c r="D72" i="5" l="1"/>
  <c r="C72" i="5" s="1"/>
  <c r="G72" i="5" s="1"/>
  <c r="D73" i="5" l="1"/>
  <c r="C73" i="5" s="1"/>
  <c r="G73" i="5" s="1"/>
  <c r="G74" i="5" s="1"/>
  <c r="G75" i="5" s="1"/>
  <c r="D76" i="5" s="1"/>
  <c r="C76" i="5" s="1"/>
  <c r="G76" i="5" s="1"/>
  <c r="G77" i="5" s="1"/>
  <c r="G78" i="5" s="1"/>
  <c r="G79" i="5" s="1"/>
  <c r="G80" i="5" s="1"/>
  <c r="G81" i="5" s="1"/>
  <c r="G82" i="5" s="1"/>
  <c r="G83" i="5" s="1"/>
  <c r="G84" i="5" s="1"/>
  <c r="G85" i="5" s="1"/>
  <c r="G86" i="5" s="1"/>
  <c r="G87" i="5" s="1"/>
  <c r="G88" i="5" s="1"/>
  <c r="G89" i="5" s="1"/>
  <c r="G90" i="5" s="1"/>
  <c r="G91" i="5" s="1"/>
  <c r="G92" i="5" s="1"/>
  <c r="G93" i="5" s="1"/>
  <c r="G94" i="5" s="1"/>
  <c r="G95" i="5" s="1"/>
  <c r="G96" i="5" s="1"/>
  <c r="G97" i="5" s="1"/>
  <c r="G98" i="5" s="1"/>
  <c r="G99" i="5" s="1"/>
  <c r="G100" i="5" s="1"/>
  <c r="G101" i="5" s="1"/>
  <c r="G102" i="5" s="1"/>
  <c r="G103" i="5" s="1"/>
  <c r="G104" i="5" s="1"/>
  <c r="G105" i="5" s="1"/>
  <c r="G106" i="5" s="1"/>
  <c r="G107" i="5" s="1"/>
  <c r="G108" i="5" s="1"/>
  <c r="G109" i="5" s="1"/>
  <c r="G110" i="5" s="1"/>
  <c r="G111" i="5" s="1"/>
  <c r="G112" i="5" s="1"/>
  <c r="G113" i="5" s="1"/>
  <c r="G114" i="5" s="1"/>
  <c r="G115" i="5" s="1"/>
  <c r="G116" i="5" s="1"/>
  <c r="G117" i="5" s="1"/>
  <c r="G118" i="5" s="1"/>
  <c r="G119" i="5" s="1"/>
  <c r="G120" i="5" s="1"/>
  <c r="G121" i="5" s="1"/>
  <c r="G122" i="5" s="1"/>
  <c r="G123" i="5" s="1"/>
  <c r="G124" i="5" s="1"/>
  <c r="G125" i="5" s="1"/>
  <c r="G126" i="5" s="1"/>
  <c r="G127" i="5" s="1"/>
  <c r="G128" i="5" s="1"/>
  <c r="G129" i="5" s="1"/>
  <c r="G130" i="5" s="1"/>
  <c r="G131" i="5" s="1"/>
  <c r="G132" i="5" s="1"/>
  <c r="G133" i="5" s="1"/>
  <c r="G134" i="5" s="1"/>
  <c r="G135" i="5" s="1"/>
  <c r="G136" i="5" s="1"/>
  <c r="G137" i="5" s="1"/>
  <c r="G138" i="5" s="1"/>
  <c r="G139" i="5" s="1"/>
  <c r="G140" i="5" s="1"/>
  <c r="G141" i="5" s="1"/>
  <c r="G142" i="5" s="1"/>
  <c r="G143" i="5" s="1"/>
  <c r="G144" i="5" s="1"/>
  <c r="G145" i="5" s="1"/>
  <c r="G146" i="5" s="1"/>
  <c r="G147" i="5" s="1"/>
  <c r="G148" i="5" s="1"/>
  <c r="G149" i="5" s="1"/>
  <c r="G150" i="5" s="1"/>
  <c r="G151" i="5" s="1"/>
  <c r="G152" i="5" s="1"/>
  <c r="G153" i="5" s="1"/>
  <c r="G154" i="5" s="1"/>
  <c r="G155" i="5" s="1"/>
  <c r="G156" i="5" s="1"/>
  <c r="G157" i="5" s="1"/>
  <c r="G158" i="5" s="1"/>
  <c r="G159" i="5" s="1"/>
  <c r="G160" i="5" s="1"/>
  <c r="G161" i="5" s="1"/>
  <c r="G162" i="5" s="1"/>
  <c r="G163" i="5" s="1"/>
  <c r="G164" i="5" s="1"/>
  <c r="G165" i="5" s="1"/>
  <c r="G166" i="5" s="1"/>
  <c r="G167" i="5" s="1"/>
  <c r="G168" i="5" s="1"/>
  <c r="G169" i="5" s="1"/>
  <c r="G170" i="5" s="1"/>
  <c r="G171" i="5" s="1"/>
  <c r="G172" i="5" s="1"/>
  <c r="G173" i="5" s="1"/>
  <c r="G174" i="5" s="1"/>
  <c r="G175" i="5" s="1"/>
  <c r="G176" i="5" s="1"/>
  <c r="G177" i="5" s="1"/>
  <c r="G178" i="5" s="1"/>
  <c r="G179" i="5" s="1"/>
  <c r="G180" i="5" s="1"/>
  <c r="G181" i="5" s="1"/>
  <c r="G182" i="5" s="1"/>
  <c r="G183" i="5" s="1"/>
  <c r="G184" i="5" s="1"/>
  <c r="G185" i="5" s="1"/>
  <c r="G186" i="5" s="1"/>
  <c r="G187" i="5" s="1"/>
  <c r="G188" i="5" s="1"/>
  <c r="G189" i="5" s="1"/>
  <c r="G190" i="5" s="1"/>
  <c r="G191" i="5" s="1"/>
  <c r="G192" i="5" s="1"/>
  <c r="G193" i="5" s="1"/>
</calcChain>
</file>

<file path=xl/sharedStrings.xml><?xml version="1.0" encoding="utf-8"?>
<sst xmlns="http://schemas.openxmlformats.org/spreadsheetml/2006/main" count="1728" uniqueCount="922">
  <si>
    <t>TASA</t>
  </si>
  <si>
    <t>TIPO</t>
  </si>
  <si>
    <t>PERÍODO</t>
  </si>
  <si>
    <t>VENCIDA ANTICIADA</t>
  </si>
  <si>
    <t>CONVERSIÓN TASAS</t>
  </si>
  <si>
    <t>RESULTADO</t>
  </si>
  <si>
    <t>EFECTIVA</t>
  </si>
  <si>
    <t>ANUAL</t>
  </si>
  <si>
    <t>DIARIA</t>
  </si>
  <si>
    <t>MENSUAL</t>
  </si>
  <si>
    <t>BIMENSUAL</t>
  </si>
  <si>
    <t>TRIMESTRAL</t>
  </si>
  <si>
    <t>SEMESTRAL</t>
  </si>
  <si>
    <t>PERIODICA</t>
  </si>
  <si>
    <t>FORMULA DE EFECTIVA A NOMINAL</t>
  </si>
  <si>
    <t>FORMULA DE EFECTIVA A PERIODICA</t>
  </si>
  <si>
    <t>PERIODICA A EFECIA</t>
  </si>
  <si>
    <t>NOMINAL A EFECTIVA</t>
  </si>
  <si>
    <t>Indique la tasa efectiva anual</t>
  </si>
  <si>
    <t>Indique los datos de la tasa a llegar</t>
  </si>
  <si>
    <t>1. De efectiva anual a periódica o nominal</t>
  </si>
  <si>
    <t>Indique los datos de la tasa a llegar:</t>
  </si>
  <si>
    <t>Indique la tasa nominal o periódica:</t>
  </si>
  <si>
    <t>3. De tasas variables</t>
  </si>
  <si>
    <t>DTF</t>
  </si>
  <si>
    <t>PUNTOS</t>
  </si>
  <si>
    <t>TASA TOTAL</t>
  </si>
  <si>
    <t>3.2 IBR - EA</t>
  </si>
  <si>
    <t>3.1 DTF -EA</t>
  </si>
  <si>
    <t>Que sea calcular</t>
  </si>
  <si>
    <t>Cuota</t>
  </si>
  <si>
    <t>Tasa de interes</t>
  </si>
  <si>
    <t>Tiempo</t>
  </si>
  <si>
    <t>Valor inicial</t>
  </si>
  <si>
    <t>Valor futuro</t>
  </si>
  <si>
    <t>Saldo</t>
  </si>
  <si>
    <t>Cargos Fijos</t>
  </si>
  <si>
    <t>Interes</t>
  </si>
  <si>
    <t>Capital</t>
  </si>
  <si>
    <t xml:space="preserve">Periodo </t>
  </si>
  <si>
    <t>Valor Cuota</t>
  </si>
  <si>
    <t xml:space="preserve">Tasa Nominal </t>
  </si>
  <si>
    <t>Tasa Períodica</t>
  </si>
  <si>
    <t>Plazo Meses</t>
  </si>
  <si>
    <t xml:space="preserve">Saldo Inicial Crédito </t>
  </si>
  <si>
    <t>Nombre Deudor</t>
  </si>
  <si>
    <t>No. Obligación</t>
  </si>
  <si>
    <t xml:space="preserve">Andres Moreno </t>
  </si>
  <si>
    <t>Periodos</t>
  </si>
  <si>
    <t>Valor Presente Neto</t>
  </si>
  <si>
    <t>TIR</t>
  </si>
  <si>
    <t>Ingresos</t>
  </si>
  <si>
    <t>Costos</t>
  </si>
  <si>
    <t>Gastos</t>
  </si>
  <si>
    <t>Utilidad</t>
  </si>
  <si>
    <t>VPN</t>
  </si>
  <si>
    <t>TASA DE INTERES</t>
  </si>
  <si>
    <t>Utilidad bruta</t>
  </si>
  <si>
    <t>1. PROMEDIO PONDERA DE DEUDAS</t>
  </si>
  <si>
    <t>BANCOS</t>
  </si>
  <si>
    <t>MONTO</t>
  </si>
  <si>
    <t>TOTAL</t>
  </si>
  <si>
    <t>COSTO DE DEUDA (Kd)</t>
  </si>
  <si>
    <t>COSTO DEL CAPITAL (Ke)</t>
  </si>
  <si>
    <t>WACC</t>
  </si>
  <si>
    <t>COSTO PROMEDIO</t>
  </si>
  <si>
    <t>Rm</t>
  </si>
  <si>
    <t>Rf (Bonos del tesoro)</t>
  </si>
  <si>
    <t>Industry  Name</t>
  </si>
  <si>
    <t>Number of firms</t>
  </si>
  <si>
    <t>Beta </t>
  </si>
  <si>
    <t>D/E Ratio</t>
  </si>
  <si>
    <t>Effective Tax rate</t>
  </si>
  <si>
    <t>Unlevered beta</t>
  </si>
  <si>
    <t>Cash/Firm value</t>
  </si>
  <si>
    <t>Unlevered beta corrected for cash</t>
  </si>
  <si>
    <t>HiLo Risk</t>
  </si>
  <si>
    <t>Standard deviation of equity</t>
  </si>
  <si>
    <t>Standard deviation in operating income (last 10 years)</t>
  </si>
  <si>
    <t>Average (2015-20)</t>
  </si>
  <si>
    <t>Advertising</t>
  </si>
  <si>
    <t>1.44</t>
  </si>
  <si>
    <t>85.08%</t>
  </si>
  <si>
    <t>4.13%</t>
  </si>
  <si>
    <t>0.88</t>
  </si>
  <si>
    <t>6.00%</t>
  </si>
  <si>
    <t>0.93</t>
  </si>
  <si>
    <t>0.6569</t>
  </si>
  <si>
    <t>62.38%</t>
  </si>
  <si>
    <t>14.61%</t>
  </si>
  <si>
    <t>0.83</t>
  </si>
  <si>
    <t>0.74</t>
  </si>
  <si>
    <t>0.91</t>
  </si>
  <si>
    <t>0.78</t>
  </si>
  <si>
    <t>0.87</t>
  </si>
  <si>
    <t>0.84</t>
  </si>
  <si>
    <t>Aerospace/Defense</t>
  </si>
  <si>
    <t>1.23</t>
  </si>
  <si>
    <t>24.28%</t>
  </si>
  <si>
    <t>8.54%</t>
  </si>
  <si>
    <t>1.04</t>
  </si>
  <si>
    <t>3.40%</t>
  </si>
  <si>
    <t>1.08</t>
  </si>
  <si>
    <t>0.4819</t>
  </si>
  <si>
    <t>38.74%</t>
  </si>
  <si>
    <t>20.26%</t>
  </si>
  <si>
    <t>1.06</t>
  </si>
  <si>
    <t>1.20</t>
  </si>
  <si>
    <t>0.94</t>
  </si>
  <si>
    <t>0.99</t>
  </si>
  <si>
    <t>1.09</t>
  </si>
  <si>
    <t>Air Transport</t>
  </si>
  <si>
    <t>103.43%</t>
  </si>
  <si>
    <t>18.47%</t>
  </si>
  <si>
    <t>0.81</t>
  </si>
  <si>
    <t>4.19%</t>
  </si>
  <si>
    <t>0.4110</t>
  </si>
  <si>
    <t>31.74%</t>
  </si>
  <si>
    <t>62.12%</t>
  </si>
  <si>
    <t>0.61</t>
  </si>
  <si>
    <t>0.85</t>
  </si>
  <si>
    <t>0.76</t>
  </si>
  <si>
    <t>0.67</t>
  </si>
  <si>
    <t>0.63</t>
  </si>
  <si>
    <t>0.73</t>
  </si>
  <si>
    <t>Apparel</t>
  </si>
  <si>
    <t>41.77%</t>
  </si>
  <si>
    <t>11.11%</t>
  </si>
  <si>
    <t>0.80</t>
  </si>
  <si>
    <t>3.16%</t>
  </si>
  <si>
    <t>0.5031</t>
  </si>
  <si>
    <t>51.10%</t>
  </si>
  <si>
    <t>16.56%</t>
  </si>
  <si>
    <t>0.86</t>
  </si>
  <si>
    <t>0.71</t>
  </si>
  <si>
    <t>0.82</t>
  </si>
  <si>
    <t>Auto &amp; Truck</t>
  </si>
  <si>
    <t>1.10</t>
  </si>
  <si>
    <t>164.93%</t>
  </si>
  <si>
    <t>5.93%</t>
  </si>
  <si>
    <t>0.49</t>
  </si>
  <si>
    <t>6.89%</t>
  </si>
  <si>
    <t>0.53</t>
  </si>
  <si>
    <t>0.5015</t>
  </si>
  <si>
    <t>35.02%</t>
  </si>
  <si>
    <t>88.39%</t>
  </si>
  <si>
    <t>0.59</t>
  </si>
  <si>
    <t>0.47</t>
  </si>
  <si>
    <t>0.38</t>
  </si>
  <si>
    <t>0.34</t>
  </si>
  <si>
    <t>0.48</t>
  </si>
  <si>
    <t>Auto Parts</t>
  </si>
  <si>
    <t>1.21</t>
  </si>
  <si>
    <t>50.86%</t>
  </si>
  <si>
    <t>7.25%</t>
  </si>
  <si>
    <t>7.44%</t>
  </si>
  <si>
    <t>0.95</t>
  </si>
  <si>
    <t>0.5746</t>
  </si>
  <si>
    <t>50.43%</t>
  </si>
  <si>
    <t>44.06%</t>
  </si>
  <si>
    <t>1.14</t>
  </si>
  <si>
    <t>0.92</t>
  </si>
  <si>
    <t>0.97</t>
  </si>
  <si>
    <t>1.00</t>
  </si>
  <si>
    <t>Bank (Money Center)</t>
  </si>
  <si>
    <t>177.75%</t>
  </si>
  <si>
    <t>19.36%</t>
  </si>
  <si>
    <t>0.43</t>
  </si>
  <si>
    <t>23.33%</t>
  </si>
  <si>
    <t>0.56</t>
  </si>
  <si>
    <t>0.1740</t>
  </si>
  <si>
    <t>17.74%</t>
  </si>
  <si>
    <t>0.41</t>
  </si>
  <si>
    <t>0.32</t>
  </si>
  <si>
    <t>0.42</t>
  </si>
  <si>
    <t>Banks (Regional)</t>
  </si>
  <si>
    <t>0.57</t>
  </si>
  <si>
    <t>62.92%</t>
  </si>
  <si>
    <t>17.46%</t>
  </si>
  <si>
    <t>0.39</t>
  </si>
  <si>
    <t>10.69%</t>
  </si>
  <si>
    <t>0.1582</t>
  </si>
  <si>
    <t>18.26%</t>
  </si>
  <si>
    <t>0.37</t>
  </si>
  <si>
    <t>0.36</t>
  </si>
  <si>
    <t>0.40</t>
  </si>
  <si>
    <t>Beverage (Alcoholic)</t>
  </si>
  <si>
    <t>1.13</t>
  </si>
  <si>
    <t>31.28%</t>
  </si>
  <si>
    <t>6.62%</t>
  </si>
  <si>
    <t>0.72%</t>
  </si>
  <si>
    <t>0.5528</t>
  </si>
  <si>
    <t>42.46%</t>
  </si>
  <si>
    <t>45.12%</t>
  </si>
  <si>
    <t>0.89</t>
  </si>
  <si>
    <t>1.12</t>
  </si>
  <si>
    <t>1.05</t>
  </si>
  <si>
    <t>Beverage (Soft)</t>
  </si>
  <si>
    <t>1.22</t>
  </si>
  <si>
    <t>19.24%</t>
  </si>
  <si>
    <t>4.00%</t>
  </si>
  <si>
    <t>1.07</t>
  </si>
  <si>
    <t>2.34%</t>
  </si>
  <si>
    <t>0.6676</t>
  </si>
  <si>
    <t>57.08%</t>
  </si>
  <si>
    <t>8.82%</t>
  </si>
  <si>
    <t>0.98</t>
  </si>
  <si>
    <t>Broadcasting</t>
  </si>
  <si>
    <t>98.45%</t>
  </si>
  <si>
    <t>13.31%</t>
  </si>
  <si>
    <t>0.70</t>
  </si>
  <si>
    <t>4.35%</t>
  </si>
  <si>
    <t>0.4313</t>
  </si>
  <si>
    <t>32.65%</t>
  </si>
  <si>
    <t>27.53%</t>
  </si>
  <si>
    <t>0.75</t>
  </si>
  <si>
    <t>0.65</t>
  </si>
  <si>
    <t>0.51</t>
  </si>
  <si>
    <t>Brokerage &amp; Investment Banking</t>
  </si>
  <si>
    <t>1.46</t>
  </si>
  <si>
    <t>268.39%</t>
  </si>
  <si>
    <t>12.83%</t>
  </si>
  <si>
    <t>14.58%</t>
  </si>
  <si>
    <t>0.4401</t>
  </si>
  <si>
    <t>27.36%</t>
  </si>
  <si>
    <t>43.74%</t>
  </si>
  <si>
    <t>0.46</t>
  </si>
  <si>
    <t>0.54</t>
  </si>
  <si>
    <t>Building Materials</t>
  </si>
  <si>
    <t>32.07%</t>
  </si>
  <si>
    <t>16.26%</t>
  </si>
  <si>
    <t>2.52%</t>
  </si>
  <si>
    <t>1.02</t>
  </si>
  <si>
    <t>0.3588</t>
  </si>
  <si>
    <t>30.78%</t>
  </si>
  <si>
    <t>58.02%</t>
  </si>
  <si>
    <t>Business &amp; Consumer Services</t>
  </si>
  <si>
    <t>30.31%</t>
  </si>
  <si>
    <t>8.32%</t>
  </si>
  <si>
    <t>2.95%</t>
  </si>
  <si>
    <t>0.5331</t>
  </si>
  <si>
    <t>43.80%</t>
  </si>
  <si>
    <t>25.86%</t>
  </si>
  <si>
    <t>1.01</t>
  </si>
  <si>
    <t>Cable TV</t>
  </si>
  <si>
    <t>1.11</t>
  </si>
  <si>
    <t>60.17%</t>
  </si>
  <si>
    <t>14.55%</t>
  </si>
  <si>
    <t>0.77</t>
  </si>
  <si>
    <t>1.11%</t>
  </si>
  <si>
    <t>0.3294</t>
  </si>
  <si>
    <t>25.03%</t>
  </si>
  <si>
    <t>33.15%</t>
  </si>
  <si>
    <t>Chemical (Basic)</t>
  </si>
  <si>
    <t>1.37</t>
  </si>
  <si>
    <t>61.09%</t>
  </si>
  <si>
    <t>6.66%</t>
  </si>
  <si>
    <t>5.60%</t>
  </si>
  <si>
    <t>0.5305</t>
  </si>
  <si>
    <t>51.96%</t>
  </si>
  <si>
    <t>77.64%</t>
  </si>
  <si>
    <t>0.68</t>
  </si>
  <si>
    <t>0.96</t>
  </si>
  <si>
    <t>Chemical (Diversified)</t>
  </si>
  <si>
    <t>1.85</t>
  </si>
  <si>
    <t>78.66%</t>
  </si>
  <si>
    <t>11.89%</t>
  </si>
  <si>
    <t>1.17</t>
  </si>
  <si>
    <t>4.06%</t>
  </si>
  <si>
    <t>0.5056</t>
  </si>
  <si>
    <t>35.92%</t>
  </si>
  <si>
    <t>38.54%</t>
  </si>
  <si>
    <t>1.27</t>
  </si>
  <si>
    <t>1.79</t>
  </si>
  <si>
    <t>1.49</t>
  </si>
  <si>
    <t>1.33</t>
  </si>
  <si>
    <t>Chemical (Specialty)</t>
  </si>
  <si>
    <t>28.53%</t>
  </si>
  <si>
    <t>11.01%</t>
  </si>
  <si>
    <t>3.08%</t>
  </si>
  <si>
    <t>0.4818</t>
  </si>
  <si>
    <t>48.36%</t>
  </si>
  <si>
    <t>25.22%</t>
  </si>
  <si>
    <t>Coal &amp; Related Energy</t>
  </si>
  <si>
    <t>1.40</t>
  </si>
  <si>
    <t>79.69%</t>
  </si>
  <si>
    <t>0.97%</t>
  </si>
  <si>
    <t>16.68%</t>
  </si>
  <si>
    <t>0.6570</t>
  </si>
  <si>
    <t>54.71%</t>
  </si>
  <si>
    <t>312.73%</t>
  </si>
  <si>
    <t>Computer Services</t>
  </si>
  <si>
    <t>44.65%</t>
  </si>
  <si>
    <t>8.92%</t>
  </si>
  <si>
    <t>0.90</t>
  </si>
  <si>
    <t>5.42%</t>
  </si>
  <si>
    <t>0.5730</t>
  </si>
  <si>
    <t>45.52%</t>
  </si>
  <si>
    <t>10.42%</t>
  </si>
  <si>
    <t>Computers/Peripherals</t>
  </si>
  <si>
    <t>1.75</t>
  </si>
  <si>
    <t>15.49%</t>
  </si>
  <si>
    <t>6.21%</t>
  </si>
  <si>
    <t>1.57</t>
  </si>
  <si>
    <t>4.51%</t>
  </si>
  <si>
    <t>1.64</t>
  </si>
  <si>
    <t>0.5348</t>
  </si>
  <si>
    <t>50.41%</t>
  </si>
  <si>
    <t>25.64%</t>
  </si>
  <si>
    <t>1.50</t>
  </si>
  <si>
    <t>Construction Supplies</t>
  </si>
  <si>
    <t>1.36</t>
  </si>
  <si>
    <t>40.14%</t>
  </si>
  <si>
    <t>15.82%</t>
  </si>
  <si>
    <t>5.03%</t>
  </si>
  <si>
    <t>0.3591</t>
  </si>
  <si>
    <t>29.91%</t>
  </si>
  <si>
    <t>34.01%</t>
  </si>
  <si>
    <t>1.18</t>
  </si>
  <si>
    <t>1.15</t>
  </si>
  <si>
    <t>Diversified</t>
  </si>
  <si>
    <t>31.16%</t>
  </si>
  <si>
    <t>6.68%</t>
  </si>
  <si>
    <t>8.99%</t>
  </si>
  <si>
    <t>1.25</t>
  </si>
  <si>
    <t>0.4954</t>
  </si>
  <si>
    <t>38.16%</t>
  </si>
  <si>
    <t>23.75%</t>
  </si>
  <si>
    <t>Drugs (Biotechnology)</t>
  </si>
  <si>
    <t>1.43</t>
  </si>
  <si>
    <t>0.61%</t>
  </si>
  <si>
    <t>1.29</t>
  </si>
  <si>
    <t>6.99%</t>
  </si>
  <si>
    <t>1.39</t>
  </si>
  <si>
    <t>0.5938</t>
  </si>
  <si>
    <t>67.45%</t>
  </si>
  <si>
    <t>39.15%</t>
  </si>
  <si>
    <t>1.19</t>
  </si>
  <si>
    <t>1.28</t>
  </si>
  <si>
    <t>Drugs (Pharmaceutical)</t>
  </si>
  <si>
    <t>14.93%</t>
  </si>
  <si>
    <t>1.36%</t>
  </si>
  <si>
    <t>4.76%</t>
  </si>
  <si>
    <t>0.6777</t>
  </si>
  <si>
    <t>77.14%</t>
  </si>
  <si>
    <t>6.09%</t>
  </si>
  <si>
    <t>1.38</t>
  </si>
  <si>
    <t>Education</t>
  </si>
  <si>
    <t>1.61</t>
  </si>
  <si>
    <t>33.68%</t>
  </si>
  <si>
    <t>6.56%</t>
  </si>
  <si>
    <t>5.47%</t>
  </si>
  <si>
    <t>0.6037</t>
  </si>
  <si>
    <t>37.64%</t>
  </si>
  <si>
    <t>27.60%</t>
  </si>
  <si>
    <t>Electrical Equipment</t>
  </si>
  <si>
    <t>21.00%</t>
  </si>
  <si>
    <t>3.94%</t>
  </si>
  <si>
    <t>1.31</t>
  </si>
  <si>
    <t>0.6364</t>
  </si>
  <si>
    <t>53.67%</t>
  </si>
  <si>
    <t>17.24%</t>
  </si>
  <si>
    <t>1.03</t>
  </si>
  <si>
    <t>Electronics (Consumer &amp; Office)</t>
  </si>
  <si>
    <t>20.67%</t>
  </si>
  <si>
    <t>5.45%</t>
  </si>
  <si>
    <t>11.72%</t>
  </si>
  <si>
    <t>0.5480</t>
  </si>
  <si>
    <t>62.17%</t>
  </si>
  <si>
    <t>299.70%</t>
  </si>
  <si>
    <t>1.16</t>
  </si>
  <si>
    <t>Electronics (General)</t>
  </si>
  <si>
    <t>18.24%</t>
  </si>
  <si>
    <t>6.65%</t>
  </si>
  <si>
    <t>5.46%</t>
  </si>
  <si>
    <t>0.5053</t>
  </si>
  <si>
    <t>42.78%</t>
  </si>
  <si>
    <t>27.82%</t>
  </si>
  <si>
    <t>Engineering/Construction</t>
  </si>
  <si>
    <t>1.60</t>
  </si>
  <si>
    <t>39.27%</t>
  </si>
  <si>
    <t>9.44%</t>
  </si>
  <si>
    <t>6.88%</t>
  </si>
  <si>
    <t>0.5105</t>
  </si>
  <si>
    <t>33.19%</t>
  </si>
  <si>
    <t>14.79%</t>
  </si>
  <si>
    <t>Entertainment</t>
  </si>
  <si>
    <t>20.07%</t>
  </si>
  <si>
    <t>1.93%</t>
  </si>
  <si>
    <t>3.57%</t>
  </si>
  <si>
    <t>0.6845</t>
  </si>
  <si>
    <t>55.57%</t>
  </si>
  <si>
    <t>34.42%</t>
  </si>
  <si>
    <t>Environmental &amp; Waste Services</t>
  </si>
  <si>
    <t>31.69%</t>
  </si>
  <si>
    <t>4.14%</t>
  </si>
  <si>
    <t>2.25%</t>
  </si>
  <si>
    <t>0.6241</t>
  </si>
  <si>
    <t>44.34%</t>
  </si>
  <si>
    <t>13.10%</t>
  </si>
  <si>
    <t>Farming/Agriculture</t>
  </si>
  <si>
    <t>62.39%</t>
  </si>
  <si>
    <t>5.91%</t>
  </si>
  <si>
    <t>2.98%</t>
  </si>
  <si>
    <t>0.4956</t>
  </si>
  <si>
    <t>46.88%</t>
  </si>
  <si>
    <t>25.14%</t>
  </si>
  <si>
    <t>0.58</t>
  </si>
  <si>
    <t>0.62</t>
  </si>
  <si>
    <t>0.50</t>
  </si>
  <si>
    <t>Financial Svcs. (Non-bank &amp; Insuran</t>
  </si>
  <si>
    <t>882.21%</t>
  </si>
  <si>
    <t>14.42%</t>
  </si>
  <si>
    <t>0.10</t>
  </si>
  <si>
    <t>2.14%</t>
  </si>
  <si>
    <t>0.2750</t>
  </si>
  <si>
    <t>25.70%</t>
  </si>
  <si>
    <t>51.97%</t>
  </si>
  <si>
    <t>0.06</t>
  </si>
  <si>
    <t>0.07</t>
  </si>
  <si>
    <t>0.08</t>
  </si>
  <si>
    <t>Food Processing</t>
  </si>
  <si>
    <t>37.38%</t>
  </si>
  <si>
    <t>6.44%</t>
  </si>
  <si>
    <t>1.89%</t>
  </si>
  <si>
    <t>0.5094</t>
  </si>
  <si>
    <t>31.53%</t>
  </si>
  <si>
    <t>20.15%</t>
  </si>
  <si>
    <t>Food Wholesalers</t>
  </si>
  <si>
    <t>43.95%</t>
  </si>
  <si>
    <t>7.79%</t>
  </si>
  <si>
    <t>0.75%</t>
  </si>
  <si>
    <t>0.66</t>
  </si>
  <si>
    <t>0.4787</t>
  </si>
  <si>
    <t>31.58%</t>
  </si>
  <si>
    <t>20.35%</t>
  </si>
  <si>
    <t>1.26</t>
  </si>
  <si>
    <t>1.41</t>
  </si>
  <si>
    <t>Furn/Home Furnishings</t>
  </si>
  <si>
    <t>48.35%</t>
  </si>
  <si>
    <t>8.15%</t>
  </si>
  <si>
    <t>0.79</t>
  </si>
  <si>
    <t>3.45%</t>
  </si>
  <si>
    <t>0.4694</t>
  </si>
  <si>
    <t>43.38%</t>
  </si>
  <si>
    <t>32.40%</t>
  </si>
  <si>
    <t>0.69</t>
  </si>
  <si>
    <t>Green &amp; Renewable Energy</t>
  </si>
  <si>
    <t>112.64%</t>
  </si>
  <si>
    <t>1.52%</t>
  </si>
  <si>
    <t>2.10%</t>
  </si>
  <si>
    <t>0.6979</t>
  </si>
  <si>
    <t>53.76%</t>
  </si>
  <si>
    <t>67.58%</t>
  </si>
  <si>
    <t>0.72</t>
  </si>
  <si>
    <t>Healthcare Products</t>
  </si>
  <si>
    <t>13.25%</t>
  </si>
  <si>
    <t>3.52%</t>
  </si>
  <si>
    <t>3.37%</t>
  </si>
  <si>
    <t>0.5323</t>
  </si>
  <si>
    <t>53.09%</t>
  </si>
  <si>
    <t>15.35%</t>
  </si>
  <si>
    <t>Healthcare Support Services</t>
  </si>
  <si>
    <t>39.91%</t>
  </si>
  <si>
    <t>8.26%</t>
  </si>
  <si>
    <t>4.81%</t>
  </si>
  <si>
    <t>0.5414</t>
  </si>
  <si>
    <t>49.95%</t>
  </si>
  <si>
    <t>22.25%</t>
  </si>
  <si>
    <t>Heathcare Information and Technol</t>
  </si>
  <si>
    <t>1.24</t>
  </si>
  <si>
    <t>14.67%</t>
  </si>
  <si>
    <t>3.84%</t>
  </si>
  <si>
    <t>2.70%</t>
  </si>
  <si>
    <t>0.5492</t>
  </si>
  <si>
    <t>53.86%</t>
  </si>
  <si>
    <t>31.30%</t>
  </si>
  <si>
    <t>Homebuilding</t>
  </si>
  <si>
    <t>44.20%</t>
  </si>
  <si>
    <t>17.02%</t>
  </si>
  <si>
    <t>6.39%</t>
  </si>
  <si>
    <t>0.3990</t>
  </si>
  <si>
    <t>36.55%</t>
  </si>
  <si>
    <t>89.90%</t>
  </si>
  <si>
    <t>Hospitals/Healthcare Facilities</t>
  </si>
  <si>
    <t>130.18%</t>
  </si>
  <si>
    <t>7.50%</t>
  </si>
  <si>
    <t>1.18%</t>
  </si>
  <si>
    <t>0.4905</t>
  </si>
  <si>
    <t>42.63%</t>
  </si>
  <si>
    <t>21.41%</t>
  </si>
  <si>
    <t>0.44</t>
  </si>
  <si>
    <t>0.45</t>
  </si>
  <si>
    <t>0.55</t>
  </si>
  <si>
    <t>Hotel/Gaming</t>
  </si>
  <si>
    <t>56.41%</t>
  </si>
  <si>
    <t>12.52%</t>
  </si>
  <si>
    <t>3.05%</t>
  </si>
  <si>
    <t>0.3999</t>
  </si>
  <si>
    <t>34.10%</t>
  </si>
  <si>
    <t>33.58%</t>
  </si>
  <si>
    <t>Household Products</t>
  </si>
  <si>
    <t>17.17%</t>
  </si>
  <si>
    <t>2.62%</t>
  </si>
  <si>
    <t>0.6093</t>
  </si>
  <si>
    <t>50.91%</t>
  </si>
  <si>
    <t>3.49%</t>
  </si>
  <si>
    <t>Information Services</t>
  </si>
  <si>
    <t>8.34%</t>
  </si>
  <si>
    <t>0.4556</t>
  </si>
  <si>
    <t>37.80%</t>
  </si>
  <si>
    <t>33.78%</t>
  </si>
  <si>
    <t>Insurance (General)</t>
  </si>
  <si>
    <t>41.41%</t>
  </si>
  <si>
    <t>16.10%</t>
  </si>
  <si>
    <t>4.40%</t>
  </si>
  <si>
    <t>0.2792</t>
  </si>
  <si>
    <t>31.00%</t>
  </si>
  <si>
    <t>39.83%</t>
  </si>
  <si>
    <t>Insurance (Life)</t>
  </si>
  <si>
    <t>97.50%</t>
  </si>
  <si>
    <t>14.78%</t>
  </si>
  <si>
    <t>15.14%</t>
  </si>
  <si>
    <t>0.2236</t>
  </si>
  <si>
    <t>25.13%</t>
  </si>
  <si>
    <t>28.47%</t>
  </si>
  <si>
    <t>Insurance (Prop/Cas.)</t>
  </si>
  <si>
    <t>26.36%</t>
  </si>
  <si>
    <t>14.03%</t>
  </si>
  <si>
    <t>3.86%</t>
  </si>
  <si>
    <t>0.2254</t>
  </si>
  <si>
    <t>21.71%</t>
  </si>
  <si>
    <t>23.86%</t>
  </si>
  <si>
    <t>Investments &amp; Asset Management</t>
  </si>
  <si>
    <t>54.41%</t>
  </si>
  <si>
    <t>7.47%</t>
  </si>
  <si>
    <t>15.18%</t>
  </si>
  <si>
    <t>0.3148</t>
  </si>
  <si>
    <t>27.88%</t>
  </si>
  <si>
    <t>23.41%</t>
  </si>
  <si>
    <t>Machinery</t>
  </si>
  <si>
    <t>12.32%</t>
  </si>
  <si>
    <t>3.71%</t>
  </si>
  <si>
    <t>0.4274</t>
  </si>
  <si>
    <t>35.39%</t>
  </si>
  <si>
    <t>22.55%</t>
  </si>
  <si>
    <t>Metals &amp; Mining</t>
  </si>
  <si>
    <t>38.21%</t>
  </si>
  <si>
    <t>1.96%</t>
  </si>
  <si>
    <t>6.27%</t>
  </si>
  <si>
    <t>0.6609</t>
  </si>
  <si>
    <t>73.25%</t>
  </si>
  <si>
    <t>40.45%</t>
  </si>
  <si>
    <t>Office Equipment &amp; Services</t>
  </si>
  <si>
    <t>1.65</t>
  </si>
  <si>
    <t>54.88%</t>
  </si>
  <si>
    <t>15.29%</t>
  </si>
  <si>
    <t>6.32%</t>
  </si>
  <si>
    <t>0.4343</t>
  </si>
  <si>
    <t>11.34%</t>
  </si>
  <si>
    <t>Oil/Gas (Integrated)</t>
  </si>
  <si>
    <t>1.30</t>
  </si>
  <si>
    <t>26.82%</t>
  </si>
  <si>
    <t>24.54%</t>
  </si>
  <si>
    <t>3.10%</t>
  </si>
  <si>
    <t>0.3590</t>
  </si>
  <si>
    <t>28.62%</t>
  </si>
  <si>
    <t>68.87%</t>
  </si>
  <si>
    <t>Oil/Gas (Production and Exploratio</t>
  </si>
  <si>
    <t>1.48</t>
  </si>
  <si>
    <t>56.39%</t>
  </si>
  <si>
    <t>3.70%</t>
  </si>
  <si>
    <t>3.51%</t>
  </si>
  <si>
    <t>0.6405</t>
  </si>
  <si>
    <t>59.37%</t>
  </si>
  <si>
    <t>151.87%</t>
  </si>
  <si>
    <t>Oil/Gas Distribution</t>
  </si>
  <si>
    <t>89.69%</t>
  </si>
  <si>
    <t>1.63%</t>
  </si>
  <si>
    <t>0.4422</t>
  </si>
  <si>
    <t>32.66%</t>
  </si>
  <si>
    <t>37.58%</t>
  </si>
  <si>
    <t>Oilfield Svcs/Equip.</t>
  </si>
  <si>
    <t>1.58</t>
  </si>
  <si>
    <t>48.65%</t>
  </si>
  <si>
    <t>5.06%</t>
  </si>
  <si>
    <t>0.5862</t>
  </si>
  <si>
    <t>53.50%</t>
  </si>
  <si>
    <t>46.21%</t>
  </si>
  <si>
    <t>1.32</t>
  </si>
  <si>
    <t>Packaging &amp; Container</t>
  </si>
  <si>
    <t>65.94%</t>
  </si>
  <si>
    <t>12.18%</t>
  </si>
  <si>
    <t>2.29%</t>
  </si>
  <si>
    <t>0.3880</t>
  </si>
  <si>
    <t>33.14%</t>
  </si>
  <si>
    <t>18.69%</t>
  </si>
  <si>
    <t>0.60</t>
  </si>
  <si>
    <t>Paper/Forest Products</t>
  </si>
  <si>
    <t>1.54</t>
  </si>
  <si>
    <t>39.45%</t>
  </si>
  <si>
    <t>10.41%</t>
  </si>
  <si>
    <t>0.4716</t>
  </si>
  <si>
    <t>37.37%</t>
  </si>
  <si>
    <t>20.52%</t>
  </si>
  <si>
    <t>Power</t>
  </si>
  <si>
    <t>72.51%</t>
  </si>
  <si>
    <t>13.27%</t>
  </si>
  <si>
    <t>1.44%</t>
  </si>
  <si>
    <t>0.2225</t>
  </si>
  <si>
    <t>18.49%</t>
  </si>
  <si>
    <t>7.96%</t>
  </si>
  <si>
    <t>0.33</t>
  </si>
  <si>
    <t>0.35</t>
  </si>
  <si>
    <t>Precious Metals</t>
  </si>
  <si>
    <t>18.37%</t>
  </si>
  <si>
    <t>1.75%</t>
  </si>
  <si>
    <t>5.31%</t>
  </si>
  <si>
    <t>0.7224</t>
  </si>
  <si>
    <t>82.64%</t>
  </si>
  <si>
    <t>69.41%</t>
  </si>
  <si>
    <t>Publishing &amp; Newspapers</t>
  </si>
  <si>
    <t>67.57%</t>
  </si>
  <si>
    <t>8.10%</t>
  </si>
  <si>
    <t>6.38%</t>
  </si>
  <si>
    <t>0.4608</t>
  </si>
  <si>
    <t>38.18%</t>
  </si>
  <si>
    <t>8.97%</t>
  </si>
  <si>
    <t>R.E.I.T.</t>
  </si>
  <si>
    <t>84.38%</t>
  </si>
  <si>
    <t>1.92%</t>
  </si>
  <si>
    <t>1.60%</t>
  </si>
  <si>
    <t>0.2033</t>
  </si>
  <si>
    <t>19.86%</t>
  </si>
  <si>
    <t>32.50%</t>
  </si>
  <si>
    <t>Real Estate (Development)</t>
  </si>
  <si>
    <t>70.02%</t>
  </si>
  <si>
    <t>2.19%</t>
  </si>
  <si>
    <t>9.04%</t>
  </si>
  <si>
    <t>0.6707</t>
  </si>
  <si>
    <t>47.22%</t>
  </si>
  <si>
    <t>128.14%</t>
  </si>
  <si>
    <t>Real Estate (General/Diversified)</t>
  </si>
  <si>
    <t>1.63</t>
  </si>
  <si>
    <t>45.43%</t>
  </si>
  <si>
    <t>6.55%</t>
  </si>
  <si>
    <t>18.91%</t>
  </si>
  <si>
    <t>0.4990</t>
  </si>
  <si>
    <t>21.35%</t>
  </si>
  <si>
    <t>158.07%</t>
  </si>
  <si>
    <t>1.47</t>
  </si>
  <si>
    <t>Real Estate (Operations &amp; Services)</t>
  </si>
  <si>
    <t>58.80%</t>
  </si>
  <si>
    <t>5.58%</t>
  </si>
  <si>
    <t>0.5226</t>
  </si>
  <si>
    <t>39.10%</t>
  </si>
  <si>
    <t>Recreation</t>
  </si>
  <si>
    <t>8.21%</t>
  </si>
  <si>
    <t>4.52%</t>
  </si>
  <si>
    <t>0.5429</t>
  </si>
  <si>
    <t>47.53%</t>
  </si>
  <si>
    <t>28.19%</t>
  </si>
  <si>
    <t>Reinsurance</t>
  </si>
  <si>
    <t>29.01%</t>
  </si>
  <si>
    <t>17.55%</t>
  </si>
  <si>
    <t>12.62%</t>
  </si>
  <si>
    <t>0.1287</t>
  </si>
  <si>
    <t>14.87%</t>
  </si>
  <si>
    <t>26.51%</t>
  </si>
  <si>
    <t>Restaurant/Dining</t>
  </si>
  <si>
    <t>41.65%</t>
  </si>
  <si>
    <t>6.57%</t>
  </si>
  <si>
    <t>1.40%</t>
  </si>
  <si>
    <t>0.4742</t>
  </si>
  <si>
    <t>38.76%</t>
  </si>
  <si>
    <t>12.93%</t>
  </si>
  <si>
    <t>0.64</t>
  </si>
  <si>
    <t>Retail (Automotive)</t>
  </si>
  <si>
    <t>72.87%</t>
  </si>
  <si>
    <t>14.04%</t>
  </si>
  <si>
    <t>0.79%</t>
  </si>
  <si>
    <t>0.4655</t>
  </si>
  <si>
    <t>27.35%</t>
  </si>
  <si>
    <t>Retail (Building Supply)</t>
  </si>
  <si>
    <t>25.71%</t>
  </si>
  <si>
    <t>14.90%</t>
  </si>
  <si>
    <t>1.03%</t>
  </si>
  <si>
    <t>0.5042</t>
  </si>
  <si>
    <t>47.29%</t>
  </si>
  <si>
    <t>29.66%</t>
  </si>
  <si>
    <t>Retail (Distributors)</t>
  </si>
  <si>
    <t>60.86%</t>
  </si>
  <si>
    <t>11.96%</t>
  </si>
  <si>
    <t>1.74%</t>
  </si>
  <si>
    <t>0.4662</t>
  </si>
  <si>
    <t>42.83%</t>
  </si>
  <si>
    <t>33.85%</t>
  </si>
  <si>
    <t>Retail (General)</t>
  </si>
  <si>
    <t>32.10%</t>
  </si>
  <si>
    <t>2.53%</t>
  </si>
  <si>
    <t>0.4077</t>
  </si>
  <si>
    <t>40.40%</t>
  </si>
  <si>
    <t>4.89%</t>
  </si>
  <si>
    <t>Retail (Grocery and Food)</t>
  </si>
  <si>
    <t>96.66%</t>
  </si>
  <si>
    <t>12.78%</t>
  </si>
  <si>
    <t>1.26%</t>
  </si>
  <si>
    <t>0.3984</t>
  </si>
  <si>
    <t>37.18%</t>
  </si>
  <si>
    <t>24.49%</t>
  </si>
  <si>
    <t>0.28</t>
  </si>
  <si>
    <t>Retail (Online)</t>
  </si>
  <si>
    <t>12.87%</t>
  </si>
  <si>
    <t>2.92%</t>
  </si>
  <si>
    <t>3.24%</t>
  </si>
  <si>
    <t>0.6393</t>
  </si>
  <si>
    <t>55.97%</t>
  </si>
  <si>
    <t>51.02%</t>
  </si>
  <si>
    <t>1.53</t>
  </si>
  <si>
    <t>1.34</t>
  </si>
  <si>
    <t>Retail (Special Lines)</t>
  </si>
  <si>
    <t>70.57%</t>
  </si>
  <si>
    <t>2.41%</t>
  </si>
  <si>
    <t>0.5313</t>
  </si>
  <si>
    <t>44.95%</t>
  </si>
  <si>
    <t>15.50%</t>
  </si>
  <si>
    <t>Rubber&amp; Tires</t>
  </si>
  <si>
    <t>178.03%</t>
  </si>
  <si>
    <t>20.75%</t>
  </si>
  <si>
    <t>7.11%</t>
  </si>
  <si>
    <t>0.3918</t>
  </si>
  <si>
    <t>57.59%</t>
  </si>
  <si>
    <t>34.80%</t>
  </si>
  <si>
    <t>0.24</t>
  </si>
  <si>
    <t>Semiconductor</t>
  </si>
  <si>
    <t>11.80%</t>
  </si>
  <si>
    <t>6.15%</t>
  </si>
  <si>
    <t>4.44%</t>
  </si>
  <si>
    <t>0.4276</t>
  </si>
  <si>
    <t>43.69%</t>
  </si>
  <si>
    <t>38.45%</t>
  </si>
  <si>
    <t>Semiconductor Equip</t>
  </si>
  <si>
    <t>12.17%</t>
  </si>
  <si>
    <t>9.71%</t>
  </si>
  <si>
    <t>6.54%</t>
  </si>
  <si>
    <t>0.4106</t>
  </si>
  <si>
    <t>41.06%</t>
  </si>
  <si>
    <t>64.99%</t>
  </si>
  <si>
    <t>Shipbuilding &amp; Marine</t>
  </si>
  <si>
    <t>2.17</t>
  </si>
  <si>
    <t>55.71%</t>
  </si>
  <si>
    <t>2.44%</t>
  </si>
  <si>
    <t>0.5319</t>
  </si>
  <si>
    <t>34.05%</t>
  </si>
  <si>
    <t>27.79%</t>
  </si>
  <si>
    <t>Shoe</t>
  </si>
  <si>
    <t>8.80%</t>
  </si>
  <si>
    <t>13.98%</t>
  </si>
  <si>
    <t>2.30%</t>
  </si>
  <si>
    <t>0.3598</t>
  </si>
  <si>
    <t>37.56%</t>
  </si>
  <si>
    <t>23.04%</t>
  </si>
  <si>
    <t>Software (Entertainment)</t>
  </si>
  <si>
    <t>3.80%</t>
  </si>
  <si>
    <t>2.58%</t>
  </si>
  <si>
    <t>0.6360</t>
  </si>
  <si>
    <t>61.37%</t>
  </si>
  <si>
    <t>62.69%</t>
  </si>
  <si>
    <t>Software (Internet)</t>
  </si>
  <si>
    <t>1.67</t>
  </si>
  <si>
    <t>20.41%</t>
  </si>
  <si>
    <t>1.23%</t>
  </si>
  <si>
    <t>1.45</t>
  </si>
  <si>
    <t>0.5671</t>
  </si>
  <si>
    <t>44.78%</t>
  </si>
  <si>
    <t>51.08%</t>
  </si>
  <si>
    <t>Software (System &amp; Application)</t>
  </si>
  <si>
    <t>9.67%</t>
  </si>
  <si>
    <t>2.60%</t>
  </si>
  <si>
    <t>2.93%</t>
  </si>
  <si>
    <t>0.5818</t>
  </si>
  <si>
    <t>49.50%</t>
  </si>
  <si>
    <t>14.96%</t>
  </si>
  <si>
    <t>Steel</t>
  </si>
  <si>
    <t>1.62</t>
  </si>
  <si>
    <t>46.97%</t>
  </si>
  <si>
    <t>9.25%</t>
  </si>
  <si>
    <t>0.4028</t>
  </si>
  <si>
    <t>39.39%</t>
  </si>
  <si>
    <t>66.85%</t>
  </si>
  <si>
    <t>Telecom (Wireless)</t>
  </si>
  <si>
    <t>131.19%</t>
  </si>
  <si>
    <t>5.89%</t>
  </si>
  <si>
    <t>0.4804</t>
  </si>
  <si>
    <t>41.85%</t>
  </si>
  <si>
    <t>52.88%</t>
  </si>
  <si>
    <t>Telecom. Equipment</t>
  </si>
  <si>
    <t>17.22%</t>
  </si>
  <si>
    <t>4.31%</t>
  </si>
  <si>
    <t>5.25%</t>
  </si>
  <si>
    <t>0.4903</t>
  </si>
  <si>
    <t>46.30%</t>
  </si>
  <si>
    <t>20.53%</t>
  </si>
  <si>
    <t>Telecom. Services</t>
  </si>
  <si>
    <t>79.19%</t>
  </si>
  <si>
    <t>4.17%</t>
  </si>
  <si>
    <t>1.35%</t>
  </si>
  <si>
    <t>0.5933</t>
  </si>
  <si>
    <t>54.47%</t>
  </si>
  <si>
    <t>27.64%</t>
  </si>
  <si>
    <t>Tobacco</t>
  </si>
  <si>
    <t>1.68</t>
  </si>
  <si>
    <t>28.56%</t>
  </si>
  <si>
    <t>11.48%</t>
  </si>
  <si>
    <t>0.5837</t>
  </si>
  <si>
    <t>38.49%</t>
  </si>
  <si>
    <t>8.57%</t>
  </si>
  <si>
    <t>1.66</t>
  </si>
  <si>
    <t>Transportation</t>
  </si>
  <si>
    <t>54.23%</t>
  </si>
  <si>
    <t>12.76%</t>
  </si>
  <si>
    <t>0.4159</t>
  </si>
  <si>
    <t>27.99%</t>
  </si>
  <si>
    <t>26.78%</t>
  </si>
  <si>
    <t>Transportation (Railroads)</t>
  </si>
  <si>
    <t>2.24</t>
  </si>
  <si>
    <t>26.24%</t>
  </si>
  <si>
    <t>12.24%</t>
  </si>
  <si>
    <t>1.87</t>
  </si>
  <si>
    <t>1.05%</t>
  </si>
  <si>
    <t>1.89</t>
  </si>
  <si>
    <t>0.4632</t>
  </si>
  <si>
    <t>18.25%</t>
  </si>
  <si>
    <t>21.11%</t>
  </si>
  <si>
    <t>2.08</t>
  </si>
  <si>
    <t>Trucking</t>
  </si>
  <si>
    <t>57.88%</t>
  </si>
  <si>
    <t>16.73%</t>
  </si>
  <si>
    <t>8.09%</t>
  </si>
  <si>
    <t>60.25%</t>
  </si>
  <si>
    <t>Utility (General)</t>
  </si>
  <si>
    <t>66.95%</t>
  </si>
  <si>
    <t>13.45%</t>
  </si>
  <si>
    <t>0.19</t>
  </si>
  <si>
    <t>0.35%</t>
  </si>
  <si>
    <t>0.1356</t>
  </si>
  <si>
    <t>13.11%</t>
  </si>
  <si>
    <t>7.31%</t>
  </si>
  <si>
    <t>0.25</t>
  </si>
  <si>
    <t>0.20</t>
  </si>
  <si>
    <t>0.17</t>
  </si>
  <si>
    <t>0.27</t>
  </si>
  <si>
    <t>Utility (Water)</t>
  </si>
  <si>
    <t>35.75%</t>
  </si>
  <si>
    <t>10.01%</t>
  </si>
  <si>
    <t>0.3639</t>
  </si>
  <si>
    <t>42.36%</t>
  </si>
  <si>
    <t>18.09%</t>
  </si>
  <si>
    <t>Total Market</t>
  </si>
  <si>
    <t>58.00%</t>
  </si>
  <si>
    <t>7.32%</t>
  </si>
  <si>
    <t>5.16%</t>
  </si>
  <si>
    <t>0.4806</t>
  </si>
  <si>
    <t>16.48%</t>
  </si>
  <si>
    <t>Total Market (without financials)</t>
  </si>
  <si>
    <t>31.60%</t>
  </si>
  <si>
    <t>5.81%</t>
  </si>
  <si>
    <t>3.43%</t>
  </si>
  <si>
    <t>46.41%</t>
  </si>
  <si>
    <t>16.31%</t>
  </si>
  <si>
    <t>0.9</t>
  </si>
  <si>
    <t>PARTICIPACIÓN</t>
  </si>
  <si>
    <t>Date</t>
  </si>
  <si>
    <t>Close</t>
  </si>
  <si>
    <t>RC/EMBI</t>
  </si>
  <si>
    <t>Inflación Colombia</t>
  </si>
  <si>
    <t>Inflación EEUU</t>
  </si>
  <si>
    <t>Rentabilidad esperada</t>
  </si>
  <si>
    <t>Variación inflación</t>
  </si>
  <si>
    <t>CALCULO WACC NO. 1 - CONTABLE</t>
  </si>
  <si>
    <t>CALCULO WACC NO. 2 - MODELO SIMPLIFICADO</t>
  </si>
  <si>
    <t>TES a 10 Años</t>
  </si>
  <si>
    <t>IPC</t>
  </si>
  <si>
    <t>b</t>
  </si>
  <si>
    <t>Utilidad del ejercicio</t>
  </si>
  <si>
    <t>Impuesto de renta</t>
  </si>
  <si>
    <t>4. Determine su estrcutura del capital</t>
  </si>
  <si>
    <t>Total</t>
  </si>
  <si>
    <t>Patrimonio</t>
  </si>
  <si>
    <t>Deuda</t>
  </si>
  <si>
    <t>Concepto</t>
  </si>
  <si>
    <t>Monto</t>
  </si>
  <si>
    <t>Participación</t>
  </si>
  <si>
    <t>1. Determine el promedio ponderado de las deudas:</t>
  </si>
  <si>
    <t>2. Indique la tasa del impuesto de renta del periodo</t>
  </si>
  <si>
    <t>3. Determine el costo del capital:</t>
  </si>
  <si>
    <t>https://www.banrep.gov.co/es/estadisticas/tes-pesos</t>
  </si>
  <si>
    <t>https://www.banrep.gov.co/es/estadisticas/inflacion-total-y-meta#gsc.tab=0</t>
  </si>
  <si>
    <t>3.3 Prima de Riesgo</t>
  </si>
  <si>
    <t>3.2. Inflación Interanual Colombia Mayo 2020</t>
  </si>
  <si>
    <t>https://datosmacro.expansion.com/prima-riesgo/colombia</t>
  </si>
  <si>
    <t>3. Para determinar el costo de capital, diligencie los siguientes campos:</t>
  </si>
  <si>
    <t>CALCULO WACC NO. 3 (CAPM)</t>
  </si>
  <si>
    <t>3. COSTO DEL CAPITAL (CAPM)</t>
  </si>
  <si>
    <t>3.1. Determine Tasa Libre de riesgo de EEUU</t>
  </si>
  <si>
    <t>https://datosmacro.expansion.com/bono</t>
  </si>
  <si>
    <t>3.2. Prima de riesgo por sector</t>
  </si>
  <si>
    <t>http://pages.stern.nyu.edu/~adamodar/New_Home_Page/datafile/Betas.html</t>
  </si>
  <si>
    <t>https://finance.yahoo.com/quote/%5EGSPC/history?period1=1433376000&amp;period2=1591228800&amp;interval=1mo&amp;filter=history&amp;frequency=1mo</t>
  </si>
  <si>
    <t>3.3. Riesgo de mercado</t>
  </si>
  <si>
    <t>3.4. RC/EMBI =【Prima de riesgo nación (Rentabilidad libre de riesgo + El riesgo pais)】</t>
  </si>
  <si>
    <t>https://www.cesla.com/indicadores-diarios-mercados-financieros-colombia.php</t>
  </si>
  <si>
    <t xml:space="preserve">3.5. Inflación </t>
  </si>
  <si>
    <t>https://datosmacro.expansion.com/ipc</t>
  </si>
  <si>
    <t>CALCULO AMORTIZACIÓN</t>
  </si>
  <si>
    <t>2. De efectiva periódica o nominal a anual</t>
  </si>
  <si>
    <t>ANÁLISIS DE ESCENARIOS</t>
  </si>
  <si>
    <t>`5902023500000660</t>
  </si>
  <si>
    <t>VENCIDA</t>
  </si>
  <si>
    <t>2. Indique la tasa del impuesto de renta del periodo:</t>
  </si>
  <si>
    <t>3.1. Tasa libre de riesgo Colombia</t>
  </si>
  <si>
    <t>NOMINAL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</si>
</sst>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64" formatCode="&quot;COP&quot;#,##0.00_);[Red]\(&quot;COP&quot;#,##0.00\)"/>
    <numFmt numFmtId="165" formatCode="_(* #,##0_);_(* \(#,##0\);_(* &quot;-&quot;_);_(@_)"/>
    <numFmt numFmtId="166" formatCode="_(* #,##0.00_);_(* \(#,##0.00\);_(* &quot;-&quot;??_);_(@_)"/>
    <numFmt numFmtId="167" formatCode="0.0%"/>
    <numFmt numFmtId="168" formatCode="0.000%"/>
    <numFmt numFmtId="169" formatCode="0.0000000000%"/>
    <numFmt numFmtId="170" formatCode="_(* #,##0_);_(* \(#,##0\);_(* &quot;-&quot;??_);_(@_)"/>
    <numFmt numFmtId="171" formatCode="0.0000%"/>
    <numFmt numFmtId="172" formatCode="0.0%\ &quot;E.A.&quot;"/>
    <numFmt numFmtId="173" formatCode="0.00%\ &quot;E.A.&quot;"/>
    <numFmt numFmtId="174" formatCode="0.0"/>
    <numFmt numFmtId="175" formatCode="_(* #,##0.00_);_(* \(#,##0.00\);_(* &quot;-&quot;_);_(@_)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0" tint="-0.14999847407452621"/>
      <name val="Calibri"/>
      <family val="2"/>
      <scheme val="minor"/>
    </font>
    <font>
      <b/>
      <u/>
      <sz val="14"/>
      <color theme="4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ebdings"/>
      <family val="1"/>
      <charset val="2"/>
    </font>
    <font>
      <b/>
      <i/>
      <sz val="10"/>
      <name val="Verdana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theme="9" tint="-0.249977111117893"/>
      <name val="Calibri"/>
      <family val="2"/>
    </font>
    <font>
      <sz val="9"/>
      <color theme="1"/>
      <name val="Symbol"/>
      <family val="1"/>
      <charset val="2"/>
    </font>
    <font>
      <u/>
      <sz val="12"/>
      <color theme="10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78">
    <xf numFmtId="0" fontId="0" fillId="0" borderId="0" xfId="0"/>
    <xf numFmtId="0" fontId="2" fillId="2" borderId="0" xfId="0" applyFont="1" applyFill="1"/>
    <xf numFmtId="0" fontId="3" fillId="0" borderId="0" xfId="0" applyFont="1"/>
    <xf numFmtId="9" fontId="0" fillId="0" borderId="0" xfId="0" applyNumberFormat="1"/>
    <xf numFmtId="165" fontId="0" fillId="0" borderId="0" xfId="1" applyFont="1"/>
    <xf numFmtId="9" fontId="0" fillId="0" borderId="0" xfId="2" applyFont="1"/>
    <xf numFmtId="167" fontId="0" fillId="0" borderId="0" xfId="2" applyNumberFormat="1" applyFont="1"/>
    <xf numFmtId="168" fontId="0" fillId="0" borderId="0" xfId="2" applyNumberFormat="1" applyFont="1"/>
    <xf numFmtId="0" fontId="4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10" fontId="0" fillId="0" borderId="5" xfId="0" applyNumberFormat="1" applyBorder="1"/>
    <xf numFmtId="0" fontId="5" fillId="0" borderId="0" xfId="3"/>
    <xf numFmtId="166" fontId="0" fillId="0" borderId="0" xfId="4" applyFont="1"/>
    <xf numFmtId="0" fontId="7" fillId="0" borderId="0" xfId="3" applyFont="1"/>
    <xf numFmtId="166" fontId="6" fillId="5" borderId="8" xfId="4" applyFont="1" applyFill="1" applyBorder="1" applyAlignment="1">
      <alignment horizontal="center"/>
    </xf>
    <xf numFmtId="0" fontId="6" fillId="5" borderId="9" xfId="3" applyFont="1" applyFill="1" applyBorder="1" applyAlignment="1">
      <alignment horizontal="center"/>
    </xf>
    <xf numFmtId="0" fontId="6" fillId="5" borderId="10" xfId="3" applyFont="1" applyFill="1" applyBorder="1" applyAlignment="1">
      <alignment horizontal="center"/>
    </xf>
    <xf numFmtId="166" fontId="5" fillId="0" borderId="0" xfId="3" applyNumberFormat="1"/>
    <xf numFmtId="0" fontId="5" fillId="0" borderId="0" xfId="3" applyFill="1"/>
    <xf numFmtId="1" fontId="6" fillId="0" borderId="4" xfId="3" applyNumberFormat="1" applyFont="1" applyBorder="1" applyAlignment="1">
      <alignment horizontal="right"/>
    </xf>
    <xf numFmtId="0" fontId="6" fillId="0" borderId="0" xfId="3" applyFont="1" applyBorder="1" applyAlignment="1">
      <alignment horizontal="center"/>
    </xf>
    <xf numFmtId="0" fontId="5" fillId="0" borderId="0" xfId="3" applyBorder="1"/>
    <xf numFmtId="166" fontId="6" fillId="0" borderId="5" xfId="4" applyFont="1" applyBorder="1" applyAlignment="1">
      <alignment horizontal="center"/>
    </xf>
    <xf numFmtId="1" fontId="5" fillId="0" borderId="4" xfId="3" applyNumberFormat="1" applyBorder="1"/>
    <xf numFmtId="170" fontId="6" fillId="0" borderId="0" xfId="3" applyNumberFormat="1" applyFont="1" applyBorder="1" applyAlignment="1">
      <alignment horizontal="center"/>
    </xf>
    <xf numFmtId="166" fontId="0" fillId="0" borderId="5" xfId="4" applyFont="1" applyFill="1" applyBorder="1"/>
    <xf numFmtId="1" fontId="5" fillId="0" borderId="4" xfId="3" applyNumberFormat="1" applyFill="1" applyBorder="1"/>
    <xf numFmtId="170" fontId="6" fillId="0" borderId="0" xfId="3" applyNumberFormat="1" applyFont="1" applyFill="1" applyBorder="1" applyAlignment="1">
      <alignment horizontal="center"/>
    </xf>
    <xf numFmtId="1" fontId="5" fillId="0" borderId="6" xfId="3" applyNumberFormat="1" applyFill="1" applyBorder="1"/>
    <xf numFmtId="170" fontId="6" fillId="0" borderId="17" xfId="3" applyNumberFormat="1" applyFont="1" applyFill="1" applyBorder="1" applyAlignment="1">
      <alignment horizontal="center"/>
    </xf>
    <xf numFmtId="166" fontId="0" fillId="0" borderId="7" xfId="4" applyFont="1" applyFill="1" applyBorder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9" fillId="6" borderId="0" xfId="0" applyFont="1" applyFill="1"/>
    <xf numFmtId="0" fontId="8" fillId="6" borderId="0" xfId="0" applyFont="1" applyFill="1"/>
    <xf numFmtId="0" fontId="0" fillId="6" borderId="0" xfId="0" applyFill="1"/>
    <xf numFmtId="0" fontId="10" fillId="6" borderId="0" xfId="0" applyFont="1" applyFill="1"/>
    <xf numFmtId="0" fontId="11" fillId="6" borderId="0" xfId="0" applyFont="1" applyFill="1"/>
    <xf numFmtId="165" fontId="0" fillId="6" borderId="0" xfId="1" applyFont="1" applyFill="1"/>
    <xf numFmtId="14" fontId="0" fillId="0" borderId="0" xfId="1" applyNumberFormat="1" applyFont="1"/>
    <xf numFmtId="167" fontId="0" fillId="0" borderId="0" xfId="1" applyNumberFormat="1" applyFont="1"/>
    <xf numFmtId="172" fontId="0" fillId="0" borderId="0" xfId="2" applyNumberFormat="1" applyFont="1"/>
    <xf numFmtId="0" fontId="13" fillId="0" borderId="0" xfId="6" applyAlignment="1">
      <alignment horizontal="center"/>
    </xf>
    <xf numFmtId="0" fontId="14" fillId="0" borderId="0" xfId="0" applyFont="1"/>
    <xf numFmtId="0" fontId="15" fillId="2" borderId="18" xfId="0" applyFont="1" applyFill="1" applyBorder="1" applyAlignment="1">
      <alignment horizontal="center"/>
    </xf>
    <xf numFmtId="0" fontId="15" fillId="7" borderId="18" xfId="0" applyFont="1" applyFill="1" applyBorder="1" applyAlignment="1">
      <alignment horizontal="center"/>
    </xf>
    <xf numFmtId="0" fontId="14" fillId="0" borderId="18" xfId="0" applyFont="1" applyBorder="1"/>
    <xf numFmtId="9" fontId="14" fillId="0" borderId="18" xfId="2" applyFont="1" applyBorder="1"/>
    <xf numFmtId="167" fontId="14" fillId="0" borderId="18" xfId="2" applyNumberFormat="1" applyFont="1" applyBorder="1"/>
    <xf numFmtId="165" fontId="14" fillId="0" borderId="18" xfId="0" applyNumberFormat="1" applyFont="1" applyBorder="1"/>
    <xf numFmtId="9" fontId="14" fillId="0" borderId="0" xfId="0" applyNumberFormat="1" applyFont="1"/>
    <xf numFmtId="9" fontId="14" fillId="0" borderId="0" xfId="2" applyFont="1"/>
    <xf numFmtId="0" fontId="15" fillId="2" borderId="18" xfId="0" applyFont="1" applyFill="1" applyBorder="1"/>
    <xf numFmtId="9" fontId="15" fillId="2" borderId="18" xfId="0" applyNumberFormat="1" applyFont="1" applyFill="1" applyBorder="1"/>
    <xf numFmtId="0" fontId="15" fillId="2" borderId="0" xfId="0" applyFont="1" applyFill="1"/>
    <xf numFmtId="173" fontId="14" fillId="0" borderId="0" xfId="0" applyNumberFormat="1" applyFont="1"/>
    <xf numFmtId="0" fontId="14" fillId="0" borderId="0" xfId="0" applyFont="1" applyAlignment="1">
      <alignment horizontal="left"/>
    </xf>
    <xf numFmtId="0" fontId="16" fillId="0" borderId="0" xfId="6" applyFont="1"/>
    <xf numFmtId="0" fontId="17" fillId="0" borderId="0" xfId="0" applyFont="1"/>
    <xf numFmtId="0" fontId="14" fillId="0" borderId="0" xfId="0" applyFont="1" applyAlignment="1">
      <alignment vertical="center"/>
    </xf>
    <xf numFmtId="173" fontId="14" fillId="0" borderId="0" xfId="0" applyNumberFormat="1" applyFont="1" applyAlignment="1">
      <alignment horizontal="left"/>
    </xf>
    <xf numFmtId="0" fontId="12" fillId="0" borderId="18" xfId="0" applyFont="1" applyBorder="1"/>
    <xf numFmtId="0" fontId="16" fillId="0" borderId="18" xfId="6" applyFont="1" applyBorder="1" applyAlignment="1">
      <alignment horizontal="left"/>
    </xf>
    <xf numFmtId="0" fontId="14" fillId="0" borderId="18" xfId="0" applyFont="1" applyBorder="1" applyAlignment="1">
      <alignment horizontal="left"/>
    </xf>
    <xf numFmtId="0" fontId="14" fillId="0" borderId="0" xfId="0" applyFont="1" applyAlignment="1">
      <alignment horizontal="center"/>
    </xf>
    <xf numFmtId="171" fontId="14" fillId="9" borderId="0" xfId="0" applyNumberFormat="1" applyFont="1" applyFill="1"/>
    <xf numFmtId="0" fontId="0" fillId="0" borderId="0" xfId="0" applyBorder="1"/>
    <xf numFmtId="165" fontId="0" fillId="0" borderId="0" xfId="1" applyFont="1" applyBorder="1"/>
    <xf numFmtId="9" fontId="0" fillId="0" borderId="0" xfId="0" applyNumberFormat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3" fillId="0" borderId="21" xfId="0" applyFont="1" applyBorder="1"/>
    <xf numFmtId="0" fontId="2" fillId="2" borderId="0" xfId="0" applyFont="1" applyFill="1" applyBorder="1"/>
    <xf numFmtId="168" fontId="0" fillId="0" borderId="0" xfId="2" applyNumberFormat="1" applyFont="1" applyBorder="1"/>
    <xf numFmtId="167" fontId="0" fillId="0" borderId="24" xfId="2" applyNumberFormat="1" applyFont="1" applyBorder="1"/>
    <xf numFmtId="169" fontId="0" fillId="0" borderId="19" xfId="2" applyNumberFormat="1" applyFont="1" applyBorder="1"/>
    <xf numFmtId="0" fontId="0" fillId="0" borderId="2" xfId="0" applyBorder="1"/>
    <xf numFmtId="0" fontId="0" fillId="0" borderId="30" xfId="0" applyBorder="1"/>
    <xf numFmtId="0" fontId="0" fillId="0" borderId="3" xfId="0" applyBorder="1"/>
    <xf numFmtId="0" fontId="0" fillId="0" borderId="17" xfId="0" applyBorder="1"/>
    <xf numFmtId="0" fontId="0" fillId="0" borderId="7" xfId="0" applyBorder="1"/>
    <xf numFmtId="10" fontId="0" fillId="4" borderId="5" xfId="0" applyNumberFormat="1" applyFill="1" applyBorder="1"/>
    <xf numFmtId="10" fontId="0" fillId="4" borderId="0" xfId="0" applyNumberFormat="1" applyFill="1" applyBorder="1"/>
    <xf numFmtId="0" fontId="2" fillId="0" borderId="0" xfId="0" applyFont="1" applyBorder="1"/>
    <xf numFmtId="0" fontId="2" fillId="2" borderId="4" xfId="0" applyFont="1" applyFill="1" applyBorder="1"/>
    <xf numFmtId="0" fontId="2" fillId="0" borderId="4" xfId="0" applyFont="1" applyBorder="1"/>
    <xf numFmtId="165" fontId="2" fillId="2" borderId="0" xfId="1" applyFont="1" applyFill="1" applyBorder="1"/>
    <xf numFmtId="9" fontId="2" fillId="2" borderId="0" xfId="0" applyNumberFormat="1" applyFont="1" applyFill="1" applyBorder="1"/>
    <xf numFmtId="0" fontId="18" fillId="2" borderId="1" xfId="3" applyFont="1" applyFill="1" applyBorder="1"/>
    <xf numFmtId="0" fontId="18" fillId="2" borderId="6" xfId="3" applyFont="1" applyFill="1" applyBorder="1"/>
    <xf numFmtId="0" fontId="18" fillId="2" borderId="16" xfId="3" applyFont="1" applyFill="1" applyBorder="1"/>
    <xf numFmtId="0" fontId="18" fillId="2" borderId="14" xfId="3" applyFont="1" applyFill="1" applyBorder="1"/>
    <xf numFmtId="0" fontId="18" fillId="2" borderId="12" xfId="3" applyFont="1" applyFill="1" applyBorder="1"/>
    <xf numFmtId="9" fontId="0" fillId="0" borderId="4" xfId="0" applyNumberFormat="1" applyBorder="1"/>
    <xf numFmtId="165" fontId="0" fillId="0" borderId="5" xfId="0" applyNumberFormat="1" applyBorder="1"/>
    <xf numFmtId="9" fontId="0" fillId="0" borderId="6" xfId="0" applyNumberFormat="1" applyBorder="1"/>
    <xf numFmtId="165" fontId="0" fillId="0" borderId="7" xfId="0" applyNumberFormat="1" applyBorder="1"/>
    <xf numFmtId="0" fontId="2" fillId="2" borderId="5" xfId="0" applyFont="1" applyFill="1" applyBorder="1"/>
    <xf numFmtId="164" fontId="0" fillId="0" borderId="19" xfId="0" applyNumberFormat="1" applyBorder="1"/>
    <xf numFmtId="164" fontId="0" fillId="0" borderId="0" xfId="0" applyNumberFormat="1"/>
    <xf numFmtId="164" fontId="5" fillId="0" borderId="0" xfId="3" applyNumberFormat="1"/>
    <xf numFmtId="10" fontId="0" fillId="3" borderId="0" xfId="2" applyNumberFormat="1" applyFont="1" applyFill="1" applyBorder="1" applyProtection="1">
      <protection locked="0"/>
    </xf>
    <xf numFmtId="0" fontId="0" fillId="3" borderId="0" xfId="0" applyFont="1" applyFill="1" applyBorder="1" applyProtection="1">
      <protection locked="0"/>
    </xf>
    <xf numFmtId="9" fontId="0" fillId="3" borderId="0" xfId="2" applyFont="1" applyFill="1" applyBorder="1" applyProtection="1">
      <protection locked="0"/>
    </xf>
    <xf numFmtId="10" fontId="0" fillId="6" borderId="5" xfId="0" applyNumberFormat="1" applyFill="1" applyBorder="1" applyProtection="1">
      <protection locked="0"/>
    </xf>
    <xf numFmtId="0" fontId="0" fillId="6" borderId="0" xfId="0" applyFill="1" applyBorder="1" applyProtection="1">
      <protection locked="0"/>
    </xf>
    <xf numFmtId="10" fontId="0" fillId="4" borderId="0" xfId="2" applyNumberFormat="1" applyFont="1" applyFill="1" applyBorder="1" applyProtection="1">
      <protection hidden="1"/>
    </xf>
    <xf numFmtId="167" fontId="0" fillId="4" borderId="0" xfId="2" applyNumberFormat="1" applyFont="1" applyFill="1" applyBorder="1" applyProtection="1">
      <protection hidden="1"/>
    </xf>
    <xf numFmtId="164" fontId="0" fillId="6" borderId="0" xfId="1" applyNumberFormat="1" applyFont="1" applyFill="1" applyBorder="1" applyProtection="1">
      <protection locked="0"/>
    </xf>
    <xf numFmtId="168" fontId="0" fillId="6" borderId="0" xfId="0" applyNumberFormat="1" applyFill="1" applyBorder="1" applyProtection="1">
      <protection locked="0"/>
    </xf>
    <xf numFmtId="174" fontId="0" fillId="6" borderId="0" xfId="0" applyNumberFormat="1" applyFill="1" applyBorder="1" applyProtection="1">
      <protection locked="0"/>
    </xf>
    <xf numFmtId="165" fontId="0" fillId="6" borderId="0" xfId="1" applyFont="1" applyFill="1" applyBorder="1" applyProtection="1">
      <protection locked="0"/>
    </xf>
    <xf numFmtId="0" fontId="0" fillId="8" borderId="0" xfId="0" applyFill="1" applyBorder="1" applyProtection="1">
      <protection locked="0"/>
    </xf>
    <xf numFmtId="175" fontId="0" fillId="4" borderId="0" xfId="1" applyNumberFormat="1" applyFont="1" applyFill="1" applyBorder="1" applyProtection="1">
      <protection hidden="1"/>
    </xf>
    <xf numFmtId="0" fontId="5" fillId="8" borderId="1" xfId="1" applyNumberFormat="1" applyFont="1" applyFill="1" applyBorder="1" applyProtection="1">
      <protection locked="0"/>
    </xf>
    <xf numFmtId="0" fontId="5" fillId="8" borderId="1" xfId="3" applyFill="1" applyBorder="1" applyProtection="1">
      <protection locked="0"/>
    </xf>
    <xf numFmtId="166" fontId="0" fillId="8" borderId="15" xfId="4" applyFont="1" applyFill="1" applyBorder="1" applyProtection="1">
      <protection locked="0"/>
    </xf>
    <xf numFmtId="0" fontId="5" fillId="8" borderId="13" xfId="3" applyFill="1" applyBorder="1" applyProtection="1">
      <protection locked="0"/>
    </xf>
    <xf numFmtId="10" fontId="0" fillId="4" borderId="13" xfId="5" applyNumberFormat="1" applyFont="1" applyFill="1" applyBorder="1" applyProtection="1">
      <protection locked="0"/>
    </xf>
    <xf numFmtId="166" fontId="5" fillId="4" borderId="13" xfId="3" applyNumberFormat="1" applyFill="1" applyBorder="1" applyProtection="1">
      <protection locked="0"/>
    </xf>
    <xf numFmtId="166" fontId="5" fillId="8" borderId="11" xfId="3" applyNumberFormat="1" applyFill="1" applyBorder="1" applyProtection="1">
      <protection locked="0"/>
    </xf>
    <xf numFmtId="0" fontId="0" fillId="0" borderId="2" xfId="0" applyBorder="1" applyProtection="1">
      <protection locked="0"/>
    </xf>
    <xf numFmtId="0" fontId="0" fillId="0" borderId="30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165" fontId="0" fillId="0" borderId="17" xfId="1" applyFont="1" applyBorder="1" applyProtection="1">
      <protection locked="0"/>
    </xf>
    <xf numFmtId="0" fontId="0" fillId="8" borderId="0" xfId="0" applyFill="1" applyProtection="1">
      <protection locked="0"/>
    </xf>
    <xf numFmtId="9" fontId="0" fillId="8" borderId="0" xfId="0" applyNumberFormat="1" applyFill="1" applyProtection="1">
      <protection locked="0"/>
    </xf>
    <xf numFmtId="165" fontId="0" fillId="6" borderId="0" xfId="1" applyFont="1" applyFill="1" applyProtection="1">
      <protection locked="0"/>
    </xf>
    <xf numFmtId="10" fontId="5" fillId="8" borderId="13" xfId="3" applyNumberFormat="1" applyFill="1" applyBorder="1" applyProtection="1">
      <protection locked="0"/>
    </xf>
    <xf numFmtId="0" fontId="15" fillId="2" borderId="18" xfId="0" applyFont="1" applyFill="1" applyBorder="1" applyAlignment="1">
      <alignment vertical="center"/>
    </xf>
    <xf numFmtId="9" fontId="14" fillId="8" borderId="0" xfId="0" applyNumberFormat="1" applyFont="1" applyFill="1" applyProtection="1">
      <protection locked="0"/>
    </xf>
    <xf numFmtId="165" fontId="14" fillId="8" borderId="0" xfId="1" applyFont="1" applyFill="1" applyProtection="1">
      <protection locked="0"/>
    </xf>
    <xf numFmtId="173" fontId="14" fillId="8" borderId="18" xfId="0" applyNumberFormat="1" applyFont="1" applyFill="1" applyBorder="1" applyAlignment="1" applyProtection="1">
      <alignment horizontal="left"/>
      <protection locked="0"/>
    </xf>
    <xf numFmtId="171" fontId="14" fillId="8" borderId="18" xfId="0" applyNumberFormat="1" applyFont="1" applyFill="1" applyBorder="1" applyProtection="1">
      <protection locked="0"/>
    </xf>
    <xf numFmtId="0" fontId="14" fillId="8" borderId="18" xfId="0" applyFont="1" applyFill="1" applyBorder="1" applyProtection="1">
      <protection locked="0"/>
    </xf>
    <xf numFmtId="10" fontId="14" fillId="8" borderId="18" xfId="2" applyNumberFormat="1" applyFont="1" applyFill="1" applyBorder="1" applyProtection="1">
      <protection locked="0"/>
    </xf>
    <xf numFmtId="10" fontId="14" fillId="8" borderId="18" xfId="0" applyNumberFormat="1" applyFont="1" applyFill="1" applyBorder="1" applyProtection="1">
      <protection locked="0"/>
    </xf>
    <xf numFmtId="10" fontId="14" fillId="0" borderId="0" xfId="2" applyNumberFormat="1" applyFont="1" applyFill="1"/>
    <xf numFmtId="9" fontId="14" fillId="0" borderId="0" xfId="2" applyFont="1" applyFill="1"/>
    <xf numFmtId="173" fontId="14" fillId="0" borderId="0" xfId="0" applyNumberFormat="1" applyFont="1" applyFill="1"/>
    <xf numFmtId="10" fontId="14" fillId="0" borderId="18" xfId="0" applyNumberFormat="1" applyFont="1" applyFill="1" applyBorder="1"/>
    <xf numFmtId="171" fontId="14" fillId="0" borderId="18" xfId="0" applyNumberFormat="1" applyFont="1" applyFill="1" applyBorder="1"/>
    <xf numFmtId="9" fontId="14" fillId="0" borderId="18" xfId="2" applyFont="1" applyFill="1" applyBorder="1"/>
    <xf numFmtId="167" fontId="14" fillId="4" borderId="0" xfId="2" applyNumberFormat="1" applyFont="1" applyFill="1"/>
    <xf numFmtId="165" fontId="14" fillId="8" borderId="18" xfId="1" applyFont="1" applyFill="1" applyBorder="1" applyProtection="1">
      <protection locked="0"/>
    </xf>
    <xf numFmtId="9" fontId="14" fillId="8" borderId="18" xfId="0" applyNumberFormat="1" applyFont="1" applyFill="1" applyBorder="1" applyProtection="1">
      <protection locked="0"/>
    </xf>
    <xf numFmtId="0" fontId="14" fillId="4" borderId="0" xfId="2" applyNumberFormat="1" applyFont="1" applyFill="1"/>
    <xf numFmtId="167" fontId="14" fillId="8" borderId="18" xfId="0" applyNumberFormat="1" applyFont="1" applyFill="1" applyBorder="1" applyProtection="1">
      <protection locked="0"/>
    </xf>
    <xf numFmtId="167" fontId="0" fillId="6" borderId="0" xfId="1" applyNumberFormat="1" applyFont="1" applyFill="1" applyProtection="1">
      <protection locked="0"/>
    </xf>
    <xf numFmtId="0" fontId="2" fillId="2" borderId="0" xfId="0" applyFont="1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6" fillId="0" borderId="18" xfId="6" applyFont="1" applyBorder="1" applyAlignment="1">
      <alignment horizontal="left"/>
    </xf>
    <xf numFmtId="0" fontId="15" fillId="2" borderId="18" xfId="0" applyFont="1" applyFill="1" applyBorder="1" applyAlignment="1">
      <alignment horizontal="center"/>
    </xf>
    <xf numFmtId="0" fontId="13" fillId="0" borderId="18" xfId="6" applyBorder="1" applyAlignment="1">
      <alignment horizontal="left"/>
    </xf>
    <xf numFmtId="0" fontId="14" fillId="0" borderId="18" xfId="0" applyFont="1" applyBorder="1" applyAlignment="1">
      <alignment horizontal="left"/>
    </xf>
    <xf numFmtId="0" fontId="13" fillId="0" borderId="18" xfId="6" applyBorder="1" applyAlignment="1">
      <alignment horizontal="center"/>
    </xf>
    <xf numFmtId="0" fontId="14" fillId="0" borderId="18" xfId="0" applyFont="1" applyBorder="1" applyAlignment="1">
      <alignment horizontal="center"/>
    </xf>
  </cellXfs>
  <cellStyles count="7">
    <cellStyle name="Comma 2" xfId="4"/>
    <cellStyle name="Hipervínculo" xfId="6" builtinId="8"/>
    <cellStyle name="Millares [0]" xfId="1" builtinId="6"/>
    <cellStyle name="Normal" xfId="0" builtinId="0"/>
    <cellStyle name="Normal 2" xfId="3"/>
    <cellStyle name="Percent 2" xfId="5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anrep.gov.co/es/estadisticas/inflacion-total-y-meta" TargetMode="External"/><Relationship Id="rId3" Type="http://schemas.openxmlformats.org/officeDocument/2006/relationships/hyperlink" Target="https://datosmacro.expansion.com/prima-riesgo/colombia" TargetMode="External"/><Relationship Id="rId7" Type="http://schemas.openxmlformats.org/officeDocument/2006/relationships/hyperlink" Target="https://www.cesla.com/indicadores-diarios-mercados-financieros-colombia.php" TargetMode="External"/><Relationship Id="rId2" Type="http://schemas.openxmlformats.org/officeDocument/2006/relationships/hyperlink" Target="https://www.banrep.gov.co/es/estadisticas/inflacion-total-y-meta" TargetMode="External"/><Relationship Id="rId1" Type="http://schemas.openxmlformats.org/officeDocument/2006/relationships/hyperlink" Target="https://www.banrep.gov.co/es/estadisticas/tes-pesos" TargetMode="External"/><Relationship Id="rId6" Type="http://schemas.openxmlformats.org/officeDocument/2006/relationships/hyperlink" Target="https://finance.yahoo.com/quote/%5EGSPC/history?period1=1433376000&amp;period2=1591228800&amp;interval=1mo&amp;filter=history&amp;frequency=1mo" TargetMode="External"/><Relationship Id="rId5" Type="http://schemas.openxmlformats.org/officeDocument/2006/relationships/hyperlink" Target="http://pages.stern.nyu.edu/~adamodar/New_Home_Page/datafile/Betas.html" TargetMode="External"/><Relationship Id="rId4" Type="http://schemas.openxmlformats.org/officeDocument/2006/relationships/hyperlink" Target="https://datosmacro.expansion.com/bono" TargetMode="External"/><Relationship Id="rId9" Type="http://schemas.openxmlformats.org/officeDocument/2006/relationships/hyperlink" Target="https://datosmacro.expansion.com/i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showGridLines="0" showRowColHeaders="0" zoomScale="222" workbookViewId="0">
      <pane ySplit="2" topLeftCell="A15" activePane="bottomLeft" state="frozenSplit"/>
      <selection pane="bottomLeft" activeCell="G11" sqref="G11"/>
    </sheetView>
  </sheetViews>
  <sheetFormatPr baseColWidth="10" defaultColWidth="0" defaultRowHeight="15.6" outlineLevelRow="1" x14ac:dyDescent="0.3"/>
  <cols>
    <col min="1" max="1" width="10.796875" customWidth="1"/>
    <col min="2" max="2" width="5.296875" customWidth="1"/>
    <col min="3" max="3" width="18.69921875" customWidth="1"/>
    <col min="4" max="4" width="12.296875" customWidth="1"/>
    <col min="5" max="5" width="2.19921875" customWidth="1"/>
    <col min="6" max="6" width="21" customWidth="1"/>
    <col min="7" max="7" width="11.69921875" customWidth="1"/>
    <col min="8" max="8" width="3.296875" customWidth="1"/>
    <col min="9" max="9" width="10.796875" customWidth="1"/>
    <col min="10" max="16384" width="10.796875" hidden="1"/>
  </cols>
  <sheetData>
    <row r="1" spans="2:8" ht="9" customHeight="1" x14ac:dyDescent="0.3"/>
    <row r="2" spans="2:8" x14ac:dyDescent="0.3">
      <c r="B2" s="163" t="s">
        <v>4</v>
      </c>
      <c r="C2" s="163"/>
      <c r="D2" s="163"/>
      <c r="E2" s="163"/>
      <c r="F2" s="163"/>
      <c r="G2" s="163"/>
      <c r="H2" s="163"/>
    </row>
    <row r="4" spans="2:8" ht="18" x14ac:dyDescent="0.35">
      <c r="B4" s="8" t="s">
        <v>20</v>
      </c>
    </row>
    <row r="5" spans="2:8" ht="7.05" customHeight="1" outlineLevel="1" thickBot="1" x14ac:dyDescent="0.35"/>
    <row r="6" spans="2:8" ht="13.05" customHeight="1" outlineLevel="1" thickTop="1" x14ac:dyDescent="0.3">
      <c r="B6" s="73"/>
      <c r="C6" s="74"/>
      <c r="D6" s="74"/>
      <c r="E6" s="74"/>
      <c r="F6" s="74"/>
      <c r="G6" s="74"/>
      <c r="H6" s="75"/>
    </row>
    <row r="7" spans="2:8" outlineLevel="1" x14ac:dyDescent="0.3">
      <c r="B7" s="76"/>
      <c r="C7" s="164" t="s">
        <v>18</v>
      </c>
      <c r="D7" s="164"/>
      <c r="E7" s="69"/>
      <c r="F7" s="164" t="s">
        <v>19</v>
      </c>
      <c r="G7" s="164"/>
      <c r="H7" s="77"/>
    </row>
    <row r="8" spans="2:8" ht="6" customHeight="1" outlineLevel="1" x14ac:dyDescent="0.3">
      <c r="B8" s="76"/>
      <c r="C8" s="69"/>
      <c r="D8" s="69"/>
      <c r="E8" s="69"/>
      <c r="F8" s="69"/>
      <c r="G8" s="69"/>
      <c r="H8" s="77"/>
    </row>
    <row r="9" spans="2:8" outlineLevel="1" x14ac:dyDescent="0.3">
      <c r="B9" s="76"/>
      <c r="C9" s="69"/>
      <c r="D9" s="69"/>
      <c r="E9" s="69"/>
      <c r="F9" s="81" t="s">
        <v>1</v>
      </c>
      <c r="G9" s="111" t="s">
        <v>13</v>
      </c>
      <c r="H9" s="77"/>
    </row>
    <row r="10" spans="2:8" ht="6" customHeight="1" outlineLevel="1" x14ac:dyDescent="0.3">
      <c r="B10" s="76"/>
      <c r="C10" s="69"/>
      <c r="D10" s="69"/>
      <c r="E10" s="69"/>
      <c r="F10" s="69"/>
      <c r="G10" s="69"/>
      <c r="H10" s="77"/>
    </row>
    <row r="11" spans="2:8" outlineLevel="1" x14ac:dyDescent="0.3">
      <c r="B11" s="76"/>
      <c r="C11" s="81" t="s">
        <v>0</v>
      </c>
      <c r="D11" s="110">
        <v>0.19</v>
      </c>
      <c r="E11" s="69"/>
      <c r="F11" s="81" t="s">
        <v>2</v>
      </c>
      <c r="G11" s="111" t="s">
        <v>8</v>
      </c>
      <c r="H11" s="77"/>
    </row>
    <row r="12" spans="2:8" ht="6" customHeight="1" outlineLevel="1" x14ac:dyDescent="0.3">
      <c r="B12" s="76"/>
      <c r="C12" s="69"/>
      <c r="D12" s="69"/>
      <c r="E12" s="69"/>
      <c r="F12" s="69"/>
      <c r="G12" s="69"/>
      <c r="H12" s="77"/>
    </row>
    <row r="13" spans="2:8" outlineLevel="1" x14ac:dyDescent="0.3">
      <c r="B13" s="76"/>
      <c r="C13" s="81" t="s">
        <v>1</v>
      </c>
      <c r="D13" s="111" t="s">
        <v>6</v>
      </c>
      <c r="E13" s="69"/>
      <c r="F13" s="81" t="s">
        <v>3</v>
      </c>
      <c r="G13" s="111" t="s">
        <v>918</v>
      </c>
      <c r="H13" s="77"/>
    </row>
    <row r="14" spans="2:8" ht="6" customHeight="1" outlineLevel="1" x14ac:dyDescent="0.3">
      <c r="B14" s="76"/>
      <c r="C14" s="69"/>
      <c r="D14" s="69"/>
      <c r="E14" s="69"/>
      <c r="F14" s="69"/>
      <c r="G14" s="69"/>
      <c r="H14" s="77"/>
    </row>
    <row r="15" spans="2:8" outlineLevel="1" x14ac:dyDescent="0.3">
      <c r="B15" s="76"/>
      <c r="C15" s="69"/>
      <c r="D15" s="69"/>
      <c r="E15" s="69"/>
      <c r="F15" s="81" t="s">
        <v>5</v>
      </c>
      <c r="G15" s="115">
        <f>IF(AND(D13="EFECTIVA",G9="NOMINAL",G11="ANUAL",G13="VENCIDA"),NOMINAL(D11,Informacion!$E$8),IF(AND(D13="EFECTIVA",G9="NOMINAL",G11="ANUAL",G13="ANTICIPADA"),NOMINAL(D11,Informacion!$E$8)/(1+NOMINAL(D11,Informacion!$E$8)),IF(AND(D13="EFECTIVA",G9="NOMINAL",G11="SEMESTRAL",G13="VENCIDA"),NOMINAL(D11,Informacion!$E$7),IF(AND(D13="EFECTIVA",G9="NOMINAL",G11="SEMESTRAL",G13="ANTICIPADA"),NOMINAL(D11,Informacion!$E$7)/(1+NOMINAL(D11,Informacion!$E$7)),IF(AND(D13="EFECTIVA",G9="NOMINAL",G11="TRIMESTRAL",G13="VENCIDA"),NOMINAL(D11,Informacion!$E$6),IF(AND(D13="EFECTIVA",G9="NOMINAL",G11="TRIMESTRAL",G13="ANTICIPADA"),NOMINAL(D11,Informacion!$E$6)/(1+NOMINAL(D11,Informacion!$E$6)),IF(AND(D13="EFECTIVA",G9="NOMINAL",G11="BIMENSUAL",G13="VENCIDA"),NOMINAL(D11,Informacion!$E$5),IF(AND(D13="EFECTIVA",G9="NOMINAL",G11="BIMENSUAL",G13="ANTICIPADA"),NOMINAL(D11,Informacion!$E$5)/(1+NOMINAL(D11,Informacion!$E$5)),IF(AND(D13="EFECTIVA",G9="NOMINAL",G11="MENSUAL",G13="VENCIDA"),NOMINAL(D11,Informacion!$E$4),IF(AND(D13="EFECTIVA",G9="NOMINAL",G11="MENSUAL",G13="ANTICIPADA"),NOMINAL(D11,Informacion!$E$4)/(1+NOMINAL(D11,Informacion!$E$4)),IF(AND(D13="EFECTIVA",G9="NOMINAL",G11="DIARIA",G13="VENCIDA"),NOMINAL(D11,Informacion!$E$3),IF(AND(D13="EFECTIVA",G9="NOMINAL",G11="DIARIA",G13="ANTICIPADA"),NOMINAL(D11,Informacion!$E$3)/(1+NOMINAL(D11,Informacion!$E$3)),IF(AND(D13="EFECTIVA",G9="PERIODICA",G11="ANUAL",G13="VENCIDA"),NOMINAL(D11,Informacion!$E$8)/Informacion!E8,IF(AND(D13="EFECTIVA",G9="PERIODICA",G11="ANUAL",G13="ANTICIPADA"),(NOMINAL(D11,Informacion!$E$8)/(1+NOMINAL(D11,Informacion!$E$8)/Informacion!E8)),IF(AND(D13="EFECTIVA",G9="PERIODICA",G11="SEMESTRAL",G13="VENCIDA"),NOMINAL(D11,Informacion!$E$7)/Informacion!E7,IF(AND(D13="EFECTIVA",G9="PERIODICA",G11="SEMESTRAL",G13="ANTICIPADA"),((NOMINAL(D11,Informacion!$E$7)/(1+NOMINAL(D11,Informacion!$E$7))/2)),IF(AND(D13="EFECTIVA",G9="PERIODICA",G11="TRIMESTRAL",G13="VENCIDA"),NOMINAL(D11,Informacion!$E$6)/Informacion!E6,IF(AND(D13="EFECTIVA",G9="PERIODICA",G11="TRIMESTRAL",G13="ANTICIPADA"),((NOMINAL(D11,Informacion!$E$6)/(1+NOMINAL(D11,Informacion!$E$6))/Informacion!E6)),IF(AND(D13="EFECTIVA",G9="PERIODICA",G11="BIMENSUAL",G13="VENCIDA"),NOMINAL(D11,Informacion!$E$5)/Informacion!E5,IF(AND(D13="EFECTIVA",G9="PERIODICA",G11="BIMENSUAL",G13="ANTICIPADA"),((NOMINAL(D11,Informacion!$E$5)/(1+NOMINAL(D11,Informacion!$E$5))/Informacion!E5)),IF(AND(D13="EFECTIVA",G9="PERIODICA",G11="MENSUAL",G13="VENCIDA"),NOMINAL(D11,Informacion!$E$4)/Informacion!E4,IF(AND(D13="EFECTIVA",G9="PERIODICA",G11="MENSUAL",G13="ANTICIPADA"),((NOMINAL(D11,Informacion!$E$4)/(1+NOMINAL(D11,Informacion!$E$4))/Informacion!E4)),IF(AND(D13="EFECTIVA",G9="PERIODICA",G11="DIARIA",G13="VENCIDA"),NOMINAL(D11,Informacion!$E$3)/Informacion!E3,IF(AND(D13="EFECTIVA",G9="PERIODICA",G11="DIARIA",G13="ANTICIPADA"),(((NOMINAL(D11,Informacion!$E$3)/(1+NOMINAL(D11,Informacion!$E$3))/Informacion!E3))),0))))))))))))))))))))))))</f>
        <v>4.8332039257870107E-4</v>
      </c>
      <c r="H15" s="77"/>
    </row>
    <row r="16" spans="2:8" ht="9" customHeight="1" outlineLevel="1" thickBot="1" x14ac:dyDescent="0.35">
      <c r="B16" s="78"/>
      <c r="C16" s="72"/>
      <c r="D16" s="72"/>
      <c r="E16" s="72"/>
      <c r="F16" s="72"/>
      <c r="G16" s="72"/>
      <c r="H16" s="79"/>
    </row>
    <row r="17" spans="2:8" ht="16.2" thickTop="1" x14ac:dyDescent="0.3">
      <c r="D17" s="2"/>
    </row>
    <row r="18" spans="2:8" ht="18" x14ac:dyDescent="0.35">
      <c r="B18" s="8" t="s">
        <v>915</v>
      </c>
      <c r="D18" s="2"/>
    </row>
    <row r="19" spans="2:8" ht="10.050000000000001" customHeight="1" outlineLevel="1" thickBot="1" x14ac:dyDescent="0.35">
      <c r="D19" s="2"/>
    </row>
    <row r="20" spans="2:8" ht="10.050000000000001" customHeight="1" outlineLevel="1" thickTop="1" x14ac:dyDescent="0.3">
      <c r="B20" s="73"/>
      <c r="C20" s="74"/>
      <c r="D20" s="80"/>
      <c r="E20" s="74"/>
      <c r="F20" s="74"/>
      <c r="G20" s="74"/>
      <c r="H20" s="75"/>
    </row>
    <row r="21" spans="2:8" outlineLevel="1" x14ac:dyDescent="0.3">
      <c r="B21" s="76"/>
      <c r="C21" s="164" t="s">
        <v>22</v>
      </c>
      <c r="D21" s="164"/>
      <c r="E21" s="69"/>
      <c r="F21" s="164" t="s">
        <v>21</v>
      </c>
      <c r="G21" s="164"/>
      <c r="H21" s="77"/>
    </row>
    <row r="22" spans="2:8" outlineLevel="1" x14ac:dyDescent="0.3">
      <c r="B22" s="76"/>
      <c r="C22" s="69"/>
      <c r="D22" s="69"/>
      <c r="E22" s="69"/>
      <c r="F22" s="69"/>
      <c r="G22" s="69"/>
      <c r="H22" s="77"/>
    </row>
    <row r="23" spans="2:8" outlineLevel="1" x14ac:dyDescent="0.3">
      <c r="B23" s="76"/>
      <c r="C23" s="81" t="s">
        <v>0</v>
      </c>
      <c r="D23" s="112">
        <v>0.2</v>
      </c>
      <c r="E23" s="69"/>
      <c r="F23" s="69"/>
      <c r="G23" s="69"/>
      <c r="H23" s="77"/>
    </row>
    <row r="24" spans="2:8" ht="6" customHeight="1" outlineLevel="1" x14ac:dyDescent="0.3">
      <c r="B24" s="76"/>
      <c r="C24" s="69"/>
      <c r="D24" s="69"/>
      <c r="E24" s="69"/>
      <c r="F24" s="69"/>
      <c r="G24" s="69"/>
      <c r="H24" s="77"/>
    </row>
    <row r="25" spans="2:8" outlineLevel="1" x14ac:dyDescent="0.3">
      <c r="B25" s="76"/>
      <c r="C25" s="81" t="s">
        <v>1</v>
      </c>
      <c r="D25" s="111" t="s">
        <v>921</v>
      </c>
      <c r="E25" s="69"/>
      <c r="F25" s="81" t="s">
        <v>1</v>
      </c>
      <c r="G25" s="111" t="s">
        <v>6</v>
      </c>
      <c r="H25" s="77"/>
    </row>
    <row r="26" spans="2:8" ht="7.95" customHeight="1" outlineLevel="1" x14ac:dyDescent="0.3">
      <c r="B26" s="76"/>
      <c r="C26" s="69"/>
      <c r="D26" s="69"/>
      <c r="E26" s="69"/>
      <c r="F26" s="69"/>
      <c r="G26" s="69"/>
      <c r="H26" s="77"/>
    </row>
    <row r="27" spans="2:8" outlineLevel="1" x14ac:dyDescent="0.3">
      <c r="B27" s="76"/>
      <c r="C27" s="81" t="s">
        <v>2</v>
      </c>
      <c r="D27" s="111" t="s">
        <v>10</v>
      </c>
      <c r="E27" s="69"/>
      <c r="F27" s="81" t="s">
        <v>5</v>
      </c>
      <c r="G27" s="116">
        <f>IF(AND(D25="NOMINAL",D27="ANUAL",D29="VENCIDA"),EFFECT(D23,Informacion!E8),IF(AND(D25="NOMINAL",D27="ANUAL",D29="ANTICIPADA"),EFFECT((D23/(1-D23)),Informacion!E8),IF(AND(D25="NOMINAL",D27="SEMESTRAL",D29="VENCIDA"),EFFECT(D23,Informacion!E7),IF(AND(D25="NOMINAL",D27="SEMESTRAL",D29="ANTICIPADA"),EFFECT((D23/(1-D23)),Informacion!E7),IF(AND(D25="NOMINAL",D27="TRIMESTRAL",D29="VENCIDA"),EFFECT(D23,Informacion!E6),IF(AND(D25="NOMINAL",D27="TRIMESTRAL",D29="ANTICIPADA"),EFFECT((D23/(1-D23)),Informacion!E6),IF(AND(D25="NOMINAL",D27="BIMENSUAL",D29="VENCIDA"),EFFECT(D23,Informacion!E5),IF(AND(D25="NOMINAL",D27="BIMENSUAL",D29="ANTICIPADA"),EFFECT((D23/(1-D23)),Informacion!E5),IF(AND(D25="NOMINAL",D27="MENSUAL",D29="VENCIDA"),EFFECT(D23,Informacion!E4),IF(AND(D25="NOMINAL",D27="MENSUAL",D29="ANTICIPADA"),EFFECT((D23/(1-D23)),Informacion!E4),IF(AND(D25="NOMINAL",D27="DIARIA",D29="VENCIDA"),EFFECT(D23,Informacion!E3),IF(AND(D25="NOMINAL",D27="DIARIA",D29="ANTICIPADA"),EFFECT((D23/(1-D23)),Informacion!E3),IF(AND(D25="PERIODICA",D27="ANUAL",D29="VENCIDA"),EFFECT(D23,Informacion!E8),IF(AND(D25="PERIODICA",D27="ANUAL",D29="ANTICIPADA"),EFFECT((D23/(1-D23)),Informacion!E8),IF(AND(D25="PERIODICA",D27="SEMESTRAL",D29="VENCIDA"),EFFECT((D23*Informacion!E7),Informacion!E7),IF(AND(D25="PERIODICA",D27="SEMESTRAL",D29="ANTICIPADA"),EFFECT(((D23*2)/(1-(D23*2))),Informacion!E7),IF(AND(D25="PERIODICA",D27="TRIMESTRAL",D29="VENCIDA"),EFFECT((D23*Informacion!E6),Informacion!E6),IF(AND(D25="PERIODICA",D27="TRIMESTRAL",D29="ANTICIPADA"),EFFECT(((D23*Informacion!E6)/(1-(D23*4))),Informacion!E6),IF(AND(D25="PERIODICA",D27="BIMENSUAL",D29="VENCIDA"),EFFECT((D23*Informacion!E5),Informacion!E5),IF(AND(D25="PERIODICA",D27="BIMENSUAL",D29="ANTICIPADA"),EFFECT(((D23*Informacion!E5)/(1-(D23*Informacion!E5))),Informacion!E5),IF(AND(D25="PERIODICA",D27="MENSUAL",D29="VENCIDA"),EFFECT((D23*Informacion!E4),Informacion!E4),IF(AND(D25="PERIODICA",D27="MENSUAL",D29="ANTICIPADA"),EFFECT(((D23*Informacion!E4)/(1-(D23*Informacion!E4))),Informacion!E4),IF(AND(D25="PERIODICA",D27="DIARIA",D29="VENCIDA"),EFFECT((D23*Informacion!E3),Informacion!E3),IF(AND(D25="PERIODICA",D27="DIARIA",D29="ANTICIPADA"),EFFECT(((D23*Informacion!E3)/(1-(D23*Informacion!E3))),Informacion!E3),0))))))))))))))))))))))))</f>
        <v>0.21742617421124888</v>
      </c>
      <c r="H27" s="77"/>
    </row>
    <row r="28" spans="2:8" ht="7.05" customHeight="1" outlineLevel="1" x14ac:dyDescent="0.3">
      <c r="B28" s="76"/>
      <c r="C28" s="69"/>
      <c r="D28" s="69"/>
      <c r="E28" s="69"/>
      <c r="F28" s="69"/>
      <c r="G28" s="69"/>
      <c r="H28" s="77"/>
    </row>
    <row r="29" spans="2:8" outlineLevel="1" x14ac:dyDescent="0.3">
      <c r="B29" s="76"/>
      <c r="C29" s="81" t="s">
        <v>3</v>
      </c>
      <c r="D29" s="111" t="s">
        <v>918</v>
      </c>
      <c r="E29" s="69"/>
      <c r="F29" s="69"/>
      <c r="G29" s="82"/>
      <c r="H29" s="83"/>
    </row>
    <row r="30" spans="2:8" ht="16.2" outlineLevel="1" thickBot="1" x14ac:dyDescent="0.35">
      <c r="B30" s="78"/>
      <c r="C30" s="72"/>
      <c r="D30" s="72"/>
      <c r="E30" s="72"/>
      <c r="F30" s="84"/>
      <c r="G30" s="72"/>
      <c r="H30" s="79"/>
    </row>
    <row r="31" spans="2:8" ht="16.2" thickTop="1" x14ac:dyDescent="0.3"/>
    <row r="32" spans="2:8" ht="18" x14ac:dyDescent="0.35">
      <c r="B32" s="8" t="s">
        <v>23</v>
      </c>
    </row>
    <row r="33" spans="2:8" s="69" customFormat="1" ht="16.2" outlineLevel="1" thickBot="1" x14ac:dyDescent="0.35"/>
    <row r="34" spans="2:8" s="69" customFormat="1" outlineLevel="1" x14ac:dyDescent="0.3">
      <c r="B34" s="85"/>
      <c r="C34" s="86"/>
      <c r="D34" s="87"/>
      <c r="F34" s="85"/>
      <c r="G34" s="86"/>
      <c r="H34" s="87"/>
    </row>
    <row r="35" spans="2:8" s="69" customFormat="1" outlineLevel="1" x14ac:dyDescent="0.3">
      <c r="B35" s="9"/>
      <c r="C35" s="164" t="s">
        <v>28</v>
      </c>
      <c r="D35" s="165"/>
      <c r="F35" s="166" t="s">
        <v>27</v>
      </c>
      <c r="G35" s="164"/>
      <c r="H35" s="10"/>
    </row>
    <row r="36" spans="2:8" s="69" customFormat="1" outlineLevel="1" x14ac:dyDescent="0.3">
      <c r="B36" s="9"/>
      <c r="D36" s="10"/>
      <c r="F36" s="9"/>
      <c r="H36" s="10"/>
    </row>
    <row r="37" spans="2:8" s="69" customFormat="1" outlineLevel="1" x14ac:dyDescent="0.3">
      <c r="B37" s="9"/>
      <c r="C37" s="81" t="s">
        <v>24</v>
      </c>
      <c r="D37" s="113">
        <v>0.03</v>
      </c>
      <c r="F37" s="93" t="s">
        <v>24</v>
      </c>
      <c r="G37" s="114"/>
      <c r="H37" s="10"/>
    </row>
    <row r="38" spans="2:8" s="69" customFormat="1" ht="6" customHeight="1" outlineLevel="1" x14ac:dyDescent="0.3">
      <c r="B38" s="9"/>
      <c r="C38" s="92"/>
      <c r="D38" s="12"/>
      <c r="F38" s="94"/>
      <c r="H38" s="10"/>
    </row>
    <row r="39" spans="2:8" s="69" customFormat="1" outlineLevel="1" x14ac:dyDescent="0.3">
      <c r="B39" s="9"/>
      <c r="C39" s="81" t="s">
        <v>25</v>
      </c>
      <c r="D39" s="113">
        <v>0.02</v>
      </c>
      <c r="F39" s="93" t="s">
        <v>25</v>
      </c>
      <c r="G39" s="114"/>
      <c r="H39" s="10"/>
    </row>
    <row r="40" spans="2:8" s="69" customFormat="1" ht="6" customHeight="1" outlineLevel="1" x14ac:dyDescent="0.3">
      <c r="B40" s="9"/>
      <c r="C40" s="92"/>
      <c r="D40" s="12"/>
      <c r="F40" s="94"/>
      <c r="H40" s="10"/>
    </row>
    <row r="41" spans="2:8" s="69" customFormat="1" outlineLevel="1" x14ac:dyDescent="0.3">
      <c r="B41" s="9"/>
      <c r="C41" s="81" t="s">
        <v>26</v>
      </c>
      <c r="D41" s="90">
        <f>(D37+1)*(D39+1)-1</f>
        <v>5.0599999999999978E-2</v>
      </c>
      <c r="F41" s="93" t="s">
        <v>26</v>
      </c>
      <c r="G41" s="91">
        <f>(G37+1)*(G39+1)-1</f>
        <v>0</v>
      </c>
      <c r="H41" s="10"/>
    </row>
    <row r="42" spans="2:8" s="69" customFormat="1" outlineLevel="1" x14ac:dyDescent="0.3">
      <c r="B42" s="9"/>
      <c r="D42" s="10"/>
      <c r="F42" s="9"/>
      <c r="H42" s="10"/>
    </row>
    <row r="43" spans="2:8" ht="16.2" outlineLevel="1" thickBot="1" x14ac:dyDescent="0.35">
      <c r="B43" s="11"/>
      <c r="C43" s="88"/>
      <c r="D43" s="89"/>
      <c r="E43" s="69"/>
      <c r="F43" s="11"/>
      <c r="G43" s="88"/>
      <c r="H43" s="89"/>
    </row>
    <row r="44" spans="2:8" outlineLevel="1" x14ac:dyDescent="0.3">
      <c r="E44" s="69"/>
    </row>
  </sheetData>
  <sheetProtection algorithmName="SHA-512" hashValue="LTVVdAARvCViiky4nEJOSid7g14XE93xmSIsoF31XtoAjm/vdS4cikj+xb0iXH+JvnnAnpiIKvBF001yFI2NXQ==" saltValue="TiyNIa+Vg3feJKdQ8rJz8A==" spinCount="100000" sheet="1" formatCells="0" formatColumns="0" formatRows="0" insertColumns="0" insertRows="0" insertHyperlinks="0" deleteColumns="0" deleteRows="0"/>
  <dataConsolidate/>
  <mergeCells count="7">
    <mergeCell ref="B2:H2"/>
    <mergeCell ref="C35:D35"/>
    <mergeCell ref="F35:G35"/>
    <mergeCell ref="C7:D7"/>
    <mergeCell ref="F7:G7"/>
    <mergeCell ref="C21:D21"/>
    <mergeCell ref="F21:G21"/>
  </mergeCells>
  <dataValidations count="5">
    <dataValidation type="list" allowBlank="1" showInputMessage="1" showErrorMessage="1" sqref="D25 G9">
      <formula1>"NOMINAL,PERIODICA"</formula1>
    </dataValidation>
    <dataValidation type="list" allowBlank="1" showInputMessage="1" showErrorMessage="1" sqref="D27 G11">
      <formula1>"DIARIA, MENSUAL, BIMENSUAL, TRIMESTRAL, SEMESTRAL,ANUAL"</formula1>
    </dataValidation>
    <dataValidation type="list" allowBlank="1" showInputMessage="1" showErrorMessage="1" sqref="D29 G13">
      <formula1>"VENCIDA, ANTICIPADA"</formula1>
    </dataValidation>
    <dataValidation type="decimal" allowBlank="1" showInputMessage="1" showErrorMessage="1" sqref="D11 D23">
      <formula1>0</formula1>
      <formula2>0.99</formula2>
    </dataValidation>
    <dataValidation type="list" allowBlank="1" showInputMessage="1" showErrorMessage="1" sqref="G25 D13">
      <formula1>"EFECTIVA"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5"/>
  <sheetViews>
    <sheetView zoomScale="150" workbookViewId="0">
      <selection activeCell="D16" sqref="D16"/>
    </sheetView>
  </sheetViews>
  <sheetFormatPr baseColWidth="10" defaultRowHeight="15.6" x14ac:dyDescent="0.3"/>
  <cols>
    <col min="1" max="1" width="32.296875" bestFit="1" customWidth="1"/>
  </cols>
  <sheetData>
    <row r="3" spans="1:5" x14ac:dyDescent="0.3">
      <c r="A3" t="s">
        <v>15</v>
      </c>
      <c r="B3" s="5">
        <f>IF(AND('Tasas fijas'!D10="EFECTIVA",'Tasas fijas'!G6="PERIODICA",'Tasas fijas'!G8="ANUAL",'Tasas fijas'!G10="VENCIDA"),NOMINAL('Tasas fijas'!D8,Informacion!$E$8)/Informacion!E8,IF(AND('Tasas fijas'!D10="EFECTIVA",'Tasas fijas'!G6="PERIODICA",'Tasas fijas'!G8="ANUAL",'Tasas fijas'!G10="ANTICIPADA"),(NOMINAL('Tasas fijas'!D8,Informacion!$E$8)/(1+NOMINAL('Tasas fijas'!D8,Informacion!$E$8)/Informacion!E8)),IF(AND('Tasas fijas'!D10="EFECTIVA",'Tasas fijas'!G6="PERIODICA",'Tasas fijas'!G8="SEMESTRAL",'Tasas fijas'!G10="VENCIDA"),NOMINAL('Tasas fijas'!D8,Informacion!$E$7)/Informacion!E7,IF(AND('Tasas fijas'!D10="EFECTIVA",'Tasas fijas'!G6="PERIODICA",'Tasas fijas'!G8="SEMESTRAL",'Tasas fijas'!G10="ANTICIPADA"),((NOMINAL('Tasas fijas'!D8,Informacion!$E$7)/(1+NOMINAL('Tasas fijas'!D8,Informacion!$E$7))/2)),IF(AND('Tasas fijas'!D10="EFECTIVA",'Tasas fijas'!G6="PERIODICA",'Tasas fijas'!G8="TRIMESTRAL",'Tasas fijas'!G10="VENCIDA"),NOMINAL('Tasas fijas'!D8,Informacion!$E$6)/Informacion!E6,IF(AND('Tasas fijas'!D10="EFECTIVA",'Tasas fijas'!G6="PERIODICA",'Tasas fijas'!G8="TRIMESTRAL",'Tasas fijas'!G10="ANTICIPADA"),((NOMINAL('Tasas fijas'!D8,Informacion!$E$6)/(1+NOMINAL('Tasas fijas'!D8,Informacion!$E$6))/Informacion!E6)),IF(AND('Tasas fijas'!D10="EFECTIVA",'Tasas fijas'!G6="PERIODICA",'Tasas fijas'!G8="BIMENSUAL",'Tasas fijas'!G10="VENCIDA"),NOMINAL('Tasas fijas'!D8,Informacion!$E$5)/Informacion!E5,IF(AND('Tasas fijas'!D10="EFECTIVA",'Tasas fijas'!G6="PERIODICA",'Tasas fijas'!G8="BIMENSUAL",'Tasas fijas'!G10="ANTICIPADA"),((NOMINAL('Tasas fijas'!D8,Informacion!$E$5)/(1+NOMINAL('Tasas fijas'!D8,Informacion!$E$5))/Informacion!E5)),IF(AND('Tasas fijas'!D10="EFECTIVA",'Tasas fijas'!G6="PERIODICA",'Tasas fijas'!G8="MENSUAL",'Tasas fijas'!G10="VENCIDA"),NOMINAL('Tasas fijas'!D8,Informacion!$E$4)/Informacion!E4,IF(AND('Tasas fijas'!D10="EFECTIVA",'Tasas fijas'!G6="PERIODICA",'Tasas fijas'!G8="MENSUAL",'Tasas fijas'!G10="ANTICIPADA"),((NOMINAL('Tasas fijas'!D8,Informacion!$E$4)/(1+NOMINAL('Tasas fijas'!D8,Informacion!$E$4))/Informacion!E4)),IF(AND('Tasas fijas'!D10="EFECTIVA",'Tasas fijas'!G6="PERIODICA",'Tasas fijas'!G8="DIARIA",'Tasas fijas'!G10="VENCIDA"),NOMINAL('Tasas fijas'!D8,Informacion!$E$3)/Informacion!E3,IF(AND('Tasas fijas'!D10="EFECTIVA",'Tasas fijas'!G6="PERIODICA",'Tasas fijas'!G8="DIARIA",'Tasas fijas'!G10="ANTICIPADA"),(((NOMINAL('Tasas fijas'!D8,Informacion!$E$3)/(1+NOMINAL('Tasas fijas'!D8,Informacion!$E$3))/Informacion!E3))),0))))))))))))</f>
        <v>0</v>
      </c>
      <c r="D3" t="s">
        <v>8</v>
      </c>
      <c r="E3">
        <v>360</v>
      </c>
    </row>
    <row r="4" spans="1:5" x14ac:dyDescent="0.3">
      <c r="A4" t="s">
        <v>14</v>
      </c>
      <c r="B4" s="5">
        <f>IF(AND(C8="EFECTIVA",F6="NOMINAL",F8="ANUAL",F10="VENCIDA"),NOMINAL(C6,$F$23),IF(AND(C8="EFECTIVA",F6="NOMINAL",F8="ANUAL",F10="ANTICIPADA"),NOMINAL(C6,$F$23)/(1+NOMINAL(C6,$F$23)),IF(AND(C8="EFECTIVA",F6="NOMINAL",F8="SEMESTRAL",F10="VENCIDA"),NOMINAL(C6,$F$22),IF(AND(C8="EFECTIVA",F6="NOMINAL",F8="SEMESTRAL",F10="ANTICIPADA"),NOMINAL(C6,$F$22)/(1+NOMINAL(C6,$F$22)),IF(AND(C8="EFECTIVA",F6="NOMINAL",F8="TRIMESTRAL",F10="VENCIDA"),NOMINAL(C6,$F$21),IF(AND(C8="EFECTIVA",F6="NOMINAL",F8="TRIMESTRAL",F10="ANTICIPADA"),NOMINAL(C6,$F$21)/(1+NOMINAL(C6,$F$21)),IF(AND(C8="EFECTIVA",F6="NOMINAL",F8="BIMENSUAL",F10="VENCIDA"),NOMINAL(C6,$F$20),IF(AND(C8="EFECTIVA",F6="NOMINAL",F8="BIMENSUAL",F10="ANTICIPADA"),NOMINAL(C6,$F$20)/(1+NOMINAL(C6,$F$20)),IF(AND(C8="EFECTIVA",F6="NOMINAL",F8="MENSUAL",F10="VENCIDA"),NOMINAL(C6,$F$19),IF(AND(C8="EFECTIVA",F6="NOMINAL",F8="MENSUAL",F10="ANTICIPADA"),NOMINAL(C6,$F$19)/(1+NOMINAL(C6,$F$19)),IF(AND(C8="EFECTIVA",F6="NOMINAL",F8="DIARIA",F10="VENCIDA"),NOMINAL(C6,$F$18),IF(AND(C8="EFECTIVA",F6="NOMINAL",F8="DIARIA",F10="ANTICIPADA"),NOMINAL(C6,$F$18)/(1+NOMINAL(C6,$F$18)),0))))))))))))</f>
        <v>0</v>
      </c>
      <c r="D4" t="s">
        <v>9</v>
      </c>
      <c r="E4">
        <v>12</v>
      </c>
    </row>
    <row r="5" spans="1:5" x14ac:dyDescent="0.3">
      <c r="A5" t="s">
        <v>17</v>
      </c>
      <c r="B5" s="7" t="e">
        <f>IF(AND(#REF!="NOMINAL",#REF!="ANUAL",#REF!="VENCIDA"),EFFECT(#REF!,B13),IF(AND(#REF!="NOMINAL",#REF!="ANUAL",#REF!="ANTICIPADA"),EFFECT((#REF!/(1-#REF!)),B13),IF(AND(#REF!="NOMINAL",#REF!="SEMESTRAL",#REF!="VENCIDA"),EFFECT(#REF!,B12),IF(AND(#REF!="NOMINAL",#REF!="SEMESTRAL",#REF!="ANTICIPADA"),EFFECT((#REF!/(1-#REF!)),B12),IF(AND(#REF!="NOMINAL",#REF!="TRIMESTRAL",#REF!="VENCIDA"),EFFECT(#REF!,B11),IF(AND(#REF!="NOMINAL",#REF!="TRIMESTRAL",#REF!="ANTICIPADA"),EFFECT((#REF!/(1-#REF!)),B11),IF(AND(#REF!="NOMINAL",#REF!="BIMENSUAL",#REF!="VENCIDA"),EFFECT(#REF!,B10),IF(AND(#REF!="NOMINAL",#REF!="BIMENSUAL",#REF!="ANTICIPADA"),EFFECT((#REF!/(1-#REF!)),B10),IF(AND(#REF!="NOMINAL",#REF!="MENSUAL",#REF!="VENCIDA"),EFFECT(#REF!,B9),IF(AND(#REF!="NOMINAL",#REF!="MENSUAL",#REF!="ANTICIPADA"),EFFECT((#REF!/(1-#REF!)),B9),IF(AND(#REF!="NOMINAL",#REF!="DIARIA",#REF!="VENCIDA"),EFFECT(#REF!,B8),IF(AND(#REF!="NOMINAL",#REF!="DIARIA",#REF!="ANTICIPADA"),EFFECT((#REF!/(1-#REF!)),B8),0))))))))))))</f>
        <v>#REF!</v>
      </c>
      <c r="D5" t="s">
        <v>10</v>
      </c>
      <c r="E5">
        <v>6</v>
      </c>
    </row>
    <row r="6" spans="1:5" x14ac:dyDescent="0.3">
      <c r="A6" t="s">
        <v>16</v>
      </c>
      <c r="B6">
        <f>IF(AND(C18="PERIODICA",C20="ANUAL",C22="VENCIDA"),EFFECT(C16,F30),IF(AND(C18="PERIODICA",C20="ANUAL",C22="ANTICIPADA"),EFFECT((C16/(1-C16)),F30),IF(AND(C18="PERIODICA",C20="SEMESTRAL",C22="VENCIDA"),EFFECT((C16*F29),F29),IF(AND(C18="PERIODICA",C20="SEMESTRAL",C22="ANTICIPADA"),EFFECT(((C16*2)/(1-(C16*2))),F29),IF(AND(C18="PERIODICA",C20="TRIMESTRAL",C22="VENCIDA"),EFFECT((C16*F28),F28),IF(AND(C18="PERIODICA",C20="TRIMESTRAL",C22="ANTICIPADA"),EFFECT(((C16*F28)/(1-(C16*4))),F28),IF(AND(C18="PERIODICA",C20="BIMENSUAL",C22="VENCIDA"),EFFECT((C16*F27),F27),IF(AND(C18="PERIODICA",C20="BIMENSUAL",C22="ANTICIPADA"),EFFECT(((C16*F27)/(1-(C16*F27))),F27),IF(AND(C18="PERIODICA",C20="MENSUAL",C22="VENCIDA"),EFFECT((C16*F26),F26),IF(AND(C18="PERIODICA",C20="MENSUAL",C22="ANTICIPADA"),EFFECT(((C16*F26)/(1-(C16*F26))),F26),IF(AND(C18="PERIODICA",C20="DIARIA",C22="VENCIDA"),EFFECT((C16*F25),F25),IF(AND(C18="PERIODICA",C20="DIARIA",C22="ANTICIPADA"),EFFECT(((C16*F25)/(1-(C16*F25))),F25),0))))))))))))</f>
        <v>0</v>
      </c>
      <c r="D6" t="s">
        <v>11</v>
      </c>
      <c r="E6">
        <v>4</v>
      </c>
    </row>
    <row r="7" spans="1:5" x14ac:dyDescent="0.3">
      <c r="D7" t="s">
        <v>12</v>
      </c>
      <c r="E7">
        <v>2</v>
      </c>
    </row>
    <row r="8" spans="1:5" x14ac:dyDescent="0.3">
      <c r="D8" t="s">
        <v>7</v>
      </c>
      <c r="E8">
        <v>1</v>
      </c>
    </row>
    <row r="11" spans="1:5" x14ac:dyDescent="0.3">
      <c r="D11" s="4" t="s">
        <v>30</v>
      </c>
    </row>
    <row r="12" spans="1:5" x14ac:dyDescent="0.3">
      <c r="D12" s="4" t="s">
        <v>31</v>
      </c>
    </row>
    <row r="13" spans="1:5" x14ac:dyDescent="0.3">
      <c r="D13" s="4" t="s">
        <v>32</v>
      </c>
    </row>
    <row r="14" spans="1:5" x14ac:dyDescent="0.3">
      <c r="D14" s="3" t="s">
        <v>33</v>
      </c>
    </row>
    <row r="15" spans="1:5" x14ac:dyDescent="0.3">
      <c r="D15" s="4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showGridLines="0" showRowColHeaders="0" tabSelected="1" topLeftCell="A2" zoomScale="224" workbookViewId="0">
      <selection activeCell="A9" sqref="A9"/>
    </sheetView>
  </sheetViews>
  <sheetFormatPr baseColWidth="10" defaultRowHeight="15.6" x14ac:dyDescent="0.3"/>
  <cols>
    <col min="1" max="1" width="13.5" customWidth="1"/>
    <col min="3" max="3" width="20.796875" customWidth="1"/>
    <col min="4" max="4" width="19.296875" bestFit="1" customWidth="1"/>
    <col min="5" max="5" width="8.5" customWidth="1"/>
    <col min="6" max="6" width="15.796875" bestFit="1" customWidth="1"/>
    <col min="7" max="7" width="17.796875" bestFit="1" customWidth="1"/>
  </cols>
  <sheetData>
    <row r="1" spans="2:7" ht="16.2" thickBot="1" x14ac:dyDescent="0.35"/>
    <row r="2" spans="2:7" ht="16.8" thickTop="1" thickBot="1" x14ac:dyDescent="0.35">
      <c r="B2" s="167" t="s">
        <v>914</v>
      </c>
      <c r="C2" s="168"/>
      <c r="D2" s="168"/>
      <c r="E2" s="169"/>
    </row>
    <row r="3" spans="2:7" ht="16.2" thickTop="1" x14ac:dyDescent="0.3">
      <c r="B3" s="73"/>
      <c r="C3" s="74"/>
      <c r="D3" s="74"/>
      <c r="E3" s="75"/>
    </row>
    <row r="4" spans="2:7" x14ac:dyDescent="0.3">
      <c r="B4" s="76"/>
      <c r="C4" s="81" t="s">
        <v>29</v>
      </c>
      <c r="D4" s="121" t="s">
        <v>30</v>
      </c>
      <c r="E4" s="77"/>
      <c r="G4" s="4"/>
    </row>
    <row r="5" spans="2:7" x14ac:dyDescent="0.3">
      <c r="B5" s="76"/>
      <c r="C5" s="69"/>
      <c r="D5" s="69"/>
      <c r="E5" s="77"/>
      <c r="G5" s="4"/>
    </row>
    <row r="6" spans="2:7" x14ac:dyDescent="0.3">
      <c r="B6" s="76"/>
      <c r="C6" s="95" t="s">
        <v>30</v>
      </c>
      <c r="D6" s="117"/>
      <c r="E6" s="77"/>
    </row>
    <row r="7" spans="2:7" x14ac:dyDescent="0.3">
      <c r="B7" s="76"/>
      <c r="C7" s="95" t="s">
        <v>31</v>
      </c>
      <c r="D7" s="118">
        <v>9.4999999999999998E-3</v>
      </c>
      <c r="E7" s="77"/>
    </row>
    <row r="8" spans="2:7" x14ac:dyDescent="0.3">
      <c r="B8" s="76"/>
      <c r="C8" s="95" t="s">
        <v>32</v>
      </c>
      <c r="D8" s="119">
        <v>60</v>
      </c>
      <c r="E8" s="77"/>
    </row>
    <row r="9" spans="2:7" x14ac:dyDescent="0.3">
      <c r="B9" s="76"/>
      <c r="C9" s="96" t="s">
        <v>33</v>
      </c>
      <c r="D9" s="120">
        <v>50000000</v>
      </c>
      <c r="E9" s="77"/>
    </row>
    <row r="10" spans="2:7" x14ac:dyDescent="0.3">
      <c r="B10" s="76"/>
      <c r="C10" s="96" t="s">
        <v>34</v>
      </c>
      <c r="D10" s="120">
        <v>30000000</v>
      </c>
      <c r="E10" s="77"/>
      <c r="G10" s="3"/>
    </row>
    <row r="11" spans="2:7" x14ac:dyDescent="0.3">
      <c r="B11" s="76"/>
      <c r="C11" s="71"/>
      <c r="D11" s="70"/>
      <c r="E11" s="77"/>
      <c r="F11" s="108"/>
      <c r="G11" s="3"/>
    </row>
    <row r="12" spans="2:7" x14ac:dyDescent="0.3">
      <c r="B12" s="76"/>
      <c r="C12" s="81" t="str">
        <f>D4</f>
        <v>Cuota</v>
      </c>
      <c r="D12" s="122">
        <f>IF(C12="Cuota",PMT(D7,D8,-D9),IF(C12="Tasa de interes",RATE(D8,D6,-D9,),IF(C12="Tiempo",NPER(D7,D6,-D9,),IF(C12="Valor inicial",PV(D7,D8,,-D10),IF(C12="Valor futuro",FV(D7,D8,,-D9),0)))))</f>
        <v>1097121.8926016511</v>
      </c>
      <c r="E12" s="77"/>
      <c r="F12" s="108"/>
      <c r="G12" s="4"/>
    </row>
    <row r="13" spans="2:7" ht="16.2" thickBot="1" x14ac:dyDescent="0.35">
      <c r="B13" s="78"/>
      <c r="C13" s="72"/>
      <c r="D13" s="107"/>
      <c r="E13" s="79"/>
      <c r="G13" s="4"/>
    </row>
    <row r="14" spans="2:7" ht="16.2" thickTop="1" x14ac:dyDescent="0.3">
      <c r="D14" s="108"/>
    </row>
    <row r="15" spans="2:7" x14ac:dyDescent="0.3">
      <c r="G15" s="4"/>
    </row>
  </sheetData>
  <sheetProtection algorithmName="SHA-512" hashValue="FzwYMs356ANJD+Qja5Gl76mF/qOkQgjfw/rEBWxyvt4FRzSjyCM/H9RYhet8W9HG0KVieG1ZEdM7WO4XgagADA==" saltValue="GX49Uid3FsuAFhKgFsGywg==" spinCount="100000" sheet="1" formatCells="0" formatColumns="0" formatRows="0" insertColumns="0" insertRows="0" insertHyperlinks="0" deleteColumns="0" deleteRows="0" sort="0" autoFilter="0" pivotTables="0"/>
  <mergeCells count="1">
    <mergeCell ref="B2:E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Informacion!$D$11:$D$15</xm:f>
          </x14:formula1>
          <xm:sqref>D4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6"/>
  <sheetViews>
    <sheetView showGridLines="0" showRowColHeaders="0" zoomScale="171" workbookViewId="0">
      <pane xSplit="2" ySplit="12" topLeftCell="C13" activePane="bottomRight" state="frozen"/>
      <selection activeCell="E3" sqref="E3"/>
      <selection pane="topRight" activeCell="E3" sqref="E3"/>
      <selection pane="bottomLeft" activeCell="E3" sqref="E3"/>
      <selection pane="bottomRight" activeCell="D6" sqref="D6"/>
    </sheetView>
  </sheetViews>
  <sheetFormatPr baseColWidth="10" defaultColWidth="0" defaultRowHeight="15.6" x14ac:dyDescent="0.3"/>
  <cols>
    <col min="1" max="1" width="9.19921875" style="13" customWidth="1"/>
    <col min="2" max="2" width="19.296875" style="13" bestFit="1" customWidth="1"/>
    <col min="3" max="3" width="23.69921875" style="13" customWidth="1"/>
    <col min="4" max="4" width="16.5" style="13" bestFit="1" customWidth="1"/>
    <col min="5" max="5" width="15.296875" style="13" customWidth="1"/>
    <col min="6" max="6" width="16" style="13" bestFit="1" customWidth="1"/>
    <col min="7" max="7" width="15.296875" style="14" bestFit="1" customWidth="1"/>
    <col min="8" max="11" width="9.19921875" style="13" customWidth="1"/>
    <col min="12" max="16384" width="9.19921875" style="13" hidden="1"/>
  </cols>
  <sheetData>
    <row r="1" spans="2:7" ht="16.2" thickBot="1" x14ac:dyDescent="0.35"/>
    <row r="2" spans="2:7" ht="16.2" thickBot="1" x14ac:dyDescent="0.35">
      <c r="B2" s="97" t="s">
        <v>46</v>
      </c>
      <c r="C2" s="123" t="s">
        <v>917</v>
      </c>
      <c r="D2" s="15"/>
    </row>
    <row r="3" spans="2:7" ht="16.2" thickBot="1" x14ac:dyDescent="0.35">
      <c r="B3" s="98" t="s">
        <v>45</v>
      </c>
      <c r="C3" s="124" t="s">
        <v>47</v>
      </c>
      <c r="D3" s="15"/>
    </row>
    <row r="4" spans="2:7" ht="16.2" thickBot="1" x14ac:dyDescent="0.35"/>
    <row r="5" spans="2:7" x14ac:dyDescent="0.3">
      <c r="B5" s="99" t="s">
        <v>44</v>
      </c>
      <c r="C5" s="125">
        <v>50000000</v>
      </c>
      <c r="D5" s="15"/>
    </row>
    <row r="6" spans="2:7" x14ac:dyDescent="0.3">
      <c r="B6" s="100" t="s">
        <v>43</v>
      </c>
      <c r="C6" s="126">
        <v>60</v>
      </c>
      <c r="D6" s="109"/>
    </row>
    <row r="7" spans="2:7" x14ac:dyDescent="0.3">
      <c r="B7" s="100" t="s">
        <v>42</v>
      </c>
      <c r="C7" s="127">
        <f>NOMINAL(C8,12)/12</f>
        <v>9.4887929345830457E-3</v>
      </c>
    </row>
    <row r="8" spans="2:7" x14ac:dyDescent="0.3">
      <c r="B8" s="100" t="s">
        <v>41</v>
      </c>
      <c r="C8" s="142">
        <v>0.12</v>
      </c>
    </row>
    <row r="9" spans="2:7" x14ac:dyDescent="0.3">
      <c r="B9" s="100" t="s">
        <v>40</v>
      </c>
      <c r="C9" s="128">
        <f>+((((1+C7)^C6)*C7)/((1+C7)^C6-1))*C5</f>
        <v>1096784.7935111579</v>
      </c>
      <c r="D9" s="14"/>
      <c r="E9" s="14"/>
      <c r="F9" s="19"/>
    </row>
    <row r="10" spans="2:7" ht="16.2" thickBot="1" x14ac:dyDescent="0.35">
      <c r="B10" s="101" t="s">
        <v>36</v>
      </c>
      <c r="C10" s="129"/>
      <c r="D10" s="14"/>
      <c r="E10" s="14"/>
      <c r="F10" s="19"/>
    </row>
    <row r="11" spans="2:7" ht="16.2" thickBot="1" x14ac:dyDescent="0.35"/>
    <row r="12" spans="2:7" ht="15" thickBot="1" x14ac:dyDescent="0.35">
      <c r="B12" s="18" t="s">
        <v>39</v>
      </c>
      <c r="C12" s="17" t="s">
        <v>38</v>
      </c>
      <c r="D12" s="17" t="s">
        <v>37</v>
      </c>
      <c r="E12" s="17" t="s">
        <v>36</v>
      </c>
      <c r="F12" s="17" t="s">
        <v>30</v>
      </c>
      <c r="G12" s="16" t="s">
        <v>35</v>
      </c>
    </row>
    <row r="13" spans="2:7" ht="14.4" x14ac:dyDescent="0.3">
      <c r="B13" s="21">
        <v>0</v>
      </c>
      <c r="C13" s="22"/>
      <c r="D13" s="22"/>
      <c r="E13" s="22"/>
      <c r="F13" s="23"/>
      <c r="G13" s="24">
        <f>+C5</f>
        <v>50000000</v>
      </c>
    </row>
    <row r="14" spans="2:7" x14ac:dyDescent="0.3">
      <c r="B14" s="25">
        <v>1</v>
      </c>
      <c r="C14" s="26">
        <f t="shared" ref="C14:C45" si="0">+IF(B14=" ",0,(F14-D14))</f>
        <v>622345.14678200555</v>
      </c>
      <c r="D14" s="26">
        <f t="shared" ref="D14:D45" si="1">+IF(B14=" ",0,G13*$C$7)</f>
        <v>474439.6467291523</v>
      </c>
      <c r="E14" s="26">
        <f t="shared" ref="E14:E45" si="2">+IF(B14=" ",0,$C$10)</f>
        <v>0</v>
      </c>
      <c r="F14" s="26">
        <f>+$C$9</f>
        <v>1096784.7935111579</v>
      </c>
      <c r="G14" s="27">
        <f t="shared" ref="G14:G45" si="3">+G13-C14</f>
        <v>49377654.853217997</v>
      </c>
    </row>
    <row r="15" spans="2:7" s="20" customFormat="1" x14ac:dyDescent="0.3">
      <c r="B15" s="28">
        <f t="shared" ref="B15:B46" si="4">IF(B14&lt;$C$6,B14+1," ")</f>
        <v>2</v>
      </c>
      <c r="C15" s="29">
        <f t="shared" si="0"/>
        <v>628250.45101366262</v>
      </c>
      <c r="D15" s="29">
        <f t="shared" si="1"/>
        <v>468534.34249749518</v>
      </c>
      <c r="E15" s="29">
        <f t="shared" si="2"/>
        <v>0</v>
      </c>
      <c r="F15" s="29">
        <f t="shared" ref="F15:F46" si="5">+IF(B15=" ",0,$C$9)</f>
        <v>1096784.7935111579</v>
      </c>
      <c r="G15" s="27">
        <f t="shared" si="3"/>
        <v>48749404.402204335</v>
      </c>
    </row>
    <row r="16" spans="2:7" s="20" customFormat="1" x14ac:dyDescent="0.3">
      <c r="B16" s="28">
        <f t="shared" si="4"/>
        <v>3</v>
      </c>
      <c r="C16" s="29">
        <f t="shared" si="0"/>
        <v>634211.78945438971</v>
      </c>
      <c r="D16" s="29">
        <f t="shared" si="1"/>
        <v>462573.00405676814</v>
      </c>
      <c r="E16" s="29">
        <f t="shared" si="2"/>
        <v>0</v>
      </c>
      <c r="F16" s="29">
        <f t="shared" si="5"/>
        <v>1096784.7935111579</v>
      </c>
      <c r="G16" s="27">
        <f t="shared" si="3"/>
        <v>48115192.612749942</v>
      </c>
    </row>
    <row r="17" spans="2:7" s="20" customFormat="1" x14ac:dyDescent="0.3">
      <c r="B17" s="28">
        <f t="shared" si="4"/>
        <v>4</v>
      </c>
      <c r="C17" s="29">
        <f t="shared" si="0"/>
        <v>640229.69380119385</v>
      </c>
      <c r="D17" s="29">
        <f t="shared" si="1"/>
        <v>456555.09970996401</v>
      </c>
      <c r="E17" s="29">
        <f t="shared" si="2"/>
        <v>0</v>
      </c>
      <c r="F17" s="29">
        <f t="shared" si="5"/>
        <v>1096784.7935111579</v>
      </c>
      <c r="G17" s="27">
        <f t="shared" si="3"/>
        <v>47474962.918948747</v>
      </c>
    </row>
    <row r="18" spans="2:7" s="20" customFormat="1" x14ac:dyDescent="0.3">
      <c r="B18" s="28">
        <f t="shared" si="4"/>
        <v>5</v>
      </c>
      <c r="C18" s="29">
        <f t="shared" si="0"/>
        <v>646304.7007962449</v>
      </c>
      <c r="D18" s="29">
        <f t="shared" si="1"/>
        <v>450480.09271491296</v>
      </c>
      <c r="E18" s="29">
        <f t="shared" si="2"/>
        <v>0</v>
      </c>
      <c r="F18" s="29">
        <f t="shared" si="5"/>
        <v>1096784.7935111579</v>
      </c>
      <c r="G18" s="27">
        <f t="shared" si="3"/>
        <v>46828658.218152501</v>
      </c>
    </row>
    <row r="19" spans="2:7" s="20" customFormat="1" x14ac:dyDescent="0.3">
      <c r="B19" s="28">
        <f t="shared" si="4"/>
        <v>6</v>
      </c>
      <c r="C19" s="29">
        <f t="shared" si="0"/>
        <v>652437.35227474815</v>
      </c>
      <c r="D19" s="29">
        <f t="shared" si="1"/>
        <v>444347.44123640971</v>
      </c>
      <c r="E19" s="29">
        <f t="shared" si="2"/>
        <v>0</v>
      </c>
      <c r="F19" s="29">
        <f t="shared" si="5"/>
        <v>1096784.7935111579</v>
      </c>
      <c r="G19" s="27">
        <f t="shared" si="3"/>
        <v>46176220.865877755</v>
      </c>
    </row>
    <row r="20" spans="2:7" s="20" customFormat="1" x14ac:dyDescent="0.3">
      <c r="B20" s="28">
        <f t="shared" si="4"/>
        <v>7</v>
      </c>
      <c r="C20" s="29">
        <f t="shared" si="0"/>
        <v>658628.19521327084</v>
      </c>
      <c r="D20" s="29">
        <f t="shared" si="1"/>
        <v>438156.59829788707</v>
      </c>
      <c r="E20" s="29">
        <f t="shared" si="2"/>
        <v>0</v>
      </c>
      <c r="F20" s="29">
        <f t="shared" si="5"/>
        <v>1096784.7935111579</v>
      </c>
      <c r="G20" s="27">
        <f t="shared" si="3"/>
        <v>45517592.670664482</v>
      </c>
    </row>
    <row r="21" spans="2:7" s="20" customFormat="1" x14ac:dyDescent="0.3">
      <c r="B21" s="28">
        <f t="shared" si="4"/>
        <v>8</v>
      </c>
      <c r="C21" s="29">
        <f t="shared" si="0"/>
        <v>664877.78177852766</v>
      </c>
      <c r="D21" s="29">
        <f t="shared" si="1"/>
        <v>431907.01173263014</v>
      </c>
      <c r="E21" s="29">
        <f t="shared" si="2"/>
        <v>0</v>
      </c>
      <c r="F21" s="29">
        <f t="shared" si="5"/>
        <v>1096784.7935111579</v>
      </c>
      <c r="G21" s="27">
        <f t="shared" si="3"/>
        <v>44852714.888885953</v>
      </c>
    </row>
    <row r="22" spans="2:7" s="20" customFormat="1" x14ac:dyDescent="0.3">
      <c r="B22" s="28">
        <f t="shared" si="4"/>
        <v>9</v>
      </c>
      <c r="C22" s="29">
        <f t="shared" si="0"/>
        <v>671186.66937662906</v>
      </c>
      <c r="D22" s="29">
        <f t="shared" si="1"/>
        <v>425598.1241345288</v>
      </c>
      <c r="E22" s="29">
        <f t="shared" si="2"/>
        <v>0</v>
      </c>
      <c r="F22" s="29">
        <f t="shared" si="5"/>
        <v>1096784.7935111579</v>
      </c>
      <c r="G22" s="27">
        <f t="shared" si="3"/>
        <v>44181528.219509326</v>
      </c>
    </row>
    <row r="23" spans="2:7" s="20" customFormat="1" x14ac:dyDescent="0.3">
      <c r="B23" s="28">
        <f t="shared" si="4"/>
        <v>10</v>
      </c>
      <c r="C23" s="29">
        <f t="shared" si="0"/>
        <v>677555.42070279631</v>
      </c>
      <c r="D23" s="29">
        <f t="shared" si="1"/>
        <v>419229.37280836154</v>
      </c>
      <c r="E23" s="29">
        <f t="shared" si="2"/>
        <v>0</v>
      </c>
      <c r="F23" s="29">
        <f t="shared" si="5"/>
        <v>1096784.7935111579</v>
      </c>
      <c r="G23" s="27">
        <f t="shared" si="3"/>
        <v>43503972.798806533</v>
      </c>
    </row>
    <row r="24" spans="2:7" s="20" customFormat="1" x14ac:dyDescent="0.3">
      <c r="B24" s="28">
        <f t="shared" si="4"/>
        <v>11</v>
      </c>
      <c r="C24" s="29">
        <f t="shared" si="0"/>
        <v>683984.60379154934</v>
      </c>
      <c r="D24" s="29">
        <f t="shared" si="1"/>
        <v>412800.18971960846</v>
      </c>
      <c r="E24" s="29">
        <f t="shared" si="2"/>
        <v>0</v>
      </c>
      <c r="F24" s="29">
        <f t="shared" si="5"/>
        <v>1096784.7935111579</v>
      </c>
      <c r="G24" s="27">
        <f t="shared" si="3"/>
        <v>42819988.195014983</v>
      </c>
    </row>
    <row r="25" spans="2:7" s="20" customFormat="1" x14ac:dyDescent="0.3">
      <c r="B25" s="28">
        <f t="shared" si="4"/>
        <v>12</v>
      </c>
      <c r="C25" s="29">
        <f t="shared" si="0"/>
        <v>690474.79206737026</v>
      </c>
      <c r="D25" s="29">
        <f t="shared" si="1"/>
        <v>406310.00144378759</v>
      </c>
      <c r="E25" s="29">
        <f t="shared" si="2"/>
        <v>0</v>
      </c>
      <c r="F25" s="29">
        <f t="shared" si="5"/>
        <v>1096784.7935111579</v>
      </c>
      <c r="G25" s="27">
        <f t="shared" si="3"/>
        <v>42129513.402947612</v>
      </c>
    </row>
    <row r="26" spans="2:7" s="20" customFormat="1" x14ac:dyDescent="0.3">
      <c r="B26" s="28">
        <f t="shared" si="4"/>
        <v>13</v>
      </c>
      <c r="C26" s="29">
        <f t="shared" si="0"/>
        <v>697026.5643958468</v>
      </c>
      <c r="D26" s="29">
        <f t="shared" si="1"/>
        <v>399758.22911531106</v>
      </c>
      <c r="E26" s="29">
        <f t="shared" si="2"/>
        <v>0</v>
      </c>
      <c r="F26" s="29">
        <f t="shared" si="5"/>
        <v>1096784.7935111579</v>
      </c>
      <c r="G26" s="27">
        <f t="shared" si="3"/>
        <v>41432486.838551767</v>
      </c>
    </row>
    <row r="27" spans="2:7" s="20" customFormat="1" x14ac:dyDescent="0.3">
      <c r="B27" s="28">
        <f t="shared" si="4"/>
        <v>14</v>
      </c>
      <c r="C27" s="29">
        <f t="shared" si="0"/>
        <v>703640.5051353029</v>
      </c>
      <c r="D27" s="29">
        <f t="shared" si="1"/>
        <v>393144.28837585502</v>
      </c>
      <c r="E27" s="29">
        <f t="shared" si="2"/>
        <v>0</v>
      </c>
      <c r="F27" s="29">
        <f t="shared" si="5"/>
        <v>1096784.7935111579</v>
      </c>
      <c r="G27" s="27">
        <f t="shared" si="3"/>
        <v>40728846.333416462</v>
      </c>
    </row>
    <row r="28" spans="2:7" s="20" customFormat="1" x14ac:dyDescent="0.3">
      <c r="B28" s="28">
        <f t="shared" si="4"/>
        <v>15</v>
      </c>
      <c r="C28" s="29">
        <f t="shared" si="0"/>
        <v>710317.20418891707</v>
      </c>
      <c r="D28" s="29">
        <f t="shared" si="1"/>
        <v>386467.58932224073</v>
      </c>
      <c r="E28" s="29">
        <f t="shared" si="2"/>
        <v>0</v>
      </c>
      <c r="F28" s="29">
        <f t="shared" si="5"/>
        <v>1096784.7935111579</v>
      </c>
      <c r="G28" s="27">
        <f t="shared" si="3"/>
        <v>40018529.129227541</v>
      </c>
    </row>
    <row r="29" spans="2:7" s="20" customFormat="1" x14ac:dyDescent="0.3">
      <c r="B29" s="28">
        <f t="shared" si="4"/>
        <v>16</v>
      </c>
      <c r="C29" s="29">
        <f t="shared" si="0"/>
        <v>717057.25705733779</v>
      </c>
      <c r="D29" s="29">
        <f t="shared" si="1"/>
        <v>379727.53645382012</v>
      </c>
      <c r="E29" s="29">
        <f t="shared" si="2"/>
        <v>0</v>
      </c>
      <c r="F29" s="29">
        <f t="shared" si="5"/>
        <v>1096784.7935111579</v>
      </c>
      <c r="G29" s="27">
        <f t="shared" si="3"/>
        <v>39301471.872170202</v>
      </c>
    </row>
    <row r="30" spans="2:7" s="20" customFormat="1" x14ac:dyDescent="0.3">
      <c r="B30" s="28">
        <f t="shared" si="4"/>
        <v>17</v>
      </c>
      <c r="C30" s="29">
        <f t="shared" si="0"/>
        <v>723861.26489179488</v>
      </c>
      <c r="D30" s="29">
        <f t="shared" si="1"/>
        <v>372923.52861936291</v>
      </c>
      <c r="E30" s="29">
        <f t="shared" si="2"/>
        <v>0</v>
      </c>
      <c r="F30" s="29">
        <f t="shared" si="5"/>
        <v>1096784.7935111579</v>
      </c>
      <c r="G30" s="27">
        <f t="shared" si="3"/>
        <v>38577610.607278407</v>
      </c>
    </row>
    <row r="31" spans="2:7" s="20" customFormat="1" x14ac:dyDescent="0.3">
      <c r="B31" s="28">
        <f t="shared" si="4"/>
        <v>18</v>
      </c>
      <c r="C31" s="29">
        <f t="shared" si="0"/>
        <v>730729.83454771852</v>
      </c>
      <c r="D31" s="29">
        <f t="shared" si="1"/>
        <v>366054.95896343928</v>
      </c>
      <c r="E31" s="29">
        <f t="shared" si="2"/>
        <v>0</v>
      </c>
      <c r="F31" s="29">
        <f t="shared" si="5"/>
        <v>1096784.7935111579</v>
      </c>
      <c r="G31" s="27">
        <f t="shared" si="3"/>
        <v>37846880.772730686</v>
      </c>
    </row>
    <row r="32" spans="2:7" s="20" customFormat="1" x14ac:dyDescent="0.3">
      <c r="B32" s="28">
        <f t="shared" si="4"/>
        <v>19</v>
      </c>
      <c r="C32" s="29">
        <f t="shared" si="0"/>
        <v>737663.57863886398</v>
      </c>
      <c r="D32" s="29">
        <f t="shared" si="1"/>
        <v>359121.21487229387</v>
      </c>
      <c r="E32" s="29">
        <f t="shared" si="2"/>
        <v>0</v>
      </c>
      <c r="F32" s="29">
        <f t="shared" si="5"/>
        <v>1096784.7935111579</v>
      </c>
      <c r="G32" s="27">
        <f t="shared" si="3"/>
        <v>37109217.194091819</v>
      </c>
    </row>
    <row r="33" spans="2:7" s="20" customFormat="1" x14ac:dyDescent="0.3">
      <c r="B33" s="28">
        <f t="shared" si="4"/>
        <v>20</v>
      </c>
      <c r="C33" s="29">
        <f t="shared" si="0"/>
        <v>744663.11559195165</v>
      </c>
      <c r="D33" s="29">
        <f t="shared" si="1"/>
        <v>352121.67791920615</v>
      </c>
      <c r="E33" s="29">
        <f t="shared" si="2"/>
        <v>0</v>
      </c>
      <c r="F33" s="29">
        <f t="shared" si="5"/>
        <v>1096784.7935111579</v>
      </c>
      <c r="G33" s="27">
        <f t="shared" si="3"/>
        <v>36364554.078499869</v>
      </c>
    </row>
    <row r="34" spans="2:7" s="20" customFormat="1" x14ac:dyDescent="0.3">
      <c r="B34" s="28">
        <f t="shared" si="4"/>
        <v>21</v>
      </c>
      <c r="C34" s="29">
        <f t="shared" si="0"/>
        <v>751729.06970182527</v>
      </c>
      <c r="D34" s="29">
        <f t="shared" si="1"/>
        <v>345055.72380933265</v>
      </c>
      <c r="E34" s="29">
        <f t="shared" si="2"/>
        <v>0</v>
      </c>
      <c r="F34" s="29">
        <f t="shared" si="5"/>
        <v>1096784.7935111579</v>
      </c>
      <c r="G34" s="27">
        <f t="shared" si="3"/>
        <v>35612825.00879804</v>
      </c>
    </row>
    <row r="35" spans="2:7" s="20" customFormat="1" x14ac:dyDescent="0.3">
      <c r="B35" s="28">
        <f t="shared" si="4"/>
        <v>22</v>
      </c>
      <c r="C35" s="29">
        <f t="shared" si="0"/>
        <v>758862.07118713262</v>
      </c>
      <c r="D35" s="29">
        <f t="shared" si="1"/>
        <v>337922.72232402524</v>
      </c>
      <c r="E35" s="29">
        <f t="shared" si="2"/>
        <v>0</v>
      </c>
      <c r="F35" s="29">
        <f t="shared" si="5"/>
        <v>1096784.7935111579</v>
      </c>
      <c r="G35" s="27">
        <f t="shared" si="3"/>
        <v>34853962.937610909</v>
      </c>
    </row>
    <row r="36" spans="2:7" s="20" customFormat="1" x14ac:dyDescent="0.3">
      <c r="B36" s="28">
        <f t="shared" si="4"/>
        <v>23</v>
      </c>
      <c r="C36" s="29">
        <f t="shared" si="0"/>
        <v>766062.75624653604</v>
      </c>
      <c r="D36" s="29">
        <f t="shared" si="1"/>
        <v>330722.03726462176</v>
      </c>
      <c r="E36" s="29">
        <f t="shared" si="2"/>
        <v>0</v>
      </c>
      <c r="F36" s="29">
        <f t="shared" si="5"/>
        <v>1096784.7935111579</v>
      </c>
      <c r="G36" s="27">
        <f t="shared" si="3"/>
        <v>34087900.181364372</v>
      </c>
    </row>
    <row r="37" spans="2:7" s="20" customFormat="1" x14ac:dyDescent="0.3">
      <c r="B37" s="28">
        <f t="shared" si="4"/>
        <v>24</v>
      </c>
      <c r="C37" s="29">
        <f t="shared" si="0"/>
        <v>773331.76711545547</v>
      </c>
      <c r="D37" s="29">
        <f t="shared" si="1"/>
        <v>323453.02639570239</v>
      </c>
      <c r="E37" s="29">
        <f t="shared" si="2"/>
        <v>0</v>
      </c>
      <c r="F37" s="29">
        <f t="shared" si="5"/>
        <v>1096784.7935111579</v>
      </c>
      <c r="G37" s="27">
        <f t="shared" si="3"/>
        <v>33314568.414248917</v>
      </c>
    </row>
    <row r="38" spans="2:7" s="20" customFormat="1" x14ac:dyDescent="0.3">
      <c r="B38" s="28">
        <f t="shared" si="4"/>
        <v>25</v>
      </c>
      <c r="C38" s="29">
        <f t="shared" si="0"/>
        <v>780669.75212334923</v>
      </c>
      <c r="D38" s="29">
        <f t="shared" si="1"/>
        <v>316115.04138780863</v>
      </c>
      <c r="E38" s="29">
        <f t="shared" si="2"/>
        <v>0</v>
      </c>
      <c r="F38" s="29">
        <f t="shared" si="5"/>
        <v>1096784.7935111579</v>
      </c>
      <c r="G38" s="27">
        <f t="shared" si="3"/>
        <v>32533898.662125569</v>
      </c>
    </row>
    <row r="39" spans="2:7" s="20" customFormat="1" x14ac:dyDescent="0.3">
      <c r="B39" s="28">
        <f t="shared" si="4"/>
        <v>26</v>
      </c>
      <c r="C39" s="29">
        <f t="shared" si="0"/>
        <v>788077.36575153994</v>
      </c>
      <c r="D39" s="29">
        <f t="shared" si="1"/>
        <v>308707.42775961792</v>
      </c>
      <c r="E39" s="29">
        <f t="shared" si="2"/>
        <v>0</v>
      </c>
      <c r="F39" s="29">
        <f t="shared" si="5"/>
        <v>1096784.7935111579</v>
      </c>
      <c r="G39" s="27">
        <f t="shared" si="3"/>
        <v>31745821.29637403</v>
      </c>
    </row>
    <row r="40" spans="2:7" s="20" customFormat="1" x14ac:dyDescent="0.3">
      <c r="B40" s="28">
        <f t="shared" si="4"/>
        <v>27</v>
      </c>
      <c r="C40" s="29">
        <f t="shared" si="0"/>
        <v>795555.26869158796</v>
      </c>
      <c r="D40" s="29">
        <f t="shared" si="1"/>
        <v>301229.5248195699</v>
      </c>
      <c r="E40" s="29">
        <f t="shared" si="2"/>
        <v>0</v>
      </c>
      <c r="F40" s="29">
        <f t="shared" si="5"/>
        <v>1096784.7935111579</v>
      </c>
      <c r="G40" s="27">
        <f t="shared" si="3"/>
        <v>30950266.027682442</v>
      </c>
    </row>
    <row r="41" spans="2:7" s="20" customFormat="1" x14ac:dyDescent="0.3">
      <c r="B41" s="28">
        <f t="shared" si="4"/>
        <v>28</v>
      </c>
      <c r="C41" s="29">
        <f t="shared" si="0"/>
        <v>803104.12790421909</v>
      </c>
      <c r="D41" s="29">
        <f t="shared" si="1"/>
        <v>293680.66560693883</v>
      </c>
      <c r="E41" s="29">
        <f t="shared" si="2"/>
        <v>0</v>
      </c>
      <c r="F41" s="29">
        <f t="shared" si="5"/>
        <v>1096784.7935111579</v>
      </c>
      <c r="G41" s="27">
        <f t="shared" si="3"/>
        <v>30147161.899778225</v>
      </c>
    </row>
    <row r="42" spans="2:7" s="20" customFormat="1" x14ac:dyDescent="0.3">
      <c r="B42" s="28">
        <f t="shared" si="4"/>
        <v>29</v>
      </c>
      <c r="C42" s="29">
        <f t="shared" si="0"/>
        <v>810724.61667881103</v>
      </c>
      <c r="D42" s="29">
        <f t="shared" si="1"/>
        <v>286060.17683234683</v>
      </c>
      <c r="E42" s="29">
        <f t="shared" si="2"/>
        <v>0</v>
      </c>
      <c r="F42" s="29">
        <f t="shared" si="5"/>
        <v>1096784.7935111579</v>
      </c>
      <c r="G42" s="27">
        <f t="shared" si="3"/>
        <v>29336437.283099413</v>
      </c>
    </row>
    <row r="43" spans="2:7" s="20" customFormat="1" x14ac:dyDescent="0.3">
      <c r="B43" s="28">
        <f t="shared" si="4"/>
        <v>30</v>
      </c>
      <c r="C43" s="29">
        <f t="shared" si="0"/>
        <v>818417.41469344543</v>
      </c>
      <c r="D43" s="29">
        <f t="shared" si="1"/>
        <v>278367.37881771236</v>
      </c>
      <c r="E43" s="29">
        <f t="shared" si="2"/>
        <v>0</v>
      </c>
      <c r="F43" s="29">
        <f t="shared" si="5"/>
        <v>1096784.7935111579</v>
      </c>
      <c r="G43" s="27">
        <f t="shared" si="3"/>
        <v>28518019.868405968</v>
      </c>
    </row>
    <row r="44" spans="2:7" s="20" customFormat="1" x14ac:dyDescent="0.3">
      <c r="B44" s="28">
        <f t="shared" si="4"/>
        <v>31</v>
      </c>
      <c r="C44" s="29">
        <f t="shared" si="0"/>
        <v>826183.20807552838</v>
      </c>
      <c r="D44" s="29">
        <f t="shared" si="1"/>
        <v>270601.58543562947</v>
      </c>
      <c r="E44" s="29">
        <f t="shared" si="2"/>
        <v>0</v>
      </c>
      <c r="F44" s="29">
        <f t="shared" si="5"/>
        <v>1096784.7935111579</v>
      </c>
      <c r="G44" s="27">
        <f t="shared" si="3"/>
        <v>27691836.660330441</v>
      </c>
    </row>
    <row r="45" spans="2:7" s="20" customFormat="1" x14ac:dyDescent="0.3">
      <c r="B45" s="28">
        <f t="shared" si="4"/>
        <v>32</v>
      </c>
      <c r="C45" s="29">
        <f t="shared" si="0"/>
        <v>834022.68946298654</v>
      </c>
      <c r="D45" s="29">
        <f t="shared" si="1"/>
        <v>262762.10404817126</v>
      </c>
      <c r="E45" s="29">
        <f t="shared" si="2"/>
        <v>0</v>
      </c>
      <c r="F45" s="29">
        <f t="shared" si="5"/>
        <v>1096784.7935111579</v>
      </c>
      <c r="G45" s="27">
        <f t="shared" si="3"/>
        <v>26857813.970867455</v>
      </c>
    </row>
    <row r="46" spans="2:7" s="20" customFormat="1" x14ac:dyDescent="0.3">
      <c r="B46" s="28">
        <f t="shared" si="4"/>
        <v>33</v>
      </c>
      <c r="C46" s="29">
        <f t="shared" ref="C46:C77" si="6">+IF(B46=" ",0,(F46-D46))</f>
        <v>841936.55806604493</v>
      </c>
      <c r="D46" s="29">
        <f t="shared" ref="D46:D77" si="7">+IF(B46=" ",0,G45*$C$7)</f>
        <v>254848.23544511292</v>
      </c>
      <c r="E46" s="29">
        <f t="shared" ref="E46:E77" si="8">+IF(B46=" ",0,$C$10)</f>
        <v>0</v>
      </c>
      <c r="F46" s="29">
        <f t="shared" si="5"/>
        <v>1096784.7935111579</v>
      </c>
      <c r="G46" s="27">
        <f t="shared" ref="G46:G77" si="9">+G45-C46</f>
        <v>26015877.412801411</v>
      </c>
    </row>
    <row r="47" spans="2:7" s="20" customFormat="1" x14ac:dyDescent="0.3">
      <c r="B47" s="28">
        <f t="shared" ref="B47:B78" si="10">IF(B46&lt;$C$6,B46+1," ")</f>
        <v>34</v>
      </c>
      <c r="C47" s="29">
        <f t="shared" si="6"/>
        <v>849925.51972958911</v>
      </c>
      <c r="D47" s="29">
        <f t="shared" si="7"/>
        <v>246859.27378156869</v>
      </c>
      <c r="E47" s="29">
        <f t="shared" si="8"/>
        <v>0</v>
      </c>
      <c r="F47" s="29">
        <f t="shared" ref="F47:F78" si="11">+IF(B47=" ",0,$C$9)</f>
        <v>1096784.7935111579</v>
      </c>
      <c r="G47" s="27">
        <f t="shared" si="9"/>
        <v>25165951.893071823</v>
      </c>
    </row>
    <row r="48" spans="2:7" s="20" customFormat="1" x14ac:dyDescent="0.3">
      <c r="B48" s="28">
        <f t="shared" si="10"/>
        <v>35</v>
      </c>
      <c r="C48" s="29">
        <f t="shared" si="6"/>
        <v>857990.28699612105</v>
      </c>
      <c r="D48" s="29">
        <f t="shared" si="7"/>
        <v>238794.50651503674</v>
      </c>
      <c r="E48" s="29">
        <f t="shared" si="8"/>
        <v>0</v>
      </c>
      <c r="F48" s="29">
        <f t="shared" si="11"/>
        <v>1096784.7935111579</v>
      </c>
      <c r="G48" s="27">
        <f t="shared" si="9"/>
        <v>24307961.6060757</v>
      </c>
    </row>
    <row r="49" spans="2:7" s="20" customFormat="1" x14ac:dyDescent="0.3">
      <c r="B49" s="28">
        <f t="shared" si="10"/>
        <v>36</v>
      </c>
      <c r="C49" s="29">
        <f t="shared" si="6"/>
        <v>866131.57916931086</v>
      </c>
      <c r="D49" s="29">
        <f t="shared" si="7"/>
        <v>230653.21434184705</v>
      </c>
      <c r="E49" s="29">
        <f t="shared" si="8"/>
        <v>0</v>
      </c>
      <c r="F49" s="29">
        <f t="shared" si="11"/>
        <v>1096784.7935111579</v>
      </c>
      <c r="G49" s="27">
        <f t="shared" si="9"/>
        <v>23441830.02690639</v>
      </c>
    </row>
    <row r="50" spans="2:7" s="20" customFormat="1" x14ac:dyDescent="0.3">
      <c r="B50" s="28">
        <f t="shared" si="10"/>
        <v>37</v>
      </c>
      <c r="C50" s="29">
        <f t="shared" si="6"/>
        <v>874350.12237815186</v>
      </c>
      <c r="D50" s="29">
        <f t="shared" si="7"/>
        <v>222434.67113300605</v>
      </c>
      <c r="E50" s="29">
        <f t="shared" si="8"/>
        <v>0</v>
      </c>
      <c r="F50" s="29">
        <f t="shared" si="11"/>
        <v>1096784.7935111579</v>
      </c>
      <c r="G50" s="27">
        <f t="shared" si="9"/>
        <v>22567479.904528238</v>
      </c>
    </row>
    <row r="51" spans="2:7" s="20" customFormat="1" x14ac:dyDescent="0.3">
      <c r="B51" s="28">
        <f t="shared" si="10"/>
        <v>38</v>
      </c>
      <c r="C51" s="29">
        <f t="shared" si="6"/>
        <v>882646.64964172547</v>
      </c>
      <c r="D51" s="29">
        <f t="shared" si="7"/>
        <v>214138.14386943242</v>
      </c>
      <c r="E51" s="29">
        <f t="shared" si="8"/>
        <v>0</v>
      </c>
      <c r="F51" s="29">
        <f t="shared" si="11"/>
        <v>1096784.7935111579</v>
      </c>
      <c r="G51" s="27">
        <f t="shared" si="9"/>
        <v>21684833.254886512</v>
      </c>
    </row>
    <row r="52" spans="2:7" s="20" customFormat="1" x14ac:dyDescent="0.3">
      <c r="B52" s="28">
        <f t="shared" si="10"/>
        <v>39</v>
      </c>
      <c r="C52" s="29">
        <f t="shared" si="6"/>
        <v>891021.90093457932</v>
      </c>
      <c r="D52" s="29">
        <f t="shared" si="7"/>
        <v>205762.8925765786</v>
      </c>
      <c r="E52" s="29">
        <f t="shared" si="8"/>
        <v>0</v>
      </c>
      <c r="F52" s="29">
        <f t="shared" si="11"/>
        <v>1096784.7935111579</v>
      </c>
      <c r="G52" s="27">
        <f t="shared" si="9"/>
        <v>20793811.353951931</v>
      </c>
    </row>
    <row r="53" spans="2:7" s="20" customFormat="1" x14ac:dyDescent="0.3">
      <c r="B53" s="28">
        <f t="shared" si="10"/>
        <v>40</v>
      </c>
      <c r="C53" s="29">
        <f t="shared" si="6"/>
        <v>899476.62325272604</v>
      </c>
      <c r="D53" s="29">
        <f t="shared" si="7"/>
        <v>197308.17025843181</v>
      </c>
      <c r="E53" s="29">
        <f t="shared" si="8"/>
        <v>0</v>
      </c>
      <c r="F53" s="29">
        <f t="shared" si="11"/>
        <v>1096784.7935111579</v>
      </c>
      <c r="G53" s="27">
        <f t="shared" si="9"/>
        <v>19894334.730699204</v>
      </c>
    </row>
    <row r="54" spans="2:7" s="20" customFormat="1" x14ac:dyDescent="0.3">
      <c r="B54" s="28">
        <f t="shared" si="10"/>
        <v>41</v>
      </c>
      <c r="C54" s="29">
        <f t="shared" si="6"/>
        <v>908011.57068026916</v>
      </c>
      <c r="D54" s="29">
        <f t="shared" si="7"/>
        <v>188773.2228308887</v>
      </c>
      <c r="E54" s="29">
        <f t="shared" si="8"/>
        <v>0</v>
      </c>
      <c r="F54" s="29">
        <f t="shared" si="11"/>
        <v>1096784.7935111579</v>
      </c>
      <c r="G54" s="27">
        <f t="shared" si="9"/>
        <v>18986323.160018936</v>
      </c>
    </row>
    <row r="55" spans="2:7" s="20" customFormat="1" x14ac:dyDescent="0.3">
      <c r="B55" s="28">
        <f t="shared" si="10"/>
        <v>42</v>
      </c>
      <c r="C55" s="29">
        <f t="shared" si="6"/>
        <v>916627.50445665978</v>
      </c>
      <c r="D55" s="29">
        <f t="shared" si="7"/>
        <v>180157.28905449813</v>
      </c>
      <c r="E55" s="29">
        <f t="shared" si="8"/>
        <v>0</v>
      </c>
      <c r="F55" s="29">
        <f t="shared" si="11"/>
        <v>1096784.7935111579</v>
      </c>
      <c r="G55" s="27">
        <f t="shared" si="9"/>
        <v>18069695.655562274</v>
      </c>
    </row>
    <row r="56" spans="2:7" s="20" customFormat="1" x14ac:dyDescent="0.3">
      <c r="B56" s="28">
        <f t="shared" si="10"/>
        <v>43</v>
      </c>
      <c r="C56" s="29">
        <f t="shared" si="6"/>
        <v>925325.19304459263</v>
      </c>
      <c r="D56" s="29">
        <f t="shared" si="7"/>
        <v>171459.60046656526</v>
      </c>
      <c r="E56" s="29">
        <f t="shared" si="8"/>
        <v>0</v>
      </c>
      <c r="F56" s="29">
        <f t="shared" si="11"/>
        <v>1096784.7935111579</v>
      </c>
      <c r="G56" s="27">
        <f t="shared" si="9"/>
        <v>17144370.462517682</v>
      </c>
    </row>
    <row r="57" spans="2:7" s="20" customFormat="1" x14ac:dyDescent="0.3">
      <c r="B57" s="28">
        <f t="shared" si="10"/>
        <v>44</v>
      </c>
      <c r="C57" s="29">
        <f t="shared" si="6"/>
        <v>934105.41219854588</v>
      </c>
      <c r="D57" s="29">
        <f t="shared" si="7"/>
        <v>162679.38131261204</v>
      </c>
      <c r="E57" s="29">
        <f t="shared" si="8"/>
        <v>0</v>
      </c>
      <c r="F57" s="29">
        <f t="shared" si="11"/>
        <v>1096784.7935111579</v>
      </c>
      <c r="G57" s="27">
        <f t="shared" si="9"/>
        <v>16210265.050319137</v>
      </c>
    </row>
    <row r="58" spans="2:7" s="20" customFormat="1" x14ac:dyDescent="0.3">
      <c r="B58" s="28">
        <f t="shared" si="10"/>
        <v>45</v>
      </c>
      <c r="C58" s="29">
        <f t="shared" si="6"/>
        <v>942968.9450339711</v>
      </c>
      <c r="D58" s="29">
        <f t="shared" si="7"/>
        <v>153815.84847718672</v>
      </c>
      <c r="E58" s="29">
        <f t="shared" si="8"/>
        <v>0</v>
      </c>
      <c r="F58" s="29">
        <f t="shared" si="11"/>
        <v>1096784.7935111579</v>
      </c>
      <c r="G58" s="27">
        <f t="shared" si="9"/>
        <v>15267296.105285166</v>
      </c>
    </row>
    <row r="59" spans="2:7" s="20" customFormat="1" x14ac:dyDescent="0.3">
      <c r="B59" s="28">
        <f t="shared" si="10"/>
        <v>46</v>
      </c>
      <c r="C59" s="29">
        <f t="shared" si="6"/>
        <v>951916.58209714072</v>
      </c>
      <c r="D59" s="29">
        <f t="shared" si="7"/>
        <v>144868.21141401713</v>
      </c>
      <c r="E59" s="29">
        <f t="shared" si="8"/>
        <v>0</v>
      </c>
      <c r="F59" s="29">
        <f t="shared" si="11"/>
        <v>1096784.7935111579</v>
      </c>
      <c r="G59" s="27">
        <f t="shared" si="9"/>
        <v>14315379.523188025</v>
      </c>
    </row>
    <row r="60" spans="2:7" s="20" customFormat="1" x14ac:dyDescent="0.3">
      <c r="B60" s="28">
        <f t="shared" si="10"/>
        <v>47</v>
      </c>
      <c r="C60" s="29">
        <f t="shared" si="6"/>
        <v>960949.12143565645</v>
      </c>
      <c r="D60" s="29">
        <f t="shared" si="7"/>
        <v>135835.67207550135</v>
      </c>
      <c r="E60" s="29">
        <f t="shared" si="8"/>
        <v>0</v>
      </c>
      <c r="F60" s="29">
        <f t="shared" si="11"/>
        <v>1096784.7935111579</v>
      </c>
      <c r="G60" s="27">
        <f t="shared" si="9"/>
        <v>13354430.401752368</v>
      </c>
    </row>
    <row r="61" spans="2:7" s="20" customFormat="1" x14ac:dyDescent="0.3">
      <c r="B61" s="28">
        <f t="shared" si="10"/>
        <v>48</v>
      </c>
      <c r="C61" s="29">
        <f t="shared" si="6"/>
        <v>970067.36866962898</v>
      </c>
      <c r="D61" s="29">
        <f t="shared" si="7"/>
        <v>126717.42484152889</v>
      </c>
      <c r="E61" s="29">
        <f t="shared" si="8"/>
        <v>0</v>
      </c>
      <c r="F61" s="29">
        <f t="shared" si="11"/>
        <v>1096784.7935111579</v>
      </c>
      <c r="G61" s="27">
        <f t="shared" si="9"/>
        <v>12384363.033082739</v>
      </c>
    </row>
    <row r="62" spans="2:7" s="20" customFormat="1" x14ac:dyDescent="0.3">
      <c r="B62" s="28">
        <f t="shared" si="10"/>
        <v>49</v>
      </c>
      <c r="C62" s="29">
        <f t="shared" si="6"/>
        <v>979272.13706353097</v>
      </c>
      <c r="D62" s="29">
        <f t="shared" si="7"/>
        <v>117512.65644762694</v>
      </c>
      <c r="E62" s="29">
        <f t="shared" si="8"/>
        <v>0</v>
      </c>
      <c r="F62" s="29">
        <f t="shared" si="11"/>
        <v>1096784.7935111579</v>
      </c>
      <c r="G62" s="27">
        <f t="shared" si="9"/>
        <v>11405090.896019207</v>
      </c>
    </row>
    <row r="63" spans="2:7" s="20" customFormat="1" x14ac:dyDescent="0.3">
      <c r="B63" s="28">
        <f t="shared" si="10"/>
        <v>50</v>
      </c>
      <c r="C63" s="29">
        <f t="shared" si="6"/>
        <v>988564.2475987334</v>
      </c>
      <c r="D63" s="29">
        <f t="shared" si="7"/>
        <v>108220.54591242447</v>
      </c>
      <c r="E63" s="29">
        <f t="shared" si="8"/>
        <v>0</v>
      </c>
      <c r="F63" s="29">
        <f t="shared" si="11"/>
        <v>1096784.7935111579</v>
      </c>
      <c r="G63" s="27">
        <f t="shared" si="9"/>
        <v>10416526.648420474</v>
      </c>
    </row>
    <row r="64" spans="2:7" s="20" customFormat="1" x14ac:dyDescent="0.3">
      <c r="B64" s="28">
        <f t="shared" si="10"/>
        <v>51</v>
      </c>
      <c r="C64" s="29">
        <f t="shared" si="6"/>
        <v>997944.52904672967</v>
      </c>
      <c r="D64" s="29">
        <f t="shared" si="7"/>
        <v>98840.264464428197</v>
      </c>
      <c r="E64" s="29">
        <f t="shared" si="8"/>
        <v>0</v>
      </c>
      <c r="F64" s="29">
        <f t="shared" si="11"/>
        <v>1096784.7935111579</v>
      </c>
      <c r="G64" s="27">
        <f t="shared" si="9"/>
        <v>9418582.1193737444</v>
      </c>
    </row>
    <row r="65" spans="2:7" s="20" customFormat="1" x14ac:dyDescent="0.3">
      <c r="B65" s="28">
        <f t="shared" si="10"/>
        <v>52</v>
      </c>
      <c r="C65" s="29">
        <f t="shared" si="6"/>
        <v>1007413.8180430541</v>
      </c>
      <c r="D65" s="29">
        <f t="shared" si="7"/>
        <v>89370.975468103788</v>
      </c>
      <c r="E65" s="29">
        <f t="shared" si="8"/>
        <v>0</v>
      </c>
      <c r="F65" s="29">
        <f t="shared" si="11"/>
        <v>1096784.7935111579</v>
      </c>
      <c r="G65" s="27">
        <f t="shared" si="9"/>
        <v>8411168.3013306893</v>
      </c>
    </row>
    <row r="66" spans="2:7" s="20" customFormat="1" x14ac:dyDescent="0.3">
      <c r="B66" s="28">
        <f t="shared" si="10"/>
        <v>53</v>
      </c>
      <c r="C66" s="29">
        <f t="shared" si="6"/>
        <v>1016972.9591619023</v>
      </c>
      <c r="D66" s="29">
        <f t="shared" si="7"/>
        <v>79811.834349255529</v>
      </c>
      <c r="E66" s="29">
        <f t="shared" si="8"/>
        <v>0</v>
      </c>
      <c r="F66" s="29">
        <f t="shared" si="11"/>
        <v>1096784.7935111579</v>
      </c>
      <c r="G66" s="27">
        <f t="shared" si="9"/>
        <v>7394195.3421687875</v>
      </c>
    </row>
    <row r="67" spans="2:7" s="20" customFormat="1" x14ac:dyDescent="0.3">
      <c r="B67" s="28">
        <f t="shared" si="10"/>
        <v>54</v>
      </c>
      <c r="C67" s="29">
        <f t="shared" si="6"/>
        <v>1026622.8049914598</v>
      </c>
      <c r="D67" s="29">
        <f t="shared" si="7"/>
        <v>70161.988519698061</v>
      </c>
      <c r="E67" s="29">
        <f t="shared" si="8"/>
        <v>0</v>
      </c>
      <c r="F67" s="29">
        <f t="shared" si="11"/>
        <v>1096784.7935111579</v>
      </c>
      <c r="G67" s="27">
        <f t="shared" si="9"/>
        <v>6367572.537177328</v>
      </c>
    </row>
    <row r="68" spans="2:7" s="20" customFormat="1" x14ac:dyDescent="0.3">
      <c r="B68" s="28">
        <f t="shared" si="10"/>
        <v>55</v>
      </c>
      <c r="C68" s="29">
        <f t="shared" si="6"/>
        <v>1036364.2162099446</v>
      </c>
      <c r="D68" s="29">
        <f t="shared" si="7"/>
        <v>60420.57730121327</v>
      </c>
      <c r="E68" s="29">
        <f t="shared" si="8"/>
        <v>0</v>
      </c>
      <c r="F68" s="29">
        <f t="shared" si="11"/>
        <v>1096784.7935111579</v>
      </c>
      <c r="G68" s="27">
        <f t="shared" si="9"/>
        <v>5331208.3209673837</v>
      </c>
    </row>
    <row r="69" spans="2:7" s="20" customFormat="1" x14ac:dyDescent="0.3">
      <c r="B69" s="28">
        <f t="shared" si="10"/>
        <v>56</v>
      </c>
      <c r="C69" s="29">
        <f t="shared" si="6"/>
        <v>1046198.0616623722</v>
      </c>
      <c r="D69" s="29">
        <f t="shared" si="7"/>
        <v>50586.731848785654</v>
      </c>
      <c r="E69" s="29">
        <f t="shared" si="8"/>
        <v>0</v>
      </c>
      <c r="F69" s="29">
        <f t="shared" si="11"/>
        <v>1096784.7935111579</v>
      </c>
      <c r="G69" s="27">
        <f t="shared" si="9"/>
        <v>4285010.2593050115</v>
      </c>
    </row>
    <row r="70" spans="2:7" s="20" customFormat="1" x14ac:dyDescent="0.3">
      <c r="B70" s="28">
        <f t="shared" si="10"/>
        <v>57</v>
      </c>
      <c r="C70" s="29">
        <f t="shared" si="6"/>
        <v>1056125.2184380486</v>
      </c>
      <c r="D70" s="29">
        <f t="shared" si="7"/>
        <v>40659.575073109256</v>
      </c>
      <c r="E70" s="29">
        <f t="shared" si="8"/>
        <v>0</v>
      </c>
      <c r="F70" s="29">
        <f t="shared" si="11"/>
        <v>1096784.7935111579</v>
      </c>
      <c r="G70" s="27">
        <f t="shared" si="9"/>
        <v>3228885.0408669626</v>
      </c>
    </row>
    <row r="71" spans="2:7" s="20" customFormat="1" x14ac:dyDescent="0.3">
      <c r="B71" s="28">
        <f t="shared" si="10"/>
        <v>58</v>
      </c>
      <c r="C71" s="29">
        <f t="shared" si="6"/>
        <v>1066146.5719487986</v>
      </c>
      <c r="D71" s="29">
        <f t="shared" si="7"/>
        <v>30638.221562359326</v>
      </c>
      <c r="E71" s="29">
        <f t="shared" si="8"/>
        <v>0</v>
      </c>
      <c r="F71" s="29">
        <f t="shared" si="11"/>
        <v>1096784.7935111579</v>
      </c>
      <c r="G71" s="27">
        <f t="shared" si="9"/>
        <v>2162738.4689181643</v>
      </c>
    </row>
    <row r="72" spans="2:7" s="20" customFormat="1" x14ac:dyDescent="0.3">
      <c r="B72" s="28">
        <f t="shared" si="10"/>
        <v>59</v>
      </c>
      <c r="C72" s="29">
        <f t="shared" si="6"/>
        <v>1076263.0160079363</v>
      </c>
      <c r="D72" s="29">
        <f t="shared" si="7"/>
        <v>20521.77750322163</v>
      </c>
      <c r="E72" s="29">
        <f t="shared" si="8"/>
        <v>0</v>
      </c>
      <c r="F72" s="29">
        <f t="shared" si="11"/>
        <v>1096784.7935111579</v>
      </c>
      <c r="G72" s="27">
        <f t="shared" si="9"/>
        <v>1086475.4529102279</v>
      </c>
    </row>
    <row r="73" spans="2:7" s="20" customFormat="1" x14ac:dyDescent="0.3">
      <c r="B73" s="28">
        <f t="shared" si="10"/>
        <v>60</v>
      </c>
      <c r="C73" s="29">
        <f t="shared" si="6"/>
        <v>1086475.4529099853</v>
      </c>
      <c r="D73" s="29">
        <f t="shared" si="7"/>
        <v>10309.340601172486</v>
      </c>
      <c r="E73" s="29">
        <f t="shared" si="8"/>
        <v>0</v>
      </c>
      <c r="F73" s="29">
        <f t="shared" si="11"/>
        <v>1096784.7935111579</v>
      </c>
      <c r="G73" s="27">
        <f t="shared" si="9"/>
        <v>2.4260953068733215E-7</v>
      </c>
    </row>
    <row r="74" spans="2:7" s="20" customFormat="1" x14ac:dyDescent="0.3">
      <c r="B74" s="28" t="str">
        <f t="shared" si="10"/>
        <v xml:space="preserve"> </v>
      </c>
      <c r="C74" s="29">
        <f t="shared" si="6"/>
        <v>0</v>
      </c>
      <c r="D74" s="29">
        <f t="shared" si="7"/>
        <v>0</v>
      </c>
      <c r="E74" s="29">
        <f t="shared" si="8"/>
        <v>0</v>
      </c>
      <c r="F74" s="29">
        <f t="shared" si="11"/>
        <v>0</v>
      </c>
      <c r="G74" s="27">
        <f t="shared" si="9"/>
        <v>2.4260953068733215E-7</v>
      </c>
    </row>
    <row r="75" spans="2:7" s="20" customFormat="1" x14ac:dyDescent="0.3">
      <c r="B75" s="28" t="str">
        <f t="shared" si="10"/>
        <v xml:space="preserve"> </v>
      </c>
      <c r="C75" s="29">
        <f t="shared" si="6"/>
        <v>0</v>
      </c>
      <c r="D75" s="29">
        <f t="shared" si="7"/>
        <v>0</v>
      </c>
      <c r="E75" s="29">
        <f t="shared" si="8"/>
        <v>0</v>
      </c>
      <c r="F75" s="29">
        <f t="shared" si="11"/>
        <v>0</v>
      </c>
      <c r="G75" s="27">
        <f t="shared" si="9"/>
        <v>2.4260953068733215E-7</v>
      </c>
    </row>
    <row r="76" spans="2:7" s="20" customFormat="1" x14ac:dyDescent="0.3">
      <c r="B76" s="28" t="str">
        <f t="shared" si="10"/>
        <v xml:space="preserve"> </v>
      </c>
      <c r="C76" s="29">
        <f t="shared" si="6"/>
        <v>0</v>
      </c>
      <c r="D76" s="29">
        <f t="shared" si="7"/>
        <v>0</v>
      </c>
      <c r="E76" s="29">
        <f t="shared" si="8"/>
        <v>0</v>
      </c>
      <c r="F76" s="29">
        <f t="shared" si="11"/>
        <v>0</v>
      </c>
      <c r="G76" s="27">
        <f t="shared" si="9"/>
        <v>2.4260953068733215E-7</v>
      </c>
    </row>
    <row r="77" spans="2:7" s="20" customFormat="1" x14ac:dyDescent="0.3">
      <c r="B77" s="28" t="str">
        <f t="shared" si="10"/>
        <v xml:space="preserve"> </v>
      </c>
      <c r="C77" s="29">
        <f t="shared" si="6"/>
        <v>0</v>
      </c>
      <c r="D77" s="29">
        <f t="shared" si="7"/>
        <v>0</v>
      </c>
      <c r="E77" s="29">
        <f t="shared" si="8"/>
        <v>0</v>
      </c>
      <c r="F77" s="29">
        <f t="shared" si="11"/>
        <v>0</v>
      </c>
      <c r="G77" s="27">
        <f t="shared" si="9"/>
        <v>2.4260953068733215E-7</v>
      </c>
    </row>
    <row r="78" spans="2:7" s="20" customFormat="1" x14ac:dyDescent="0.3">
      <c r="B78" s="28" t="str">
        <f t="shared" si="10"/>
        <v xml:space="preserve"> </v>
      </c>
      <c r="C78" s="29">
        <f t="shared" ref="C78:C109" si="12">+IF(B78=" ",0,(F78-D78))</f>
        <v>0</v>
      </c>
      <c r="D78" s="29">
        <f t="shared" ref="D78:D109" si="13">+IF(B78=" ",0,G77*$C$7)</f>
        <v>0</v>
      </c>
      <c r="E78" s="29">
        <f t="shared" ref="E78:E109" si="14">+IF(B78=" ",0,$C$10)</f>
        <v>0</v>
      </c>
      <c r="F78" s="29">
        <f t="shared" si="11"/>
        <v>0</v>
      </c>
      <c r="G78" s="27">
        <f t="shared" ref="G78:G109" si="15">+G77-C78</f>
        <v>2.4260953068733215E-7</v>
      </c>
    </row>
    <row r="79" spans="2:7" s="20" customFormat="1" x14ac:dyDescent="0.3">
      <c r="B79" s="28" t="str">
        <f t="shared" ref="B79:B110" si="16">IF(B78&lt;$C$6,B78+1," ")</f>
        <v xml:space="preserve"> </v>
      </c>
      <c r="C79" s="29">
        <f t="shared" si="12"/>
        <v>0</v>
      </c>
      <c r="D79" s="29">
        <f t="shared" si="13"/>
        <v>0</v>
      </c>
      <c r="E79" s="29">
        <f t="shared" si="14"/>
        <v>0</v>
      </c>
      <c r="F79" s="29">
        <f t="shared" ref="F79:F110" si="17">+IF(B79=" ",0,$C$9)</f>
        <v>0</v>
      </c>
      <c r="G79" s="27">
        <f t="shared" si="15"/>
        <v>2.4260953068733215E-7</v>
      </c>
    </row>
    <row r="80" spans="2:7" s="20" customFormat="1" x14ac:dyDescent="0.3">
      <c r="B80" s="28" t="str">
        <f t="shared" si="16"/>
        <v xml:space="preserve"> </v>
      </c>
      <c r="C80" s="29">
        <f t="shared" si="12"/>
        <v>0</v>
      </c>
      <c r="D80" s="29">
        <f t="shared" si="13"/>
        <v>0</v>
      </c>
      <c r="E80" s="29">
        <f t="shared" si="14"/>
        <v>0</v>
      </c>
      <c r="F80" s="29">
        <f t="shared" si="17"/>
        <v>0</v>
      </c>
      <c r="G80" s="27">
        <f t="shared" si="15"/>
        <v>2.4260953068733215E-7</v>
      </c>
    </row>
    <row r="81" spans="2:7" s="20" customFormat="1" x14ac:dyDescent="0.3">
      <c r="B81" s="28" t="str">
        <f t="shared" si="16"/>
        <v xml:space="preserve"> </v>
      </c>
      <c r="C81" s="29">
        <f t="shared" si="12"/>
        <v>0</v>
      </c>
      <c r="D81" s="29">
        <f t="shared" si="13"/>
        <v>0</v>
      </c>
      <c r="E81" s="29">
        <f t="shared" si="14"/>
        <v>0</v>
      </c>
      <c r="F81" s="29">
        <f t="shared" si="17"/>
        <v>0</v>
      </c>
      <c r="G81" s="27">
        <f t="shared" si="15"/>
        <v>2.4260953068733215E-7</v>
      </c>
    </row>
    <row r="82" spans="2:7" s="20" customFormat="1" x14ac:dyDescent="0.3">
      <c r="B82" s="28" t="str">
        <f t="shared" si="16"/>
        <v xml:space="preserve"> </v>
      </c>
      <c r="C82" s="29">
        <f t="shared" si="12"/>
        <v>0</v>
      </c>
      <c r="D82" s="29">
        <f t="shared" si="13"/>
        <v>0</v>
      </c>
      <c r="E82" s="29">
        <f t="shared" si="14"/>
        <v>0</v>
      </c>
      <c r="F82" s="29">
        <f t="shared" si="17"/>
        <v>0</v>
      </c>
      <c r="G82" s="27">
        <f t="shared" si="15"/>
        <v>2.4260953068733215E-7</v>
      </c>
    </row>
    <row r="83" spans="2:7" s="20" customFormat="1" x14ac:dyDescent="0.3">
      <c r="B83" s="28" t="str">
        <f t="shared" si="16"/>
        <v xml:space="preserve"> </v>
      </c>
      <c r="C83" s="29">
        <f t="shared" si="12"/>
        <v>0</v>
      </c>
      <c r="D83" s="29">
        <f t="shared" si="13"/>
        <v>0</v>
      </c>
      <c r="E83" s="29">
        <f t="shared" si="14"/>
        <v>0</v>
      </c>
      <c r="F83" s="29">
        <f t="shared" si="17"/>
        <v>0</v>
      </c>
      <c r="G83" s="27">
        <f t="shared" si="15"/>
        <v>2.4260953068733215E-7</v>
      </c>
    </row>
    <row r="84" spans="2:7" s="20" customFormat="1" x14ac:dyDescent="0.3">
      <c r="B84" s="28" t="str">
        <f t="shared" si="16"/>
        <v xml:space="preserve"> </v>
      </c>
      <c r="C84" s="29">
        <f t="shared" si="12"/>
        <v>0</v>
      </c>
      <c r="D84" s="29">
        <f t="shared" si="13"/>
        <v>0</v>
      </c>
      <c r="E84" s="29">
        <f t="shared" si="14"/>
        <v>0</v>
      </c>
      <c r="F84" s="29">
        <f t="shared" si="17"/>
        <v>0</v>
      </c>
      <c r="G84" s="27">
        <f t="shared" si="15"/>
        <v>2.4260953068733215E-7</v>
      </c>
    </row>
    <row r="85" spans="2:7" s="20" customFormat="1" x14ac:dyDescent="0.3">
      <c r="B85" s="28" t="str">
        <f t="shared" si="16"/>
        <v xml:space="preserve"> </v>
      </c>
      <c r="C85" s="29">
        <f t="shared" si="12"/>
        <v>0</v>
      </c>
      <c r="D85" s="29">
        <f t="shared" si="13"/>
        <v>0</v>
      </c>
      <c r="E85" s="29">
        <f t="shared" si="14"/>
        <v>0</v>
      </c>
      <c r="F85" s="29">
        <f t="shared" si="17"/>
        <v>0</v>
      </c>
      <c r="G85" s="27">
        <f t="shared" si="15"/>
        <v>2.4260953068733215E-7</v>
      </c>
    </row>
    <row r="86" spans="2:7" s="20" customFormat="1" x14ac:dyDescent="0.3">
      <c r="B86" s="28" t="str">
        <f t="shared" si="16"/>
        <v xml:space="preserve"> </v>
      </c>
      <c r="C86" s="29">
        <f t="shared" si="12"/>
        <v>0</v>
      </c>
      <c r="D86" s="29">
        <f t="shared" si="13"/>
        <v>0</v>
      </c>
      <c r="E86" s="29">
        <f t="shared" si="14"/>
        <v>0</v>
      </c>
      <c r="F86" s="29">
        <f t="shared" si="17"/>
        <v>0</v>
      </c>
      <c r="G86" s="27">
        <f t="shared" si="15"/>
        <v>2.4260953068733215E-7</v>
      </c>
    </row>
    <row r="87" spans="2:7" s="20" customFormat="1" x14ac:dyDescent="0.3">
      <c r="B87" s="28" t="str">
        <f t="shared" si="16"/>
        <v xml:space="preserve"> </v>
      </c>
      <c r="C87" s="29">
        <f t="shared" si="12"/>
        <v>0</v>
      </c>
      <c r="D87" s="29">
        <f t="shared" si="13"/>
        <v>0</v>
      </c>
      <c r="E87" s="29">
        <f t="shared" si="14"/>
        <v>0</v>
      </c>
      <c r="F87" s="29">
        <f t="shared" si="17"/>
        <v>0</v>
      </c>
      <c r="G87" s="27">
        <f t="shared" si="15"/>
        <v>2.4260953068733215E-7</v>
      </c>
    </row>
    <row r="88" spans="2:7" s="20" customFormat="1" x14ac:dyDescent="0.3">
      <c r="B88" s="28" t="str">
        <f t="shared" si="16"/>
        <v xml:space="preserve"> </v>
      </c>
      <c r="C88" s="29">
        <f t="shared" si="12"/>
        <v>0</v>
      </c>
      <c r="D88" s="29">
        <f t="shared" si="13"/>
        <v>0</v>
      </c>
      <c r="E88" s="29">
        <f t="shared" si="14"/>
        <v>0</v>
      </c>
      <c r="F88" s="29">
        <f t="shared" si="17"/>
        <v>0</v>
      </c>
      <c r="G88" s="27">
        <f t="shared" si="15"/>
        <v>2.4260953068733215E-7</v>
      </c>
    </row>
    <row r="89" spans="2:7" s="20" customFormat="1" x14ac:dyDescent="0.3">
      <c r="B89" s="28" t="str">
        <f t="shared" si="16"/>
        <v xml:space="preserve"> </v>
      </c>
      <c r="C89" s="29">
        <f t="shared" si="12"/>
        <v>0</v>
      </c>
      <c r="D89" s="29">
        <f t="shared" si="13"/>
        <v>0</v>
      </c>
      <c r="E89" s="29">
        <f t="shared" si="14"/>
        <v>0</v>
      </c>
      <c r="F89" s="29">
        <f t="shared" si="17"/>
        <v>0</v>
      </c>
      <c r="G89" s="27">
        <f t="shared" si="15"/>
        <v>2.4260953068733215E-7</v>
      </c>
    </row>
    <row r="90" spans="2:7" s="20" customFormat="1" x14ac:dyDescent="0.3">
      <c r="B90" s="28" t="str">
        <f t="shared" si="16"/>
        <v xml:space="preserve"> </v>
      </c>
      <c r="C90" s="29">
        <f t="shared" si="12"/>
        <v>0</v>
      </c>
      <c r="D90" s="29">
        <f t="shared" si="13"/>
        <v>0</v>
      </c>
      <c r="E90" s="29">
        <f t="shared" si="14"/>
        <v>0</v>
      </c>
      <c r="F90" s="29">
        <f t="shared" si="17"/>
        <v>0</v>
      </c>
      <c r="G90" s="27">
        <f t="shared" si="15"/>
        <v>2.4260953068733215E-7</v>
      </c>
    </row>
    <row r="91" spans="2:7" s="20" customFormat="1" x14ac:dyDescent="0.3">
      <c r="B91" s="28" t="str">
        <f t="shared" si="16"/>
        <v xml:space="preserve"> </v>
      </c>
      <c r="C91" s="29">
        <f t="shared" si="12"/>
        <v>0</v>
      </c>
      <c r="D91" s="29">
        <f t="shared" si="13"/>
        <v>0</v>
      </c>
      <c r="E91" s="29">
        <f t="shared" si="14"/>
        <v>0</v>
      </c>
      <c r="F91" s="29">
        <f t="shared" si="17"/>
        <v>0</v>
      </c>
      <c r="G91" s="27">
        <f t="shared" si="15"/>
        <v>2.4260953068733215E-7</v>
      </c>
    </row>
    <row r="92" spans="2:7" s="20" customFormat="1" x14ac:dyDescent="0.3">
      <c r="B92" s="28" t="str">
        <f t="shared" si="16"/>
        <v xml:space="preserve"> </v>
      </c>
      <c r="C92" s="29">
        <f t="shared" si="12"/>
        <v>0</v>
      </c>
      <c r="D92" s="29">
        <f t="shared" si="13"/>
        <v>0</v>
      </c>
      <c r="E92" s="29">
        <f t="shared" si="14"/>
        <v>0</v>
      </c>
      <c r="F92" s="29">
        <f t="shared" si="17"/>
        <v>0</v>
      </c>
      <c r="G92" s="27">
        <f t="shared" si="15"/>
        <v>2.4260953068733215E-7</v>
      </c>
    </row>
    <row r="93" spans="2:7" s="20" customFormat="1" x14ac:dyDescent="0.3">
      <c r="B93" s="28" t="str">
        <f t="shared" si="16"/>
        <v xml:space="preserve"> </v>
      </c>
      <c r="C93" s="29">
        <f t="shared" si="12"/>
        <v>0</v>
      </c>
      <c r="D93" s="29">
        <f t="shared" si="13"/>
        <v>0</v>
      </c>
      <c r="E93" s="29">
        <f t="shared" si="14"/>
        <v>0</v>
      </c>
      <c r="F93" s="29">
        <f t="shared" si="17"/>
        <v>0</v>
      </c>
      <c r="G93" s="27">
        <f t="shared" si="15"/>
        <v>2.4260953068733215E-7</v>
      </c>
    </row>
    <row r="94" spans="2:7" s="20" customFormat="1" x14ac:dyDescent="0.3">
      <c r="B94" s="28" t="str">
        <f t="shared" si="16"/>
        <v xml:space="preserve"> </v>
      </c>
      <c r="C94" s="29">
        <f t="shared" si="12"/>
        <v>0</v>
      </c>
      <c r="D94" s="29">
        <f t="shared" si="13"/>
        <v>0</v>
      </c>
      <c r="E94" s="29">
        <f t="shared" si="14"/>
        <v>0</v>
      </c>
      <c r="F94" s="29">
        <f t="shared" si="17"/>
        <v>0</v>
      </c>
      <c r="G94" s="27">
        <f t="shared" si="15"/>
        <v>2.4260953068733215E-7</v>
      </c>
    </row>
    <row r="95" spans="2:7" s="20" customFormat="1" x14ac:dyDescent="0.3">
      <c r="B95" s="28" t="str">
        <f t="shared" si="16"/>
        <v xml:space="preserve"> </v>
      </c>
      <c r="C95" s="29">
        <f t="shared" si="12"/>
        <v>0</v>
      </c>
      <c r="D95" s="29">
        <f t="shared" si="13"/>
        <v>0</v>
      </c>
      <c r="E95" s="29">
        <f t="shared" si="14"/>
        <v>0</v>
      </c>
      <c r="F95" s="29">
        <f t="shared" si="17"/>
        <v>0</v>
      </c>
      <c r="G95" s="27">
        <f t="shared" si="15"/>
        <v>2.4260953068733215E-7</v>
      </c>
    </row>
    <row r="96" spans="2:7" s="20" customFormat="1" x14ac:dyDescent="0.3">
      <c r="B96" s="28" t="str">
        <f t="shared" si="16"/>
        <v xml:space="preserve"> </v>
      </c>
      <c r="C96" s="29">
        <f t="shared" si="12"/>
        <v>0</v>
      </c>
      <c r="D96" s="29">
        <f t="shared" si="13"/>
        <v>0</v>
      </c>
      <c r="E96" s="29">
        <f t="shared" si="14"/>
        <v>0</v>
      </c>
      <c r="F96" s="29">
        <f t="shared" si="17"/>
        <v>0</v>
      </c>
      <c r="G96" s="27">
        <f t="shared" si="15"/>
        <v>2.4260953068733215E-7</v>
      </c>
    </row>
    <row r="97" spans="2:7" s="20" customFormat="1" x14ac:dyDescent="0.3">
      <c r="B97" s="28" t="str">
        <f t="shared" si="16"/>
        <v xml:space="preserve"> </v>
      </c>
      <c r="C97" s="29">
        <f t="shared" si="12"/>
        <v>0</v>
      </c>
      <c r="D97" s="29">
        <f t="shared" si="13"/>
        <v>0</v>
      </c>
      <c r="E97" s="29">
        <f t="shared" si="14"/>
        <v>0</v>
      </c>
      <c r="F97" s="29">
        <f t="shared" si="17"/>
        <v>0</v>
      </c>
      <c r="G97" s="27">
        <f t="shared" si="15"/>
        <v>2.4260953068733215E-7</v>
      </c>
    </row>
    <row r="98" spans="2:7" s="20" customFormat="1" x14ac:dyDescent="0.3">
      <c r="B98" s="28" t="str">
        <f t="shared" si="16"/>
        <v xml:space="preserve"> </v>
      </c>
      <c r="C98" s="29">
        <f t="shared" si="12"/>
        <v>0</v>
      </c>
      <c r="D98" s="29">
        <f t="shared" si="13"/>
        <v>0</v>
      </c>
      <c r="E98" s="29">
        <f t="shared" si="14"/>
        <v>0</v>
      </c>
      <c r="F98" s="29">
        <f t="shared" si="17"/>
        <v>0</v>
      </c>
      <c r="G98" s="27">
        <f t="shared" si="15"/>
        <v>2.4260953068733215E-7</v>
      </c>
    </row>
    <row r="99" spans="2:7" s="20" customFormat="1" x14ac:dyDescent="0.3">
      <c r="B99" s="28" t="str">
        <f t="shared" si="16"/>
        <v xml:space="preserve"> </v>
      </c>
      <c r="C99" s="29">
        <f t="shared" si="12"/>
        <v>0</v>
      </c>
      <c r="D99" s="29">
        <f t="shared" si="13"/>
        <v>0</v>
      </c>
      <c r="E99" s="29">
        <f t="shared" si="14"/>
        <v>0</v>
      </c>
      <c r="F99" s="29">
        <f t="shared" si="17"/>
        <v>0</v>
      </c>
      <c r="G99" s="27">
        <f t="shared" si="15"/>
        <v>2.4260953068733215E-7</v>
      </c>
    </row>
    <row r="100" spans="2:7" s="20" customFormat="1" x14ac:dyDescent="0.3">
      <c r="B100" s="28" t="str">
        <f t="shared" si="16"/>
        <v xml:space="preserve"> </v>
      </c>
      <c r="C100" s="29">
        <f t="shared" si="12"/>
        <v>0</v>
      </c>
      <c r="D100" s="29">
        <f t="shared" si="13"/>
        <v>0</v>
      </c>
      <c r="E100" s="29">
        <f t="shared" si="14"/>
        <v>0</v>
      </c>
      <c r="F100" s="29">
        <f t="shared" si="17"/>
        <v>0</v>
      </c>
      <c r="G100" s="27">
        <f t="shared" si="15"/>
        <v>2.4260953068733215E-7</v>
      </c>
    </row>
    <row r="101" spans="2:7" s="20" customFormat="1" x14ac:dyDescent="0.3">
      <c r="B101" s="28" t="str">
        <f t="shared" si="16"/>
        <v xml:space="preserve"> </v>
      </c>
      <c r="C101" s="29">
        <f t="shared" si="12"/>
        <v>0</v>
      </c>
      <c r="D101" s="29">
        <f t="shared" si="13"/>
        <v>0</v>
      </c>
      <c r="E101" s="29">
        <f t="shared" si="14"/>
        <v>0</v>
      </c>
      <c r="F101" s="29">
        <f t="shared" si="17"/>
        <v>0</v>
      </c>
      <c r="G101" s="27">
        <f t="shared" si="15"/>
        <v>2.4260953068733215E-7</v>
      </c>
    </row>
    <row r="102" spans="2:7" s="20" customFormat="1" x14ac:dyDescent="0.3">
      <c r="B102" s="28" t="str">
        <f t="shared" si="16"/>
        <v xml:space="preserve"> </v>
      </c>
      <c r="C102" s="29">
        <f t="shared" si="12"/>
        <v>0</v>
      </c>
      <c r="D102" s="29">
        <f t="shared" si="13"/>
        <v>0</v>
      </c>
      <c r="E102" s="29">
        <f t="shared" si="14"/>
        <v>0</v>
      </c>
      <c r="F102" s="29">
        <f t="shared" si="17"/>
        <v>0</v>
      </c>
      <c r="G102" s="27">
        <f t="shared" si="15"/>
        <v>2.4260953068733215E-7</v>
      </c>
    </row>
    <row r="103" spans="2:7" s="20" customFormat="1" x14ac:dyDescent="0.3">
      <c r="B103" s="28" t="str">
        <f t="shared" si="16"/>
        <v xml:space="preserve"> </v>
      </c>
      <c r="C103" s="29">
        <f t="shared" si="12"/>
        <v>0</v>
      </c>
      <c r="D103" s="29">
        <f t="shared" si="13"/>
        <v>0</v>
      </c>
      <c r="E103" s="29">
        <f t="shared" si="14"/>
        <v>0</v>
      </c>
      <c r="F103" s="29">
        <f t="shared" si="17"/>
        <v>0</v>
      </c>
      <c r="G103" s="27">
        <f t="shared" si="15"/>
        <v>2.4260953068733215E-7</v>
      </c>
    </row>
    <row r="104" spans="2:7" s="20" customFormat="1" x14ac:dyDescent="0.3">
      <c r="B104" s="28" t="str">
        <f t="shared" si="16"/>
        <v xml:space="preserve"> </v>
      </c>
      <c r="C104" s="29">
        <f t="shared" si="12"/>
        <v>0</v>
      </c>
      <c r="D104" s="29">
        <f t="shared" si="13"/>
        <v>0</v>
      </c>
      <c r="E104" s="29">
        <f t="shared" si="14"/>
        <v>0</v>
      </c>
      <c r="F104" s="29">
        <f t="shared" si="17"/>
        <v>0</v>
      </c>
      <c r="G104" s="27">
        <f t="shared" si="15"/>
        <v>2.4260953068733215E-7</v>
      </c>
    </row>
    <row r="105" spans="2:7" s="20" customFormat="1" x14ac:dyDescent="0.3">
      <c r="B105" s="28" t="str">
        <f t="shared" si="16"/>
        <v xml:space="preserve"> </v>
      </c>
      <c r="C105" s="29">
        <f t="shared" si="12"/>
        <v>0</v>
      </c>
      <c r="D105" s="29">
        <f t="shared" si="13"/>
        <v>0</v>
      </c>
      <c r="E105" s="29">
        <f t="shared" si="14"/>
        <v>0</v>
      </c>
      <c r="F105" s="29">
        <f t="shared" si="17"/>
        <v>0</v>
      </c>
      <c r="G105" s="27">
        <f t="shared" si="15"/>
        <v>2.4260953068733215E-7</v>
      </c>
    </row>
    <row r="106" spans="2:7" s="20" customFormat="1" x14ac:dyDescent="0.3">
      <c r="B106" s="28" t="str">
        <f t="shared" si="16"/>
        <v xml:space="preserve"> </v>
      </c>
      <c r="C106" s="29">
        <f t="shared" si="12"/>
        <v>0</v>
      </c>
      <c r="D106" s="29">
        <f t="shared" si="13"/>
        <v>0</v>
      </c>
      <c r="E106" s="29">
        <f t="shared" si="14"/>
        <v>0</v>
      </c>
      <c r="F106" s="29">
        <f t="shared" si="17"/>
        <v>0</v>
      </c>
      <c r="G106" s="27">
        <f t="shared" si="15"/>
        <v>2.4260953068733215E-7</v>
      </c>
    </row>
    <row r="107" spans="2:7" s="20" customFormat="1" x14ac:dyDescent="0.3">
      <c r="B107" s="28" t="str">
        <f t="shared" si="16"/>
        <v xml:space="preserve"> </v>
      </c>
      <c r="C107" s="29">
        <f t="shared" si="12"/>
        <v>0</v>
      </c>
      <c r="D107" s="29">
        <f t="shared" si="13"/>
        <v>0</v>
      </c>
      <c r="E107" s="29">
        <f t="shared" si="14"/>
        <v>0</v>
      </c>
      <c r="F107" s="29">
        <f t="shared" si="17"/>
        <v>0</v>
      </c>
      <c r="G107" s="27">
        <f t="shared" si="15"/>
        <v>2.4260953068733215E-7</v>
      </c>
    </row>
    <row r="108" spans="2:7" s="20" customFormat="1" x14ac:dyDescent="0.3">
      <c r="B108" s="28" t="str">
        <f t="shared" si="16"/>
        <v xml:space="preserve"> </v>
      </c>
      <c r="C108" s="29">
        <f t="shared" si="12"/>
        <v>0</v>
      </c>
      <c r="D108" s="29">
        <f t="shared" si="13"/>
        <v>0</v>
      </c>
      <c r="E108" s="29">
        <f t="shared" si="14"/>
        <v>0</v>
      </c>
      <c r="F108" s="29">
        <f t="shared" si="17"/>
        <v>0</v>
      </c>
      <c r="G108" s="27">
        <f t="shared" si="15"/>
        <v>2.4260953068733215E-7</v>
      </c>
    </row>
    <row r="109" spans="2:7" s="20" customFormat="1" x14ac:dyDescent="0.3">
      <c r="B109" s="28" t="str">
        <f t="shared" si="16"/>
        <v xml:space="preserve"> </v>
      </c>
      <c r="C109" s="29">
        <f t="shared" si="12"/>
        <v>0</v>
      </c>
      <c r="D109" s="29">
        <f t="shared" si="13"/>
        <v>0</v>
      </c>
      <c r="E109" s="29">
        <f t="shared" si="14"/>
        <v>0</v>
      </c>
      <c r="F109" s="29">
        <f t="shared" si="17"/>
        <v>0</v>
      </c>
      <c r="G109" s="27">
        <f t="shared" si="15"/>
        <v>2.4260953068733215E-7</v>
      </c>
    </row>
    <row r="110" spans="2:7" s="20" customFormat="1" x14ac:dyDescent="0.3">
      <c r="B110" s="28" t="str">
        <f t="shared" si="16"/>
        <v xml:space="preserve"> </v>
      </c>
      <c r="C110" s="29">
        <f t="shared" ref="C110:C141" si="18">+IF(B110=" ",0,(F110-D110))</f>
        <v>0</v>
      </c>
      <c r="D110" s="29">
        <f t="shared" ref="D110:D141" si="19">+IF(B110=" ",0,G109*$C$7)</f>
        <v>0</v>
      </c>
      <c r="E110" s="29">
        <f t="shared" ref="E110:E141" si="20">+IF(B110=" ",0,$C$10)</f>
        <v>0</v>
      </c>
      <c r="F110" s="29">
        <f t="shared" si="17"/>
        <v>0</v>
      </c>
      <c r="G110" s="27">
        <f t="shared" ref="G110:G141" si="21">+G109-C110</f>
        <v>2.4260953068733215E-7</v>
      </c>
    </row>
    <row r="111" spans="2:7" s="20" customFormat="1" x14ac:dyDescent="0.3">
      <c r="B111" s="28" t="str">
        <f t="shared" ref="B111:B142" si="22">IF(B110&lt;$C$6,B110+1," ")</f>
        <v xml:space="preserve"> </v>
      </c>
      <c r="C111" s="29">
        <f t="shared" si="18"/>
        <v>0</v>
      </c>
      <c r="D111" s="29">
        <f t="shared" si="19"/>
        <v>0</v>
      </c>
      <c r="E111" s="29">
        <f t="shared" si="20"/>
        <v>0</v>
      </c>
      <c r="F111" s="29">
        <f t="shared" ref="F111:F142" si="23">+IF(B111=" ",0,$C$9)</f>
        <v>0</v>
      </c>
      <c r="G111" s="27">
        <f t="shared" si="21"/>
        <v>2.4260953068733215E-7</v>
      </c>
    </row>
    <row r="112" spans="2:7" s="20" customFormat="1" x14ac:dyDescent="0.3">
      <c r="B112" s="28" t="str">
        <f t="shared" si="22"/>
        <v xml:space="preserve"> </v>
      </c>
      <c r="C112" s="29">
        <f t="shared" si="18"/>
        <v>0</v>
      </c>
      <c r="D112" s="29">
        <f t="shared" si="19"/>
        <v>0</v>
      </c>
      <c r="E112" s="29">
        <f t="shared" si="20"/>
        <v>0</v>
      </c>
      <c r="F112" s="29">
        <f t="shared" si="23"/>
        <v>0</v>
      </c>
      <c r="G112" s="27">
        <f t="shared" si="21"/>
        <v>2.4260953068733215E-7</v>
      </c>
    </row>
    <row r="113" spans="2:7" s="20" customFormat="1" x14ac:dyDescent="0.3">
      <c r="B113" s="28" t="str">
        <f t="shared" si="22"/>
        <v xml:space="preserve"> </v>
      </c>
      <c r="C113" s="29">
        <f t="shared" si="18"/>
        <v>0</v>
      </c>
      <c r="D113" s="29">
        <f t="shared" si="19"/>
        <v>0</v>
      </c>
      <c r="E113" s="29">
        <f t="shared" si="20"/>
        <v>0</v>
      </c>
      <c r="F113" s="29">
        <f t="shared" si="23"/>
        <v>0</v>
      </c>
      <c r="G113" s="27">
        <f t="shared" si="21"/>
        <v>2.4260953068733215E-7</v>
      </c>
    </row>
    <row r="114" spans="2:7" s="20" customFormat="1" x14ac:dyDescent="0.3">
      <c r="B114" s="28" t="str">
        <f t="shared" si="22"/>
        <v xml:space="preserve"> </v>
      </c>
      <c r="C114" s="29">
        <f t="shared" si="18"/>
        <v>0</v>
      </c>
      <c r="D114" s="29">
        <f t="shared" si="19"/>
        <v>0</v>
      </c>
      <c r="E114" s="29">
        <f t="shared" si="20"/>
        <v>0</v>
      </c>
      <c r="F114" s="29">
        <f t="shared" si="23"/>
        <v>0</v>
      </c>
      <c r="G114" s="27">
        <f t="shared" si="21"/>
        <v>2.4260953068733215E-7</v>
      </c>
    </row>
    <row r="115" spans="2:7" s="20" customFormat="1" x14ac:dyDescent="0.3">
      <c r="B115" s="28" t="str">
        <f t="shared" si="22"/>
        <v xml:space="preserve"> </v>
      </c>
      <c r="C115" s="29">
        <f t="shared" si="18"/>
        <v>0</v>
      </c>
      <c r="D115" s="29">
        <f t="shared" si="19"/>
        <v>0</v>
      </c>
      <c r="E115" s="29">
        <f t="shared" si="20"/>
        <v>0</v>
      </c>
      <c r="F115" s="29">
        <f t="shared" si="23"/>
        <v>0</v>
      </c>
      <c r="G115" s="27">
        <f t="shared" si="21"/>
        <v>2.4260953068733215E-7</v>
      </c>
    </row>
    <row r="116" spans="2:7" s="20" customFormat="1" x14ac:dyDescent="0.3">
      <c r="B116" s="28" t="str">
        <f t="shared" si="22"/>
        <v xml:space="preserve"> </v>
      </c>
      <c r="C116" s="29">
        <f t="shared" si="18"/>
        <v>0</v>
      </c>
      <c r="D116" s="29">
        <f t="shared" si="19"/>
        <v>0</v>
      </c>
      <c r="E116" s="29">
        <f t="shared" si="20"/>
        <v>0</v>
      </c>
      <c r="F116" s="29">
        <f t="shared" si="23"/>
        <v>0</v>
      </c>
      <c r="G116" s="27">
        <f t="shared" si="21"/>
        <v>2.4260953068733215E-7</v>
      </c>
    </row>
    <row r="117" spans="2:7" s="20" customFormat="1" x14ac:dyDescent="0.3">
      <c r="B117" s="28" t="str">
        <f t="shared" si="22"/>
        <v xml:space="preserve"> </v>
      </c>
      <c r="C117" s="29">
        <f t="shared" si="18"/>
        <v>0</v>
      </c>
      <c r="D117" s="29">
        <f t="shared" si="19"/>
        <v>0</v>
      </c>
      <c r="E117" s="29">
        <f t="shared" si="20"/>
        <v>0</v>
      </c>
      <c r="F117" s="29">
        <f t="shared" si="23"/>
        <v>0</v>
      </c>
      <c r="G117" s="27">
        <f t="shared" si="21"/>
        <v>2.4260953068733215E-7</v>
      </c>
    </row>
    <row r="118" spans="2:7" s="20" customFormat="1" x14ac:dyDescent="0.3">
      <c r="B118" s="28" t="str">
        <f t="shared" si="22"/>
        <v xml:space="preserve"> </v>
      </c>
      <c r="C118" s="29">
        <f t="shared" si="18"/>
        <v>0</v>
      </c>
      <c r="D118" s="29">
        <f t="shared" si="19"/>
        <v>0</v>
      </c>
      <c r="E118" s="29">
        <f t="shared" si="20"/>
        <v>0</v>
      </c>
      <c r="F118" s="29">
        <f t="shared" si="23"/>
        <v>0</v>
      </c>
      <c r="G118" s="27">
        <f t="shared" si="21"/>
        <v>2.4260953068733215E-7</v>
      </c>
    </row>
    <row r="119" spans="2:7" s="20" customFormat="1" x14ac:dyDescent="0.3">
      <c r="B119" s="28" t="str">
        <f t="shared" si="22"/>
        <v xml:space="preserve"> </v>
      </c>
      <c r="C119" s="29">
        <f t="shared" si="18"/>
        <v>0</v>
      </c>
      <c r="D119" s="29">
        <f t="shared" si="19"/>
        <v>0</v>
      </c>
      <c r="E119" s="29">
        <f t="shared" si="20"/>
        <v>0</v>
      </c>
      <c r="F119" s="29">
        <f t="shared" si="23"/>
        <v>0</v>
      </c>
      <c r="G119" s="27">
        <f t="shared" si="21"/>
        <v>2.4260953068733215E-7</v>
      </c>
    </row>
    <row r="120" spans="2:7" s="20" customFormat="1" x14ac:dyDescent="0.3">
      <c r="B120" s="28" t="str">
        <f t="shared" si="22"/>
        <v xml:space="preserve"> </v>
      </c>
      <c r="C120" s="29">
        <f t="shared" si="18"/>
        <v>0</v>
      </c>
      <c r="D120" s="29">
        <f t="shared" si="19"/>
        <v>0</v>
      </c>
      <c r="E120" s="29">
        <f t="shared" si="20"/>
        <v>0</v>
      </c>
      <c r="F120" s="29">
        <f t="shared" si="23"/>
        <v>0</v>
      </c>
      <c r="G120" s="27">
        <f t="shared" si="21"/>
        <v>2.4260953068733215E-7</v>
      </c>
    </row>
    <row r="121" spans="2:7" s="20" customFormat="1" x14ac:dyDescent="0.3">
      <c r="B121" s="28" t="str">
        <f t="shared" si="22"/>
        <v xml:space="preserve"> </v>
      </c>
      <c r="C121" s="29">
        <f t="shared" si="18"/>
        <v>0</v>
      </c>
      <c r="D121" s="29">
        <f t="shared" si="19"/>
        <v>0</v>
      </c>
      <c r="E121" s="29">
        <f t="shared" si="20"/>
        <v>0</v>
      </c>
      <c r="F121" s="29">
        <f t="shared" si="23"/>
        <v>0</v>
      </c>
      <c r="G121" s="27">
        <f t="shared" si="21"/>
        <v>2.4260953068733215E-7</v>
      </c>
    </row>
    <row r="122" spans="2:7" s="20" customFormat="1" x14ac:dyDescent="0.3">
      <c r="B122" s="28" t="str">
        <f t="shared" si="22"/>
        <v xml:space="preserve"> </v>
      </c>
      <c r="C122" s="29">
        <f t="shared" si="18"/>
        <v>0</v>
      </c>
      <c r="D122" s="29">
        <f t="shared" si="19"/>
        <v>0</v>
      </c>
      <c r="E122" s="29">
        <f t="shared" si="20"/>
        <v>0</v>
      </c>
      <c r="F122" s="29">
        <f t="shared" si="23"/>
        <v>0</v>
      </c>
      <c r="G122" s="27">
        <f t="shared" si="21"/>
        <v>2.4260953068733215E-7</v>
      </c>
    </row>
    <row r="123" spans="2:7" s="20" customFormat="1" x14ac:dyDescent="0.3">
      <c r="B123" s="28" t="str">
        <f t="shared" si="22"/>
        <v xml:space="preserve"> </v>
      </c>
      <c r="C123" s="29">
        <f t="shared" si="18"/>
        <v>0</v>
      </c>
      <c r="D123" s="29">
        <f t="shared" si="19"/>
        <v>0</v>
      </c>
      <c r="E123" s="29">
        <f t="shared" si="20"/>
        <v>0</v>
      </c>
      <c r="F123" s="29">
        <f t="shared" si="23"/>
        <v>0</v>
      </c>
      <c r="G123" s="27">
        <f t="shared" si="21"/>
        <v>2.4260953068733215E-7</v>
      </c>
    </row>
    <row r="124" spans="2:7" s="20" customFormat="1" x14ac:dyDescent="0.3">
      <c r="B124" s="28" t="str">
        <f t="shared" si="22"/>
        <v xml:space="preserve"> </v>
      </c>
      <c r="C124" s="29">
        <f t="shared" si="18"/>
        <v>0</v>
      </c>
      <c r="D124" s="29">
        <f t="shared" si="19"/>
        <v>0</v>
      </c>
      <c r="E124" s="29">
        <f t="shared" si="20"/>
        <v>0</v>
      </c>
      <c r="F124" s="29">
        <f t="shared" si="23"/>
        <v>0</v>
      </c>
      <c r="G124" s="27">
        <f t="shared" si="21"/>
        <v>2.4260953068733215E-7</v>
      </c>
    </row>
    <row r="125" spans="2:7" s="20" customFormat="1" x14ac:dyDescent="0.3">
      <c r="B125" s="28" t="str">
        <f t="shared" si="22"/>
        <v xml:space="preserve"> </v>
      </c>
      <c r="C125" s="29">
        <f t="shared" si="18"/>
        <v>0</v>
      </c>
      <c r="D125" s="29">
        <f t="shared" si="19"/>
        <v>0</v>
      </c>
      <c r="E125" s="29">
        <f t="shared" si="20"/>
        <v>0</v>
      </c>
      <c r="F125" s="29">
        <f t="shared" si="23"/>
        <v>0</v>
      </c>
      <c r="G125" s="27">
        <f t="shared" si="21"/>
        <v>2.4260953068733215E-7</v>
      </c>
    </row>
    <row r="126" spans="2:7" s="20" customFormat="1" x14ac:dyDescent="0.3">
      <c r="B126" s="28" t="str">
        <f t="shared" si="22"/>
        <v xml:space="preserve"> </v>
      </c>
      <c r="C126" s="29">
        <f t="shared" si="18"/>
        <v>0</v>
      </c>
      <c r="D126" s="29">
        <f t="shared" si="19"/>
        <v>0</v>
      </c>
      <c r="E126" s="29">
        <f t="shared" si="20"/>
        <v>0</v>
      </c>
      <c r="F126" s="29">
        <f t="shared" si="23"/>
        <v>0</v>
      </c>
      <c r="G126" s="27">
        <f t="shared" si="21"/>
        <v>2.4260953068733215E-7</v>
      </c>
    </row>
    <row r="127" spans="2:7" s="20" customFormat="1" x14ac:dyDescent="0.3">
      <c r="B127" s="28" t="str">
        <f t="shared" si="22"/>
        <v xml:space="preserve"> </v>
      </c>
      <c r="C127" s="29">
        <f t="shared" si="18"/>
        <v>0</v>
      </c>
      <c r="D127" s="29">
        <f t="shared" si="19"/>
        <v>0</v>
      </c>
      <c r="E127" s="29">
        <f t="shared" si="20"/>
        <v>0</v>
      </c>
      <c r="F127" s="29">
        <f t="shared" si="23"/>
        <v>0</v>
      </c>
      <c r="G127" s="27">
        <f t="shared" si="21"/>
        <v>2.4260953068733215E-7</v>
      </c>
    </row>
    <row r="128" spans="2:7" s="20" customFormat="1" x14ac:dyDescent="0.3">
      <c r="B128" s="28" t="str">
        <f t="shared" si="22"/>
        <v xml:space="preserve"> </v>
      </c>
      <c r="C128" s="29">
        <f t="shared" si="18"/>
        <v>0</v>
      </c>
      <c r="D128" s="29">
        <f t="shared" si="19"/>
        <v>0</v>
      </c>
      <c r="E128" s="29">
        <f t="shared" si="20"/>
        <v>0</v>
      </c>
      <c r="F128" s="29">
        <f t="shared" si="23"/>
        <v>0</v>
      </c>
      <c r="G128" s="27">
        <f t="shared" si="21"/>
        <v>2.4260953068733215E-7</v>
      </c>
    </row>
    <row r="129" spans="2:7" s="20" customFormat="1" x14ac:dyDescent="0.3">
      <c r="B129" s="28" t="str">
        <f t="shared" si="22"/>
        <v xml:space="preserve"> </v>
      </c>
      <c r="C129" s="29">
        <f t="shared" si="18"/>
        <v>0</v>
      </c>
      <c r="D129" s="29">
        <f t="shared" si="19"/>
        <v>0</v>
      </c>
      <c r="E129" s="29">
        <f t="shared" si="20"/>
        <v>0</v>
      </c>
      <c r="F129" s="29">
        <f t="shared" si="23"/>
        <v>0</v>
      </c>
      <c r="G129" s="27">
        <f t="shared" si="21"/>
        <v>2.4260953068733215E-7</v>
      </c>
    </row>
    <row r="130" spans="2:7" s="20" customFormat="1" x14ac:dyDescent="0.3">
      <c r="B130" s="28" t="str">
        <f t="shared" si="22"/>
        <v xml:space="preserve"> </v>
      </c>
      <c r="C130" s="29">
        <f t="shared" si="18"/>
        <v>0</v>
      </c>
      <c r="D130" s="29">
        <f t="shared" si="19"/>
        <v>0</v>
      </c>
      <c r="E130" s="29">
        <f t="shared" si="20"/>
        <v>0</v>
      </c>
      <c r="F130" s="29">
        <f t="shared" si="23"/>
        <v>0</v>
      </c>
      <c r="G130" s="27">
        <f t="shared" si="21"/>
        <v>2.4260953068733215E-7</v>
      </c>
    </row>
    <row r="131" spans="2:7" s="20" customFormat="1" x14ac:dyDescent="0.3">
      <c r="B131" s="28" t="str">
        <f t="shared" si="22"/>
        <v xml:space="preserve"> </v>
      </c>
      <c r="C131" s="29">
        <f t="shared" si="18"/>
        <v>0</v>
      </c>
      <c r="D131" s="29">
        <f t="shared" si="19"/>
        <v>0</v>
      </c>
      <c r="E131" s="29">
        <f t="shared" si="20"/>
        <v>0</v>
      </c>
      <c r="F131" s="29">
        <f t="shared" si="23"/>
        <v>0</v>
      </c>
      <c r="G131" s="27">
        <f t="shared" si="21"/>
        <v>2.4260953068733215E-7</v>
      </c>
    </row>
    <row r="132" spans="2:7" s="20" customFormat="1" x14ac:dyDescent="0.3">
      <c r="B132" s="28" t="str">
        <f t="shared" si="22"/>
        <v xml:space="preserve"> </v>
      </c>
      <c r="C132" s="29">
        <f t="shared" si="18"/>
        <v>0</v>
      </c>
      <c r="D132" s="29">
        <f t="shared" si="19"/>
        <v>0</v>
      </c>
      <c r="E132" s="29">
        <f t="shared" si="20"/>
        <v>0</v>
      </c>
      <c r="F132" s="29">
        <f t="shared" si="23"/>
        <v>0</v>
      </c>
      <c r="G132" s="27">
        <f t="shared" si="21"/>
        <v>2.4260953068733215E-7</v>
      </c>
    </row>
    <row r="133" spans="2:7" s="20" customFormat="1" x14ac:dyDescent="0.3">
      <c r="B133" s="28" t="str">
        <f t="shared" si="22"/>
        <v xml:space="preserve"> </v>
      </c>
      <c r="C133" s="29">
        <f t="shared" si="18"/>
        <v>0</v>
      </c>
      <c r="D133" s="29">
        <f t="shared" si="19"/>
        <v>0</v>
      </c>
      <c r="E133" s="29">
        <f t="shared" si="20"/>
        <v>0</v>
      </c>
      <c r="F133" s="29">
        <f t="shared" si="23"/>
        <v>0</v>
      </c>
      <c r="G133" s="27">
        <f t="shared" si="21"/>
        <v>2.4260953068733215E-7</v>
      </c>
    </row>
    <row r="134" spans="2:7" s="20" customFormat="1" x14ac:dyDescent="0.3">
      <c r="B134" s="28" t="str">
        <f t="shared" si="22"/>
        <v xml:space="preserve"> </v>
      </c>
      <c r="C134" s="29">
        <f t="shared" si="18"/>
        <v>0</v>
      </c>
      <c r="D134" s="29">
        <f t="shared" si="19"/>
        <v>0</v>
      </c>
      <c r="E134" s="29">
        <f t="shared" si="20"/>
        <v>0</v>
      </c>
      <c r="F134" s="29">
        <f t="shared" si="23"/>
        <v>0</v>
      </c>
      <c r="G134" s="27">
        <f t="shared" si="21"/>
        <v>2.4260953068733215E-7</v>
      </c>
    </row>
    <row r="135" spans="2:7" s="20" customFormat="1" x14ac:dyDescent="0.3">
      <c r="B135" s="28" t="str">
        <f t="shared" si="22"/>
        <v xml:space="preserve"> </v>
      </c>
      <c r="C135" s="29">
        <f t="shared" si="18"/>
        <v>0</v>
      </c>
      <c r="D135" s="29">
        <f t="shared" si="19"/>
        <v>0</v>
      </c>
      <c r="E135" s="29">
        <f t="shared" si="20"/>
        <v>0</v>
      </c>
      <c r="F135" s="29">
        <f t="shared" si="23"/>
        <v>0</v>
      </c>
      <c r="G135" s="27">
        <f t="shared" si="21"/>
        <v>2.4260953068733215E-7</v>
      </c>
    </row>
    <row r="136" spans="2:7" s="20" customFormat="1" x14ac:dyDescent="0.3">
      <c r="B136" s="28" t="str">
        <f t="shared" si="22"/>
        <v xml:space="preserve"> </v>
      </c>
      <c r="C136" s="29">
        <f t="shared" si="18"/>
        <v>0</v>
      </c>
      <c r="D136" s="29">
        <f t="shared" si="19"/>
        <v>0</v>
      </c>
      <c r="E136" s="29">
        <f t="shared" si="20"/>
        <v>0</v>
      </c>
      <c r="F136" s="29">
        <f t="shared" si="23"/>
        <v>0</v>
      </c>
      <c r="G136" s="27">
        <f t="shared" si="21"/>
        <v>2.4260953068733215E-7</v>
      </c>
    </row>
    <row r="137" spans="2:7" s="20" customFormat="1" x14ac:dyDescent="0.3">
      <c r="B137" s="28" t="str">
        <f t="shared" si="22"/>
        <v xml:space="preserve"> </v>
      </c>
      <c r="C137" s="29">
        <f t="shared" si="18"/>
        <v>0</v>
      </c>
      <c r="D137" s="29">
        <f t="shared" si="19"/>
        <v>0</v>
      </c>
      <c r="E137" s="29">
        <f t="shared" si="20"/>
        <v>0</v>
      </c>
      <c r="F137" s="29">
        <f t="shared" si="23"/>
        <v>0</v>
      </c>
      <c r="G137" s="27">
        <f t="shared" si="21"/>
        <v>2.4260953068733215E-7</v>
      </c>
    </row>
    <row r="138" spans="2:7" s="20" customFormat="1" x14ac:dyDescent="0.3">
      <c r="B138" s="28" t="str">
        <f t="shared" si="22"/>
        <v xml:space="preserve"> </v>
      </c>
      <c r="C138" s="29">
        <f t="shared" si="18"/>
        <v>0</v>
      </c>
      <c r="D138" s="29">
        <f t="shared" si="19"/>
        <v>0</v>
      </c>
      <c r="E138" s="29">
        <f t="shared" si="20"/>
        <v>0</v>
      </c>
      <c r="F138" s="29">
        <f t="shared" si="23"/>
        <v>0</v>
      </c>
      <c r="G138" s="27">
        <f t="shared" si="21"/>
        <v>2.4260953068733215E-7</v>
      </c>
    </row>
    <row r="139" spans="2:7" s="20" customFormat="1" x14ac:dyDescent="0.3">
      <c r="B139" s="28" t="str">
        <f t="shared" si="22"/>
        <v xml:space="preserve"> </v>
      </c>
      <c r="C139" s="29">
        <f t="shared" si="18"/>
        <v>0</v>
      </c>
      <c r="D139" s="29">
        <f t="shared" si="19"/>
        <v>0</v>
      </c>
      <c r="E139" s="29">
        <f t="shared" si="20"/>
        <v>0</v>
      </c>
      <c r="F139" s="29">
        <f t="shared" si="23"/>
        <v>0</v>
      </c>
      <c r="G139" s="27">
        <f t="shared" si="21"/>
        <v>2.4260953068733215E-7</v>
      </c>
    </row>
    <row r="140" spans="2:7" s="20" customFormat="1" x14ac:dyDescent="0.3">
      <c r="B140" s="28" t="str">
        <f t="shared" si="22"/>
        <v xml:space="preserve"> </v>
      </c>
      <c r="C140" s="29">
        <f t="shared" si="18"/>
        <v>0</v>
      </c>
      <c r="D140" s="29">
        <f t="shared" si="19"/>
        <v>0</v>
      </c>
      <c r="E140" s="29">
        <f t="shared" si="20"/>
        <v>0</v>
      </c>
      <c r="F140" s="29">
        <f t="shared" si="23"/>
        <v>0</v>
      </c>
      <c r="G140" s="27">
        <f t="shared" si="21"/>
        <v>2.4260953068733215E-7</v>
      </c>
    </row>
    <row r="141" spans="2:7" s="20" customFormat="1" x14ac:dyDescent="0.3">
      <c r="B141" s="28" t="str">
        <f t="shared" si="22"/>
        <v xml:space="preserve"> </v>
      </c>
      <c r="C141" s="29">
        <f t="shared" si="18"/>
        <v>0</v>
      </c>
      <c r="D141" s="29">
        <f t="shared" si="19"/>
        <v>0</v>
      </c>
      <c r="E141" s="29">
        <f t="shared" si="20"/>
        <v>0</v>
      </c>
      <c r="F141" s="29">
        <f t="shared" si="23"/>
        <v>0</v>
      </c>
      <c r="G141" s="27">
        <f t="shared" si="21"/>
        <v>2.4260953068733215E-7</v>
      </c>
    </row>
    <row r="142" spans="2:7" s="20" customFormat="1" x14ac:dyDescent="0.3">
      <c r="B142" s="28" t="str">
        <f t="shared" si="22"/>
        <v xml:space="preserve"> </v>
      </c>
      <c r="C142" s="29">
        <f t="shared" ref="C142:C173" si="24">+IF(B142=" ",0,(F142-D142))</f>
        <v>0</v>
      </c>
      <c r="D142" s="29">
        <f t="shared" ref="D142:D173" si="25">+IF(B142=" ",0,G141*$C$7)</f>
        <v>0</v>
      </c>
      <c r="E142" s="29">
        <f t="shared" ref="E142:E173" si="26">+IF(B142=" ",0,$C$10)</f>
        <v>0</v>
      </c>
      <c r="F142" s="29">
        <f t="shared" si="23"/>
        <v>0</v>
      </c>
      <c r="G142" s="27">
        <f t="shared" ref="G142:G173" si="27">+G141-C142</f>
        <v>2.4260953068733215E-7</v>
      </c>
    </row>
    <row r="143" spans="2:7" s="20" customFormat="1" x14ac:dyDescent="0.3">
      <c r="B143" s="28" t="str">
        <f t="shared" ref="B143:B174" si="28">IF(B142&lt;$C$6,B142+1," ")</f>
        <v xml:space="preserve"> </v>
      </c>
      <c r="C143" s="29">
        <f t="shared" si="24"/>
        <v>0</v>
      </c>
      <c r="D143" s="29">
        <f t="shared" si="25"/>
        <v>0</v>
      </c>
      <c r="E143" s="29">
        <f t="shared" si="26"/>
        <v>0</v>
      </c>
      <c r="F143" s="29">
        <f t="shared" ref="F143:F174" si="29">+IF(B143=" ",0,$C$9)</f>
        <v>0</v>
      </c>
      <c r="G143" s="27">
        <f t="shared" si="27"/>
        <v>2.4260953068733215E-7</v>
      </c>
    </row>
    <row r="144" spans="2:7" s="20" customFormat="1" x14ac:dyDescent="0.3">
      <c r="B144" s="28" t="str">
        <f t="shared" si="28"/>
        <v xml:space="preserve"> </v>
      </c>
      <c r="C144" s="29">
        <f t="shared" si="24"/>
        <v>0</v>
      </c>
      <c r="D144" s="29">
        <f t="shared" si="25"/>
        <v>0</v>
      </c>
      <c r="E144" s="29">
        <f t="shared" si="26"/>
        <v>0</v>
      </c>
      <c r="F144" s="29">
        <f t="shared" si="29"/>
        <v>0</v>
      </c>
      <c r="G144" s="27">
        <f t="shared" si="27"/>
        <v>2.4260953068733215E-7</v>
      </c>
    </row>
    <row r="145" spans="2:7" s="20" customFormat="1" x14ac:dyDescent="0.3">
      <c r="B145" s="28" t="str">
        <f t="shared" si="28"/>
        <v xml:space="preserve"> </v>
      </c>
      <c r="C145" s="29">
        <f t="shared" si="24"/>
        <v>0</v>
      </c>
      <c r="D145" s="29">
        <f t="shared" si="25"/>
        <v>0</v>
      </c>
      <c r="E145" s="29">
        <f t="shared" si="26"/>
        <v>0</v>
      </c>
      <c r="F145" s="29">
        <f t="shared" si="29"/>
        <v>0</v>
      </c>
      <c r="G145" s="27">
        <f t="shared" si="27"/>
        <v>2.4260953068733215E-7</v>
      </c>
    </row>
    <row r="146" spans="2:7" s="20" customFormat="1" x14ac:dyDescent="0.3">
      <c r="B146" s="28" t="str">
        <f t="shared" si="28"/>
        <v xml:space="preserve"> </v>
      </c>
      <c r="C146" s="29">
        <f t="shared" si="24"/>
        <v>0</v>
      </c>
      <c r="D146" s="29">
        <f t="shared" si="25"/>
        <v>0</v>
      </c>
      <c r="E146" s="29">
        <f t="shared" si="26"/>
        <v>0</v>
      </c>
      <c r="F146" s="29">
        <f t="shared" si="29"/>
        <v>0</v>
      </c>
      <c r="G146" s="27">
        <f t="shared" si="27"/>
        <v>2.4260953068733215E-7</v>
      </c>
    </row>
    <row r="147" spans="2:7" s="20" customFormat="1" x14ac:dyDescent="0.3">
      <c r="B147" s="28" t="str">
        <f t="shared" si="28"/>
        <v xml:space="preserve"> </v>
      </c>
      <c r="C147" s="29">
        <f t="shared" si="24"/>
        <v>0</v>
      </c>
      <c r="D147" s="29">
        <f t="shared" si="25"/>
        <v>0</v>
      </c>
      <c r="E147" s="29">
        <f t="shared" si="26"/>
        <v>0</v>
      </c>
      <c r="F147" s="29">
        <f t="shared" si="29"/>
        <v>0</v>
      </c>
      <c r="G147" s="27">
        <f t="shared" si="27"/>
        <v>2.4260953068733215E-7</v>
      </c>
    </row>
    <row r="148" spans="2:7" s="20" customFormat="1" x14ac:dyDescent="0.3">
      <c r="B148" s="28" t="str">
        <f t="shared" si="28"/>
        <v xml:space="preserve"> </v>
      </c>
      <c r="C148" s="29">
        <f t="shared" si="24"/>
        <v>0</v>
      </c>
      <c r="D148" s="29">
        <f t="shared" si="25"/>
        <v>0</v>
      </c>
      <c r="E148" s="29">
        <f t="shared" si="26"/>
        <v>0</v>
      </c>
      <c r="F148" s="29">
        <f t="shared" si="29"/>
        <v>0</v>
      </c>
      <c r="G148" s="27">
        <f t="shared" si="27"/>
        <v>2.4260953068733215E-7</v>
      </c>
    </row>
    <row r="149" spans="2:7" s="20" customFormat="1" x14ac:dyDescent="0.3">
      <c r="B149" s="28" t="str">
        <f t="shared" si="28"/>
        <v xml:space="preserve"> </v>
      </c>
      <c r="C149" s="29">
        <f t="shared" si="24"/>
        <v>0</v>
      </c>
      <c r="D149" s="29">
        <f t="shared" si="25"/>
        <v>0</v>
      </c>
      <c r="E149" s="29">
        <f t="shared" si="26"/>
        <v>0</v>
      </c>
      <c r="F149" s="29">
        <f t="shared" si="29"/>
        <v>0</v>
      </c>
      <c r="G149" s="27">
        <f t="shared" si="27"/>
        <v>2.4260953068733215E-7</v>
      </c>
    </row>
    <row r="150" spans="2:7" s="20" customFormat="1" x14ac:dyDescent="0.3">
      <c r="B150" s="28" t="str">
        <f t="shared" si="28"/>
        <v xml:space="preserve"> </v>
      </c>
      <c r="C150" s="29">
        <f t="shared" si="24"/>
        <v>0</v>
      </c>
      <c r="D150" s="29">
        <f t="shared" si="25"/>
        <v>0</v>
      </c>
      <c r="E150" s="29">
        <f t="shared" si="26"/>
        <v>0</v>
      </c>
      <c r="F150" s="29">
        <f t="shared" si="29"/>
        <v>0</v>
      </c>
      <c r="G150" s="27">
        <f t="shared" si="27"/>
        <v>2.4260953068733215E-7</v>
      </c>
    </row>
    <row r="151" spans="2:7" s="20" customFormat="1" x14ac:dyDescent="0.3">
      <c r="B151" s="28" t="str">
        <f t="shared" si="28"/>
        <v xml:space="preserve"> </v>
      </c>
      <c r="C151" s="29">
        <f t="shared" si="24"/>
        <v>0</v>
      </c>
      <c r="D151" s="29">
        <f t="shared" si="25"/>
        <v>0</v>
      </c>
      <c r="E151" s="29">
        <f t="shared" si="26"/>
        <v>0</v>
      </c>
      <c r="F151" s="29">
        <f t="shared" si="29"/>
        <v>0</v>
      </c>
      <c r="G151" s="27">
        <f t="shared" si="27"/>
        <v>2.4260953068733215E-7</v>
      </c>
    </row>
    <row r="152" spans="2:7" s="20" customFormat="1" x14ac:dyDescent="0.3">
      <c r="B152" s="28" t="str">
        <f t="shared" si="28"/>
        <v xml:space="preserve"> </v>
      </c>
      <c r="C152" s="29">
        <f t="shared" si="24"/>
        <v>0</v>
      </c>
      <c r="D152" s="29">
        <f t="shared" si="25"/>
        <v>0</v>
      </c>
      <c r="E152" s="29">
        <f t="shared" si="26"/>
        <v>0</v>
      </c>
      <c r="F152" s="29">
        <f t="shared" si="29"/>
        <v>0</v>
      </c>
      <c r="G152" s="27">
        <f t="shared" si="27"/>
        <v>2.4260953068733215E-7</v>
      </c>
    </row>
    <row r="153" spans="2:7" s="20" customFormat="1" x14ac:dyDescent="0.3">
      <c r="B153" s="28" t="str">
        <f t="shared" si="28"/>
        <v xml:space="preserve"> </v>
      </c>
      <c r="C153" s="29">
        <f t="shared" si="24"/>
        <v>0</v>
      </c>
      <c r="D153" s="29">
        <f t="shared" si="25"/>
        <v>0</v>
      </c>
      <c r="E153" s="29">
        <f t="shared" si="26"/>
        <v>0</v>
      </c>
      <c r="F153" s="29">
        <f t="shared" si="29"/>
        <v>0</v>
      </c>
      <c r="G153" s="27">
        <f t="shared" si="27"/>
        <v>2.4260953068733215E-7</v>
      </c>
    </row>
    <row r="154" spans="2:7" s="20" customFormat="1" x14ac:dyDescent="0.3">
      <c r="B154" s="28" t="str">
        <f t="shared" si="28"/>
        <v xml:space="preserve"> </v>
      </c>
      <c r="C154" s="29">
        <f t="shared" si="24"/>
        <v>0</v>
      </c>
      <c r="D154" s="29">
        <f t="shared" si="25"/>
        <v>0</v>
      </c>
      <c r="E154" s="29">
        <f t="shared" si="26"/>
        <v>0</v>
      </c>
      <c r="F154" s="29">
        <f t="shared" si="29"/>
        <v>0</v>
      </c>
      <c r="G154" s="27">
        <f t="shared" si="27"/>
        <v>2.4260953068733215E-7</v>
      </c>
    </row>
    <row r="155" spans="2:7" s="20" customFormat="1" x14ac:dyDescent="0.3">
      <c r="B155" s="28" t="str">
        <f t="shared" si="28"/>
        <v xml:space="preserve"> </v>
      </c>
      <c r="C155" s="29">
        <f t="shared" si="24"/>
        <v>0</v>
      </c>
      <c r="D155" s="29">
        <f t="shared" si="25"/>
        <v>0</v>
      </c>
      <c r="E155" s="29">
        <f t="shared" si="26"/>
        <v>0</v>
      </c>
      <c r="F155" s="29">
        <f t="shared" si="29"/>
        <v>0</v>
      </c>
      <c r="G155" s="27">
        <f t="shared" si="27"/>
        <v>2.4260953068733215E-7</v>
      </c>
    </row>
    <row r="156" spans="2:7" s="20" customFormat="1" x14ac:dyDescent="0.3">
      <c r="B156" s="28" t="str">
        <f t="shared" si="28"/>
        <v xml:space="preserve"> </v>
      </c>
      <c r="C156" s="29">
        <f t="shared" si="24"/>
        <v>0</v>
      </c>
      <c r="D156" s="29">
        <f t="shared" si="25"/>
        <v>0</v>
      </c>
      <c r="E156" s="29">
        <f t="shared" si="26"/>
        <v>0</v>
      </c>
      <c r="F156" s="29">
        <f t="shared" si="29"/>
        <v>0</v>
      </c>
      <c r="G156" s="27">
        <f t="shared" si="27"/>
        <v>2.4260953068733215E-7</v>
      </c>
    </row>
    <row r="157" spans="2:7" s="20" customFormat="1" x14ac:dyDescent="0.3">
      <c r="B157" s="28" t="str">
        <f t="shared" si="28"/>
        <v xml:space="preserve"> </v>
      </c>
      <c r="C157" s="29">
        <f t="shared" si="24"/>
        <v>0</v>
      </c>
      <c r="D157" s="29">
        <f t="shared" si="25"/>
        <v>0</v>
      </c>
      <c r="E157" s="29">
        <f t="shared" si="26"/>
        <v>0</v>
      </c>
      <c r="F157" s="29">
        <f t="shared" si="29"/>
        <v>0</v>
      </c>
      <c r="G157" s="27">
        <f t="shared" si="27"/>
        <v>2.4260953068733215E-7</v>
      </c>
    </row>
    <row r="158" spans="2:7" s="20" customFormat="1" x14ac:dyDescent="0.3">
      <c r="B158" s="28" t="str">
        <f t="shared" si="28"/>
        <v xml:space="preserve"> </v>
      </c>
      <c r="C158" s="29">
        <f t="shared" si="24"/>
        <v>0</v>
      </c>
      <c r="D158" s="29">
        <f t="shared" si="25"/>
        <v>0</v>
      </c>
      <c r="E158" s="29">
        <f t="shared" si="26"/>
        <v>0</v>
      </c>
      <c r="F158" s="29">
        <f t="shared" si="29"/>
        <v>0</v>
      </c>
      <c r="G158" s="27">
        <f t="shared" si="27"/>
        <v>2.4260953068733215E-7</v>
      </c>
    </row>
    <row r="159" spans="2:7" s="20" customFormat="1" x14ac:dyDescent="0.3">
      <c r="B159" s="28" t="str">
        <f t="shared" si="28"/>
        <v xml:space="preserve"> </v>
      </c>
      <c r="C159" s="29">
        <f t="shared" si="24"/>
        <v>0</v>
      </c>
      <c r="D159" s="29">
        <f t="shared" si="25"/>
        <v>0</v>
      </c>
      <c r="E159" s="29">
        <f t="shared" si="26"/>
        <v>0</v>
      </c>
      <c r="F159" s="29">
        <f t="shared" si="29"/>
        <v>0</v>
      </c>
      <c r="G159" s="27">
        <f t="shared" si="27"/>
        <v>2.4260953068733215E-7</v>
      </c>
    </row>
    <row r="160" spans="2:7" s="20" customFormat="1" x14ac:dyDescent="0.3">
      <c r="B160" s="28" t="str">
        <f t="shared" si="28"/>
        <v xml:space="preserve"> </v>
      </c>
      <c r="C160" s="29">
        <f t="shared" si="24"/>
        <v>0</v>
      </c>
      <c r="D160" s="29">
        <f t="shared" si="25"/>
        <v>0</v>
      </c>
      <c r="E160" s="29">
        <f t="shared" si="26"/>
        <v>0</v>
      </c>
      <c r="F160" s="29">
        <f t="shared" si="29"/>
        <v>0</v>
      </c>
      <c r="G160" s="27">
        <f t="shared" si="27"/>
        <v>2.4260953068733215E-7</v>
      </c>
    </row>
    <row r="161" spans="2:7" s="20" customFormat="1" x14ac:dyDescent="0.3">
      <c r="B161" s="28" t="str">
        <f t="shared" si="28"/>
        <v xml:space="preserve"> </v>
      </c>
      <c r="C161" s="29">
        <f t="shared" si="24"/>
        <v>0</v>
      </c>
      <c r="D161" s="29">
        <f t="shared" si="25"/>
        <v>0</v>
      </c>
      <c r="E161" s="29">
        <f t="shared" si="26"/>
        <v>0</v>
      </c>
      <c r="F161" s="29">
        <f t="shared" si="29"/>
        <v>0</v>
      </c>
      <c r="G161" s="27">
        <f t="shared" si="27"/>
        <v>2.4260953068733215E-7</v>
      </c>
    </row>
    <row r="162" spans="2:7" s="20" customFormat="1" x14ac:dyDescent="0.3">
      <c r="B162" s="28" t="str">
        <f t="shared" si="28"/>
        <v xml:space="preserve"> </v>
      </c>
      <c r="C162" s="29">
        <f t="shared" si="24"/>
        <v>0</v>
      </c>
      <c r="D162" s="29">
        <f t="shared" si="25"/>
        <v>0</v>
      </c>
      <c r="E162" s="29">
        <f t="shared" si="26"/>
        <v>0</v>
      </c>
      <c r="F162" s="29">
        <f t="shared" si="29"/>
        <v>0</v>
      </c>
      <c r="G162" s="27">
        <f t="shared" si="27"/>
        <v>2.4260953068733215E-7</v>
      </c>
    </row>
    <row r="163" spans="2:7" s="20" customFormat="1" x14ac:dyDescent="0.3">
      <c r="B163" s="28" t="str">
        <f t="shared" si="28"/>
        <v xml:space="preserve"> </v>
      </c>
      <c r="C163" s="29">
        <f t="shared" si="24"/>
        <v>0</v>
      </c>
      <c r="D163" s="29">
        <f t="shared" si="25"/>
        <v>0</v>
      </c>
      <c r="E163" s="29">
        <f t="shared" si="26"/>
        <v>0</v>
      </c>
      <c r="F163" s="29">
        <f t="shared" si="29"/>
        <v>0</v>
      </c>
      <c r="G163" s="27">
        <f t="shared" si="27"/>
        <v>2.4260953068733215E-7</v>
      </c>
    </row>
    <row r="164" spans="2:7" s="20" customFormat="1" x14ac:dyDescent="0.3">
      <c r="B164" s="28" t="str">
        <f t="shared" si="28"/>
        <v xml:space="preserve"> </v>
      </c>
      <c r="C164" s="29">
        <f t="shared" si="24"/>
        <v>0</v>
      </c>
      <c r="D164" s="29">
        <f t="shared" si="25"/>
        <v>0</v>
      </c>
      <c r="E164" s="29">
        <f t="shared" si="26"/>
        <v>0</v>
      </c>
      <c r="F164" s="29">
        <f t="shared" si="29"/>
        <v>0</v>
      </c>
      <c r="G164" s="27">
        <f t="shared" si="27"/>
        <v>2.4260953068733215E-7</v>
      </c>
    </row>
    <row r="165" spans="2:7" s="20" customFormat="1" x14ac:dyDescent="0.3">
      <c r="B165" s="28" t="str">
        <f t="shared" si="28"/>
        <v xml:space="preserve"> </v>
      </c>
      <c r="C165" s="29">
        <f t="shared" si="24"/>
        <v>0</v>
      </c>
      <c r="D165" s="29">
        <f t="shared" si="25"/>
        <v>0</v>
      </c>
      <c r="E165" s="29">
        <f t="shared" si="26"/>
        <v>0</v>
      </c>
      <c r="F165" s="29">
        <f t="shared" si="29"/>
        <v>0</v>
      </c>
      <c r="G165" s="27">
        <f t="shared" si="27"/>
        <v>2.4260953068733215E-7</v>
      </c>
    </row>
    <row r="166" spans="2:7" s="20" customFormat="1" x14ac:dyDescent="0.3">
      <c r="B166" s="28" t="str">
        <f t="shared" si="28"/>
        <v xml:space="preserve"> </v>
      </c>
      <c r="C166" s="29">
        <f t="shared" si="24"/>
        <v>0</v>
      </c>
      <c r="D166" s="29">
        <f t="shared" si="25"/>
        <v>0</v>
      </c>
      <c r="E166" s="29">
        <f t="shared" si="26"/>
        <v>0</v>
      </c>
      <c r="F166" s="29">
        <f t="shared" si="29"/>
        <v>0</v>
      </c>
      <c r="G166" s="27">
        <f t="shared" si="27"/>
        <v>2.4260953068733215E-7</v>
      </c>
    </row>
    <row r="167" spans="2:7" s="20" customFormat="1" x14ac:dyDescent="0.3">
      <c r="B167" s="28" t="str">
        <f t="shared" si="28"/>
        <v xml:space="preserve"> </v>
      </c>
      <c r="C167" s="29">
        <f t="shared" si="24"/>
        <v>0</v>
      </c>
      <c r="D167" s="29">
        <f t="shared" si="25"/>
        <v>0</v>
      </c>
      <c r="E167" s="29">
        <f t="shared" si="26"/>
        <v>0</v>
      </c>
      <c r="F167" s="29">
        <f t="shared" si="29"/>
        <v>0</v>
      </c>
      <c r="G167" s="27">
        <f t="shared" si="27"/>
        <v>2.4260953068733215E-7</v>
      </c>
    </row>
    <row r="168" spans="2:7" s="20" customFormat="1" x14ac:dyDescent="0.3">
      <c r="B168" s="28" t="str">
        <f t="shared" si="28"/>
        <v xml:space="preserve"> </v>
      </c>
      <c r="C168" s="29">
        <f t="shared" si="24"/>
        <v>0</v>
      </c>
      <c r="D168" s="29">
        <f t="shared" si="25"/>
        <v>0</v>
      </c>
      <c r="E168" s="29">
        <f t="shared" si="26"/>
        <v>0</v>
      </c>
      <c r="F168" s="29">
        <f t="shared" si="29"/>
        <v>0</v>
      </c>
      <c r="G168" s="27">
        <f t="shared" si="27"/>
        <v>2.4260953068733215E-7</v>
      </c>
    </row>
    <row r="169" spans="2:7" s="20" customFormat="1" x14ac:dyDescent="0.3">
      <c r="B169" s="28" t="str">
        <f t="shared" si="28"/>
        <v xml:space="preserve"> </v>
      </c>
      <c r="C169" s="29">
        <f t="shared" si="24"/>
        <v>0</v>
      </c>
      <c r="D169" s="29">
        <f t="shared" si="25"/>
        <v>0</v>
      </c>
      <c r="E169" s="29">
        <f t="shared" si="26"/>
        <v>0</v>
      </c>
      <c r="F169" s="29">
        <f t="shared" si="29"/>
        <v>0</v>
      </c>
      <c r="G169" s="27">
        <f t="shared" si="27"/>
        <v>2.4260953068733215E-7</v>
      </c>
    </row>
    <row r="170" spans="2:7" s="20" customFormat="1" x14ac:dyDescent="0.3">
      <c r="B170" s="28" t="str">
        <f t="shared" si="28"/>
        <v xml:space="preserve"> </v>
      </c>
      <c r="C170" s="29">
        <f t="shared" si="24"/>
        <v>0</v>
      </c>
      <c r="D170" s="29">
        <f t="shared" si="25"/>
        <v>0</v>
      </c>
      <c r="E170" s="29">
        <f t="shared" si="26"/>
        <v>0</v>
      </c>
      <c r="F170" s="29">
        <f t="shared" si="29"/>
        <v>0</v>
      </c>
      <c r="G170" s="27">
        <f t="shared" si="27"/>
        <v>2.4260953068733215E-7</v>
      </c>
    </row>
    <row r="171" spans="2:7" s="20" customFormat="1" x14ac:dyDescent="0.3">
      <c r="B171" s="28" t="str">
        <f t="shared" si="28"/>
        <v xml:space="preserve"> </v>
      </c>
      <c r="C171" s="29">
        <f t="shared" si="24"/>
        <v>0</v>
      </c>
      <c r="D171" s="29">
        <f t="shared" si="25"/>
        <v>0</v>
      </c>
      <c r="E171" s="29">
        <f t="shared" si="26"/>
        <v>0</v>
      </c>
      <c r="F171" s="29">
        <f t="shared" si="29"/>
        <v>0</v>
      </c>
      <c r="G171" s="27">
        <f t="shared" si="27"/>
        <v>2.4260953068733215E-7</v>
      </c>
    </row>
    <row r="172" spans="2:7" s="20" customFormat="1" x14ac:dyDescent="0.3">
      <c r="B172" s="28" t="str">
        <f t="shared" si="28"/>
        <v xml:space="preserve"> </v>
      </c>
      <c r="C172" s="29">
        <f t="shared" si="24"/>
        <v>0</v>
      </c>
      <c r="D172" s="29">
        <f t="shared" si="25"/>
        <v>0</v>
      </c>
      <c r="E172" s="29">
        <f t="shared" si="26"/>
        <v>0</v>
      </c>
      <c r="F172" s="29">
        <f t="shared" si="29"/>
        <v>0</v>
      </c>
      <c r="G172" s="27">
        <f t="shared" si="27"/>
        <v>2.4260953068733215E-7</v>
      </c>
    </row>
    <row r="173" spans="2:7" s="20" customFormat="1" x14ac:dyDescent="0.3">
      <c r="B173" s="28" t="str">
        <f t="shared" si="28"/>
        <v xml:space="preserve"> </v>
      </c>
      <c r="C173" s="29">
        <f t="shared" si="24"/>
        <v>0</v>
      </c>
      <c r="D173" s="29">
        <f t="shared" si="25"/>
        <v>0</v>
      </c>
      <c r="E173" s="29">
        <f t="shared" si="26"/>
        <v>0</v>
      </c>
      <c r="F173" s="29">
        <f t="shared" si="29"/>
        <v>0</v>
      </c>
      <c r="G173" s="27">
        <f t="shared" si="27"/>
        <v>2.4260953068733215E-7</v>
      </c>
    </row>
    <row r="174" spans="2:7" s="20" customFormat="1" x14ac:dyDescent="0.3">
      <c r="B174" s="28" t="str">
        <f t="shared" si="28"/>
        <v xml:space="preserve"> </v>
      </c>
      <c r="C174" s="29">
        <f t="shared" ref="C174:C193" si="30">+IF(B174=" ",0,(F174-D174))</f>
        <v>0</v>
      </c>
      <c r="D174" s="29">
        <f t="shared" ref="D174:D193" si="31">+IF(B174=" ",0,G173*$C$7)</f>
        <v>0</v>
      </c>
      <c r="E174" s="29">
        <f t="shared" ref="E174:E193" si="32">+IF(B174=" ",0,$C$10)</f>
        <v>0</v>
      </c>
      <c r="F174" s="29">
        <f t="shared" si="29"/>
        <v>0</v>
      </c>
      <c r="G174" s="27">
        <f t="shared" ref="G174:G193" si="33">+G173-C174</f>
        <v>2.4260953068733215E-7</v>
      </c>
    </row>
    <row r="175" spans="2:7" s="20" customFormat="1" x14ac:dyDescent="0.3">
      <c r="B175" s="28" t="str">
        <f t="shared" ref="B175:B193" si="34">IF(B174&lt;$C$6,B174+1," ")</f>
        <v xml:space="preserve"> </v>
      </c>
      <c r="C175" s="29">
        <f t="shared" si="30"/>
        <v>0</v>
      </c>
      <c r="D175" s="29">
        <f t="shared" si="31"/>
        <v>0</v>
      </c>
      <c r="E175" s="29">
        <f t="shared" si="32"/>
        <v>0</v>
      </c>
      <c r="F175" s="29">
        <f t="shared" ref="F175:F193" si="35">+IF(B175=" ",0,$C$9)</f>
        <v>0</v>
      </c>
      <c r="G175" s="27">
        <f t="shared" si="33"/>
        <v>2.4260953068733215E-7</v>
      </c>
    </row>
    <row r="176" spans="2:7" s="20" customFormat="1" x14ac:dyDescent="0.3">
      <c r="B176" s="28" t="str">
        <f t="shared" si="34"/>
        <v xml:space="preserve"> </v>
      </c>
      <c r="C176" s="29">
        <f t="shared" si="30"/>
        <v>0</v>
      </c>
      <c r="D176" s="29">
        <f t="shared" si="31"/>
        <v>0</v>
      </c>
      <c r="E176" s="29">
        <f t="shared" si="32"/>
        <v>0</v>
      </c>
      <c r="F176" s="29">
        <f t="shared" si="35"/>
        <v>0</v>
      </c>
      <c r="G176" s="27">
        <f t="shared" si="33"/>
        <v>2.4260953068733215E-7</v>
      </c>
    </row>
    <row r="177" spans="2:7" s="20" customFormat="1" x14ac:dyDescent="0.3">
      <c r="B177" s="28" t="str">
        <f t="shared" si="34"/>
        <v xml:space="preserve"> </v>
      </c>
      <c r="C177" s="29">
        <f t="shared" si="30"/>
        <v>0</v>
      </c>
      <c r="D177" s="29">
        <f t="shared" si="31"/>
        <v>0</v>
      </c>
      <c r="E177" s="29">
        <f t="shared" si="32"/>
        <v>0</v>
      </c>
      <c r="F177" s="29">
        <f t="shared" si="35"/>
        <v>0</v>
      </c>
      <c r="G177" s="27">
        <f t="shared" si="33"/>
        <v>2.4260953068733215E-7</v>
      </c>
    </row>
    <row r="178" spans="2:7" s="20" customFormat="1" x14ac:dyDescent="0.3">
      <c r="B178" s="28" t="str">
        <f t="shared" si="34"/>
        <v xml:space="preserve"> </v>
      </c>
      <c r="C178" s="29">
        <f t="shared" si="30"/>
        <v>0</v>
      </c>
      <c r="D178" s="29">
        <f t="shared" si="31"/>
        <v>0</v>
      </c>
      <c r="E178" s="29">
        <f t="shared" si="32"/>
        <v>0</v>
      </c>
      <c r="F178" s="29">
        <f t="shared" si="35"/>
        <v>0</v>
      </c>
      <c r="G178" s="27">
        <f t="shared" si="33"/>
        <v>2.4260953068733215E-7</v>
      </c>
    </row>
    <row r="179" spans="2:7" s="20" customFormat="1" x14ac:dyDescent="0.3">
      <c r="B179" s="28" t="str">
        <f t="shared" si="34"/>
        <v xml:space="preserve"> </v>
      </c>
      <c r="C179" s="29">
        <f t="shared" si="30"/>
        <v>0</v>
      </c>
      <c r="D179" s="29">
        <f t="shared" si="31"/>
        <v>0</v>
      </c>
      <c r="E179" s="29">
        <f t="shared" si="32"/>
        <v>0</v>
      </c>
      <c r="F179" s="29">
        <f t="shared" si="35"/>
        <v>0</v>
      </c>
      <c r="G179" s="27">
        <f t="shared" si="33"/>
        <v>2.4260953068733215E-7</v>
      </c>
    </row>
    <row r="180" spans="2:7" s="20" customFormat="1" x14ac:dyDescent="0.3">
      <c r="B180" s="28" t="str">
        <f t="shared" si="34"/>
        <v xml:space="preserve"> </v>
      </c>
      <c r="C180" s="29">
        <f t="shared" si="30"/>
        <v>0</v>
      </c>
      <c r="D180" s="29">
        <f t="shared" si="31"/>
        <v>0</v>
      </c>
      <c r="E180" s="29">
        <f t="shared" si="32"/>
        <v>0</v>
      </c>
      <c r="F180" s="29">
        <f t="shared" si="35"/>
        <v>0</v>
      </c>
      <c r="G180" s="27">
        <f t="shared" si="33"/>
        <v>2.4260953068733215E-7</v>
      </c>
    </row>
    <row r="181" spans="2:7" s="20" customFormat="1" x14ac:dyDescent="0.3">
      <c r="B181" s="28" t="str">
        <f t="shared" si="34"/>
        <v xml:space="preserve"> </v>
      </c>
      <c r="C181" s="29">
        <f t="shared" si="30"/>
        <v>0</v>
      </c>
      <c r="D181" s="29">
        <f t="shared" si="31"/>
        <v>0</v>
      </c>
      <c r="E181" s="29">
        <f t="shared" si="32"/>
        <v>0</v>
      </c>
      <c r="F181" s="29">
        <f t="shared" si="35"/>
        <v>0</v>
      </c>
      <c r="G181" s="27">
        <f t="shared" si="33"/>
        <v>2.4260953068733215E-7</v>
      </c>
    </row>
    <row r="182" spans="2:7" s="20" customFormat="1" x14ac:dyDescent="0.3">
      <c r="B182" s="28" t="str">
        <f t="shared" si="34"/>
        <v xml:space="preserve"> </v>
      </c>
      <c r="C182" s="29">
        <f t="shared" si="30"/>
        <v>0</v>
      </c>
      <c r="D182" s="29">
        <f t="shared" si="31"/>
        <v>0</v>
      </c>
      <c r="E182" s="29">
        <f t="shared" si="32"/>
        <v>0</v>
      </c>
      <c r="F182" s="29">
        <f t="shared" si="35"/>
        <v>0</v>
      </c>
      <c r="G182" s="27">
        <f t="shared" si="33"/>
        <v>2.4260953068733215E-7</v>
      </c>
    </row>
    <row r="183" spans="2:7" s="20" customFormat="1" x14ac:dyDescent="0.3">
      <c r="B183" s="28" t="str">
        <f t="shared" si="34"/>
        <v xml:space="preserve"> </v>
      </c>
      <c r="C183" s="29">
        <f t="shared" si="30"/>
        <v>0</v>
      </c>
      <c r="D183" s="29">
        <f t="shared" si="31"/>
        <v>0</v>
      </c>
      <c r="E183" s="29">
        <f t="shared" si="32"/>
        <v>0</v>
      </c>
      <c r="F183" s="29">
        <f t="shared" si="35"/>
        <v>0</v>
      </c>
      <c r="G183" s="27">
        <f t="shared" si="33"/>
        <v>2.4260953068733215E-7</v>
      </c>
    </row>
    <row r="184" spans="2:7" s="20" customFormat="1" x14ac:dyDescent="0.3">
      <c r="B184" s="28" t="str">
        <f t="shared" si="34"/>
        <v xml:space="preserve"> </v>
      </c>
      <c r="C184" s="29">
        <f t="shared" si="30"/>
        <v>0</v>
      </c>
      <c r="D184" s="29">
        <f t="shared" si="31"/>
        <v>0</v>
      </c>
      <c r="E184" s="29">
        <f t="shared" si="32"/>
        <v>0</v>
      </c>
      <c r="F184" s="29">
        <f t="shared" si="35"/>
        <v>0</v>
      </c>
      <c r="G184" s="27">
        <f t="shared" si="33"/>
        <v>2.4260953068733215E-7</v>
      </c>
    </row>
    <row r="185" spans="2:7" s="20" customFormat="1" x14ac:dyDescent="0.3">
      <c r="B185" s="28" t="str">
        <f t="shared" si="34"/>
        <v xml:space="preserve"> </v>
      </c>
      <c r="C185" s="29">
        <f t="shared" si="30"/>
        <v>0</v>
      </c>
      <c r="D185" s="29">
        <f t="shared" si="31"/>
        <v>0</v>
      </c>
      <c r="E185" s="29">
        <f t="shared" si="32"/>
        <v>0</v>
      </c>
      <c r="F185" s="29">
        <f t="shared" si="35"/>
        <v>0</v>
      </c>
      <c r="G185" s="27">
        <f t="shared" si="33"/>
        <v>2.4260953068733215E-7</v>
      </c>
    </row>
    <row r="186" spans="2:7" s="20" customFormat="1" x14ac:dyDescent="0.3">
      <c r="B186" s="28" t="str">
        <f t="shared" si="34"/>
        <v xml:space="preserve"> </v>
      </c>
      <c r="C186" s="29">
        <f t="shared" si="30"/>
        <v>0</v>
      </c>
      <c r="D186" s="29">
        <f t="shared" si="31"/>
        <v>0</v>
      </c>
      <c r="E186" s="29">
        <f t="shared" si="32"/>
        <v>0</v>
      </c>
      <c r="F186" s="29">
        <f t="shared" si="35"/>
        <v>0</v>
      </c>
      <c r="G186" s="27">
        <f t="shared" si="33"/>
        <v>2.4260953068733215E-7</v>
      </c>
    </row>
    <row r="187" spans="2:7" s="20" customFormat="1" x14ac:dyDescent="0.3">
      <c r="B187" s="28" t="str">
        <f t="shared" si="34"/>
        <v xml:space="preserve"> </v>
      </c>
      <c r="C187" s="29">
        <f t="shared" si="30"/>
        <v>0</v>
      </c>
      <c r="D187" s="29">
        <f t="shared" si="31"/>
        <v>0</v>
      </c>
      <c r="E187" s="29">
        <f t="shared" si="32"/>
        <v>0</v>
      </c>
      <c r="F187" s="29">
        <f t="shared" si="35"/>
        <v>0</v>
      </c>
      <c r="G187" s="27">
        <f t="shared" si="33"/>
        <v>2.4260953068733215E-7</v>
      </c>
    </row>
    <row r="188" spans="2:7" s="20" customFormat="1" x14ac:dyDescent="0.3">
      <c r="B188" s="28" t="str">
        <f t="shared" si="34"/>
        <v xml:space="preserve"> </v>
      </c>
      <c r="C188" s="29">
        <f t="shared" si="30"/>
        <v>0</v>
      </c>
      <c r="D188" s="29">
        <f t="shared" si="31"/>
        <v>0</v>
      </c>
      <c r="E188" s="29">
        <f t="shared" si="32"/>
        <v>0</v>
      </c>
      <c r="F188" s="29">
        <f t="shared" si="35"/>
        <v>0</v>
      </c>
      <c r="G188" s="27">
        <f t="shared" si="33"/>
        <v>2.4260953068733215E-7</v>
      </c>
    </row>
    <row r="189" spans="2:7" s="20" customFormat="1" x14ac:dyDescent="0.3">
      <c r="B189" s="28" t="str">
        <f t="shared" si="34"/>
        <v xml:space="preserve"> </v>
      </c>
      <c r="C189" s="29">
        <f t="shared" si="30"/>
        <v>0</v>
      </c>
      <c r="D189" s="29">
        <f t="shared" si="31"/>
        <v>0</v>
      </c>
      <c r="E189" s="29">
        <f t="shared" si="32"/>
        <v>0</v>
      </c>
      <c r="F189" s="29">
        <f t="shared" si="35"/>
        <v>0</v>
      </c>
      <c r="G189" s="27">
        <f t="shared" si="33"/>
        <v>2.4260953068733215E-7</v>
      </c>
    </row>
    <row r="190" spans="2:7" s="20" customFormat="1" x14ac:dyDescent="0.3">
      <c r="B190" s="28" t="str">
        <f t="shared" si="34"/>
        <v xml:space="preserve"> </v>
      </c>
      <c r="C190" s="29">
        <f t="shared" si="30"/>
        <v>0</v>
      </c>
      <c r="D190" s="29">
        <f t="shared" si="31"/>
        <v>0</v>
      </c>
      <c r="E190" s="29">
        <f t="shared" si="32"/>
        <v>0</v>
      </c>
      <c r="F190" s="29">
        <f t="shared" si="35"/>
        <v>0</v>
      </c>
      <c r="G190" s="27">
        <f t="shared" si="33"/>
        <v>2.4260953068733215E-7</v>
      </c>
    </row>
    <row r="191" spans="2:7" s="20" customFormat="1" x14ac:dyDescent="0.3">
      <c r="B191" s="28" t="str">
        <f t="shared" si="34"/>
        <v xml:space="preserve"> </v>
      </c>
      <c r="C191" s="29">
        <f t="shared" si="30"/>
        <v>0</v>
      </c>
      <c r="D191" s="29">
        <f t="shared" si="31"/>
        <v>0</v>
      </c>
      <c r="E191" s="29">
        <f t="shared" si="32"/>
        <v>0</v>
      </c>
      <c r="F191" s="29">
        <f t="shared" si="35"/>
        <v>0</v>
      </c>
      <c r="G191" s="27">
        <f t="shared" si="33"/>
        <v>2.4260953068733215E-7</v>
      </c>
    </row>
    <row r="192" spans="2:7" s="20" customFormat="1" x14ac:dyDescent="0.3">
      <c r="B192" s="28" t="str">
        <f t="shared" si="34"/>
        <v xml:space="preserve"> </v>
      </c>
      <c r="C192" s="29">
        <f t="shared" si="30"/>
        <v>0</v>
      </c>
      <c r="D192" s="29">
        <f t="shared" si="31"/>
        <v>0</v>
      </c>
      <c r="E192" s="29">
        <f t="shared" si="32"/>
        <v>0</v>
      </c>
      <c r="F192" s="29">
        <f t="shared" si="35"/>
        <v>0</v>
      </c>
      <c r="G192" s="27">
        <f t="shared" si="33"/>
        <v>2.4260953068733215E-7</v>
      </c>
    </row>
    <row r="193" spans="2:7" s="20" customFormat="1" ht="16.2" thickBot="1" x14ac:dyDescent="0.35">
      <c r="B193" s="30" t="str">
        <f t="shared" si="34"/>
        <v xml:space="preserve"> </v>
      </c>
      <c r="C193" s="31">
        <f t="shared" si="30"/>
        <v>0</v>
      </c>
      <c r="D193" s="31">
        <f t="shared" si="31"/>
        <v>0</v>
      </c>
      <c r="E193" s="31">
        <f t="shared" si="32"/>
        <v>0</v>
      </c>
      <c r="F193" s="31">
        <f t="shared" si="35"/>
        <v>0</v>
      </c>
      <c r="G193" s="32">
        <f t="shared" si="33"/>
        <v>2.4260953068733215E-7</v>
      </c>
    </row>
    <row r="195" spans="2:7" s="14" customFormat="1" x14ac:dyDescent="0.3">
      <c r="B195" s="13"/>
      <c r="C195" s="13"/>
      <c r="D195" s="13"/>
      <c r="E195" s="13"/>
      <c r="F195" s="13"/>
    </row>
    <row r="196" spans="2:7" s="14" customFormat="1" x14ac:dyDescent="0.3">
      <c r="B196" s="13"/>
      <c r="C196" s="13"/>
      <c r="D196" s="13"/>
      <c r="E196" s="13"/>
      <c r="F196" s="13"/>
    </row>
  </sheetData>
  <sheetProtection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35"/>
  <sheetViews>
    <sheetView showGridLines="0" showRowColHeaders="0" zoomScale="157" workbookViewId="0">
      <selection activeCell="D20" sqref="D20"/>
    </sheetView>
  </sheetViews>
  <sheetFormatPr baseColWidth="10" defaultColWidth="0" defaultRowHeight="15.6" x14ac:dyDescent="0.3"/>
  <cols>
    <col min="1" max="1" width="8" customWidth="1"/>
    <col min="2" max="2" width="13.796875" customWidth="1"/>
    <col min="3" max="3" width="17.796875" bestFit="1" customWidth="1"/>
    <col min="4" max="4" width="17.796875" customWidth="1"/>
    <col min="5" max="5" width="13.69921875" customWidth="1"/>
    <col min="6" max="8" width="11.796875" bestFit="1" customWidth="1"/>
    <col min="9" max="9" width="10.796875" customWidth="1"/>
    <col min="10" max="16" width="0" hidden="1" customWidth="1"/>
    <col min="17" max="16384" width="10.796875" hidden="1"/>
  </cols>
  <sheetData>
    <row r="3" spans="2:16" x14ac:dyDescent="0.3">
      <c r="B3" s="1" t="s">
        <v>48</v>
      </c>
      <c r="C3" s="139">
        <v>6</v>
      </c>
    </row>
    <row r="4" spans="2:16" x14ac:dyDescent="0.3">
      <c r="B4" s="1" t="s">
        <v>31</v>
      </c>
      <c r="C4" s="140">
        <v>7.9308261160528692E-2</v>
      </c>
    </row>
    <row r="6" spans="2:16" ht="16.2" thickBot="1" x14ac:dyDescent="0.35"/>
    <row r="7" spans="2:16" s="133" customFormat="1" x14ac:dyDescent="0.3">
      <c r="B7" s="130" t="s">
        <v>890</v>
      </c>
      <c r="C7" s="131">
        <v>1</v>
      </c>
      <c r="D7" s="131">
        <f t="shared" ref="D7:P7" si="0">IF(C7&lt;$C$3,C7+1," ")</f>
        <v>2</v>
      </c>
      <c r="E7" s="131">
        <f t="shared" si="0"/>
        <v>3</v>
      </c>
      <c r="F7" s="131">
        <f t="shared" si="0"/>
        <v>4</v>
      </c>
      <c r="G7" s="131">
        <f t="shared" si="0"/>
        <v>5</v>
      </c>
      <c r="H7" s="132">
        <f t="shared" si="0"/>
        <v>6</v>
      </c>
      <c r="I7" s="133" t="str">
        <f t="shared" si="0"/>
        <v xml:space="preserve"> </v>
      </c>
      <c r="J7" s="133" t="str">
        <f t="shared" si="0"/>
        <v xml:space="preserve"> </v>
      </c>
      <c r="K7" s="133" t="str">
        <f t="shared" si="0"/>
        <v xml:space="preserve"> </v>
      </c>
      <c r="L7" s="133" t="str">
        <f t="shared" si="0"/>
        <v xml:space="preserve"> </v>
      </c>
      <c r="M7" s="133" t="str">
        <f t="shared" si="0"/>
        <v xml:space="preserve"> </v>
      </c>
      <c r="N7" s="133" t="str">
        <f t="shared" si="0"/>
        <v xml:space="preserve"> </v>
      </c>
      <c r="O7" s="133" t="str">
        <f t="shared" si="0"/>
        <v xml:space="preserve"> </v>
      </c>
      <c r="P7" s="133" t="str">
        <f t="shared" si="0"/>
        <v xml:space="preserve"> </v>
      </c>
    </row>
    <row r="8" spans="2:16" s="133" customFormat="1" x14ac:dyDescent="0.3">
      <c r="B8" s="134" t="s">
        <v>51</v>
      </c>
      <c r="C8" s="135"/>
      <c r="D8" s="135"/>
      <c r="E8" s="135"/>
      <c r="F8" s="135"/>
      <c r="G8" s="135"/>
      <c r="H8" s="136"/>
    </row>
    <row r="9" spans="2:16" s="133" customFormat="1" x14ac:dyDescent="0.3">
      <c r="B9" s="134"/>
      <c r="C9" s="135"/>
      <c r="D9" s="135"/>
      <c r="E9" s="135"/>
      <c r="F9" s="135"/>
      <c r="G9" s="135"/>
      <c r="H9" s="136"/>
    </row>
    <row r="10" spans="2:16" s="133" customFormat="1" x14ac:dyDescent="0.3">
      <c r="B10" s="134" t="s">
        <v>52</v>
      </c>
      <c r="C10" s="135"/>
      <c r="D10" s="135"/>
      <c r="E10" s="135"/>
      <c r="F10" s="135"/>
      <c r="G10" s="135"/>
      <c r="H10" s="136"/>
    </row>
    <row r="11" spans="2:16" s="133" customFormat="1" x14ac:dyDescent="0.3">
      <c r="B11" s="134"/>
      <c r="C11" s="135"/>
      <c r="D11" s="135"/>
      <c r="E11" s="135"/>
      <c r="F11" s="135"/>
      <c r="G11" s="135"/>
      <c r="H11" s="136"/>
    </row>
    <row r="12" spans="2:16" s="133" customFormat="1" x14ac:dyDescent="0.3">
      <c r="B12" s="134" t="s">
        <v>57</v>
      </c>
      <c r="C12" s="135">
        <f>C8-C10</f>
        <v>0</v>
      </c>
      <c r="D12" s="135">
        <f>D8-D10</f>
        <v>0</v>
      </c>
      <c r="E12" s="135">
        <f t="shared" ref="E12:G12" si="1">E8-E10</f>
        <v>0</v>
      </c>
      <c r="F12" s="135">
        <f t="shared" si="1"/>
        <v>0</v>
      </c>
      <c r="G12" s="135">
        <f t="shared" si="1"/>
        <v>0</v>
      </c>
      <c r="H12" s="136">
        <f>H8-H10</f>
        <v>0</v>
      </c>
    </row>
    <row r="13" spans="2:16" s="133" customFormat="1" x14ac:dyDescent="0.3">
      <c r="B13" s="134"/>
      <c r="C13" s="135"/>
      <c r="D13" s="135"/>
      <c r="E13" s="135"/>
      <c r="F13" s="135"/>
      <c r="G13" s="135"/>
      <c r="H13" s="136"/>
    </row>
    <row r="14" spans="2:16" s="133" customFormat="1" x14ac:dyDescent="0.3">
      <c r="B14" s="134" t="s">
        <v>53</v>
      </c>
      <c r="C14" s="135"/>
      <c r="D14" s="135"/>
      <c r="E14" s="135"/>
      <c r="F14" s="135"/>
      <c r="G14" s="135"/>
      <c r="H14" s="136"/>
    </row>
    <row r="15" spans="2:16" s="133" customFormat="1" x14ac:dyDescent="0.3">
      <c r="B15" s="134"/>
      <c r="C15" s="135"/>
      <c r="D15" s="135"/>
      <c r="E15" s="135"/>
      <c r="F15" s="135"/>
      <c r="G15" s="135"/>
      <c r="H15" s="136"/>
    </row>
    <row r="16" spans="2:16" s="133" customFormat="1" x14ac:dyDescent="0.3">
      <c r="B16" s="134"/>
      <c r="C16" s="135"/>
      <c r="D16" s="135"/>
      <c r="E16" s="135"/>
      <c r="F16" s="135"/>
      <c r="G16" s="135"/>
      <c r="H16" s="136"/>
    </row>
    <row r="17" spans="2:8" s="133" customFormat="1" ht="16.2" thickBot="1" x14ac:dyDescent="0.35">
      <c r="B17" s="137" t="s">
        <v>54</v>
      </c>
      <c r="C17" s="138">
        <v>-20000000</v>
      </c>
      <c r="D17" s="138">
        <v>5000000</v>
      </c>
      <c r="E17" s="138">
        <v>5000000</v>
      </c>
      <c r="F17" s="138">
        <v>5000000</v>
      </c>
      <c r="G17" s="138">
        <v>5000000</v>
      </c>
      <c r="H17" s="138">
        <v>5000000</v>
      </c>
    </row>
    <row r="18" spans="2:8" s="133" customFormat="1" x14ac:dyDescent="0.3"/>
    <row r="20" spans="2:8" x14ac:dyDescent="0.3">
      <c r="C20" s="1" t="s">
        <v>49</v>
      </c>
      <c r="D20" s="141">
        <f>NPV(C4,D17:H17)+C17</f>
        <v>0</v>
      </c>
    </row>
    <row r="21" spans="2:8" x14ac:dyDescent="0.3">
      <c r="C21" s="1" t="s">
        <v>50</v>
      </c>
      <c r="D21" s="162">
        <f>IRR(C17:H17)</f>
        <v>7.9308261160528692E-2</v>
      </c>
    </row>
    <row r="22" spans="2:8" ht="16.2" thickBot="1" x14ac:dyDescent="0.35"/>
    <row r="23" spans="2:8" x14ac:dyDescent="0.3">
      <c r="C23" s="170" t="s">
        <v>916</v>
      </c>
      <c r="D23" s="171"/>
    </row>
    <row r="24" spans="2:8" x14ac:dyDescent="0.3">
      <c r="C24" s="93" t="s">
        <v>56</v>
      </c>
      <c r="D24" s="106" t="s">
        <v>55</v>
      </c>
    </row>
    <row r="25" spans="2:8" x14ac:dyDescent="0.3">
      <c r="C25" s="102">
        <f>C26-1%</f>
        <v>2.930826116052869E-2</v>
      </c>
      <c r="D25" s="103">
        <f>NPV($C25,$D$17:$H$17)+$C$17</f>
        <v>2943832.7620945126</v>
      </c>
    </row>
    <row r="26" spans="2:8" x14ac:dyDescent="0.3">
      <c r="C26" s="102">
        <f>C27-1%</f>
        <v>3.9308261160528692E-2</v>
      </c>
      <c r="D26" s="103">
        <f>NPV($C26,$D$17:$H$17)+$C$17</f>
        <v>2302433.2524020411</v>
      </c>
    </row>
    <row r="27" spans="2:8" x14ac:dyDescent="0.3">
      <c r="C27" s="102">
        <f>C28-1%</f>
        <v>4.9308261160528694E-2</v>
      </c>
      <c r="D27" s="103">
        <f t="shared" ref="D27:D35" si="2">NPV($C27,$D$17:$H$17)+$C$17</f>
        <v>1688839.6427305192</v>
      </c>
    </row>
    <row r="28" spans="2:8" x14ac:dyDescent="0.3">
      <c r="C28" s="102">
        <f>C29-1%</f>
        <v>5.9308261160528696E-2</v>
      </c>
      <c r="D28" s="103">
        <f t="shared" si="2"/>
        <v>1101512.5510292947</v>
      </c>
    </row>
    <row r="29" spans="2:8" x14ac:dyDescent="0.3">
      <c r="C29" s="102">
        <f>C30-1%</f>
        <v>6.9308261160528697E-2</v>
      </c>
      <c r="D29" s="103">
        <f t="shared" si="2"/>
        <v>539014.05143450201</v>
      </c>
    </row>
    <row r="30" spans="2:8" x14ac:dyDescent="0.3">
      <c r="C30" s="102">
        <f>D21</f>
        <v>7.9308261160528692E-2</v>
      </c>
      <c r="D30" s="103">
        <f t="shared" si="2"/>
        <v>0</v>
      </c>
    </row>
    <row r="31" spans="2:8" x14ac:dyDescent="0.3">
      <c r="C31" s="102">
        <f>C30+1%</f>
        <v>8.9308261160528687E-2</v>
      </c>
      <c r="D31" s="103">
        <f t="shared" si="2"/>
        <v>-516786.9884239994</v>
      </c>
    </row>
    <row r="32" spans="2:8" x14ac:dyDescent="0.3">
      <c r="C32" s="102">
        <f>C31+1%</f>
        <v>9.9308261160528682E-2</v>
      </c>
      <c r="D32" s="103">
        <f t="shared" si="2"/>
        <v>-1012523.9731591232</v>
      </c>
    </row>
    <row r="33" spans="3:4" x14ac:dyDescent="0.3">
      <c r="C33" s="102">
        <f>C32+1%</f>
        <v>0.10930826116052868</v>
      </c>
      <c r="D33" s="103">
        <f t="shared" si="2"/>
        <v>-1488313.5852752216</v>
      </c>
    </row>
    <row r="34" spans="3:4" x14ac:dyDescent="0.3">
      <c r="C34" s="102">
        <f>C33+1%</f>
        <v>0.11930826116052867</v>
      </c>
      <c r="D34" s="103">
        <f t="shared" si="2"/>
        <v>-1945189.4389911518</v>
      </c>
    </row>
    <row r="35" spans="3:4" ht="16.2" thickBot="1" x14ac:dyDescent="0.35">
      <c r="C35" s="104">
        <f>C34+1%</f>
        <v>0.12930826116052868</v>
      </c>
      <c r="D35" s="105">
        <f t="shared" si="2"/>
        <v>-2384121.1011785753</v>
      </c>
    </row>
  </sheetData>
  <sheetProtection algorithmName="SHA-512" hashValue="klD9I3MnNX2L/cZ24o+uZn+SzFk7nrX1WVXLV7TWqP4OPXVEdAgbFKS1bkEDsdv5Srgsk7OLoYbSASx2J3OA0w==" saltValue="bd5LE6Hn6b/XWMnlrsYN/Q==" spinCount="100000" sheet="1" formatCells="0" formatColumns="0" formatRows="0" insertColumns="0" insertRows="0" insertHyperlinks="0" deleteColumns="0" deleteRows="0" sort="0" autoFilter="0" pivotTables="0"/>
  <mergeCells count="1">
    <mergeCell ref="C23:D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26"/>
  <sheetViews>
    <sheetView showGridLines="0" topLeftCell="A74" zoomScale="211" workbookViewId="0">
      <selection activeCell="D89" sqref="D89"/>
    </sheetView>
  </sheetViews>
  <sheetFormatPr baseColWidth="10" defaultColWidth="10.796875" defaultRowHeight="14.4" outlineLevelRow="1" x14ac:dyDescent="0.3"/>
  <cols>
    <col min="1" max="1" width="10.796875" style="46"/>
    <col min="2" max="2" width="19.796875" style="46" customWidth="1"/>
    <col min="3" max="3" width="16.296875" style="46" customWidth="1"/>
    <col min="4" max="4" width="13.796875" style="46" customWidth="1"/>
    <col min="5" max="5" width="15.296875" style="46" bestFit="1" customWidth="1"/>
    <col min="6" max="6" width="16.796875" style="46" customWidth="1"/>
    <col min="7" max="16384" width="10.796875" style="46"/>
  </cols>
  <sheetData>
    <row r="4" spans="2:6" x14ac:dyDescent="0.3">
      <c r="B4" s="61" t="s">
        <v>879</v>
      </c>
    </row>
    <row r="5" spans="2:6" outlineLevel="1" x14ac:dyDescent="0.3"/>
    <row r="6" spans="2:6" outlineLevel="1" x14ac:dyDescent="0.3">
      <c r="B6" s="46" t="s">
        <v>893</v>
      </c>
    </row>
    <row r="7" spans="2:6" outlineLevel="1" x14ac:dyDescent="0.3"/>
    <row r="8" spans="2:6" outlineLevel="1" x14ac:dyDescent="0.3">
      <c r="B8" s="47" t="s">
        <v>59</v>
      </c>
      <c r="C8" s="47" t="s">
        <v>60</v>
      </c>
      <c r="D8" s="47" t="s">
        <v>56</v>
      </c>
      <c r="E8" s="48" t="s">
        <v>871</v>
      </c>
      <c r="F8" s="48" t="s">
        <v>65</v>
      </c>
    </row>
    <row r="9" spans="2:6" outlineLevel="1" x14ac:dyDescent="0.3">
      <c r="B9" s="148"/>
      <c r="C9" s="158"/>
      <c r="D9" s="159"/>
      <c r="E9" s="50" t="e">
        <f t="shared" ref="E9:E14" si="0">C9/$C$14</f>
        <v>#DIV/0!</v>
      </c>
      <c r="F9" s="51" t="e">
        <f>D9*E9</f>
        <v>#DIV/0!</v>
      </c>
    </row>
    <row r="10" spans="2:6" outlineLevel="1" x14ac:dyDescent="0.3">
      <c r="B10" s="148"/>
      <c r="C10" s="158"/>
      <c r="D10" s="159"/>
      <c r="E10" s="50" t="e">
        <f t="shared" si="0"/>
        <v>#DIV/0!</v>
      </c>
      <c r="F10" s="51" t="e">
        <f>D10*E10</f>
        <v>#DIV/0!</v>
      </c>
    </row>
    <row r="11" spans="2:6" outlineLevel="1" x14ac:dyDescent="0.3">
      <c r="B11" s="148"/>
      <c r="C11" s="158"/>
      <c r="D11" s="159"/>
      <c r="E11" s="50" t="e">
        <f t="shared" si="0"/>
        <v>#DIV/0!</v>
      </c>
      <c r="F11" s="51" t="e">
        <f>D11*E11</f>
        <v>#DIV/0!</v>
      </c>
    </row>
    <row r="12" spans="2:6" outlineLevel="1" x14ac:dyDescent="0.3">
      <c r="B12" s="148"/>
      <c r="C12" s="158"/>
      <c r="D12" s="159"/>
      <c r="E12" s="50" t="e">
        <f t="shared" si="0"/>
        <v>#DIV/0!</v>
      </c>
      <c r="F12" s="51" t="e">
        <f t="shared" ref="F12:F13" si="1">D12*E12</f>
        <v>#DIV/0!</v>
      </c>
    </row>
    <row r="13" spans="2:6" outlineLevel="1" x14ac:dyDescent="0.3">
      <c r="B13" s="148"/>
      <c r="C13" s="158"/>
      <c r="D13" s="159"/>
      <c r="E13" s="50" t="e">
        <f t="shared" si="0"/>
        <v>#DIV/0!</v>
      </c>
      <c r="F13" s="51" t="e">
        <f t="shared" si="1"/>
        <v>#DIV/0!</v>
      </c>
    </row>
    <row r="14" spans="2:6" outlineLevel="1" x14ac:dyDescent="0.3">
      <c r="B14" s="49" t="s">
        <v>61</v>
      </c>
      <c r="C14" s="52">
        <f>SUM(C9:C13)</f>
        <v>0</v>
      </c>
      <c r="D14" s="50">
        <f>SUM(D9:D13)</f>
        <v>0</v>
      </c>
      <c r="E14" s="50" t="e">
        <f t="shared" si="0"/>
        <v>#DIV/0!</v>
      </c>
      <c r="F14" s="51" t="e">
        <f>SUM(F9:F11)</f>
        <v>#DIV/0!</v>
      </c>
    </row>
    <row r="15" spans="2:6" ht="9" customHeight="1" outlineLevel="1" x14ac:dyDescent="0.3"/>
    <row r="16" spans="2:6" outlineLevel="1" x14ac:dyDescent="0.3">
      <c r="B16" s="57" t="s">
        <v>62</v>
      </c>
      <c r="C16" s="151" t="e">
        <f>F14</f>
        <v>#DIV/0!</v>
      </c>
    </row>
    <row r="17" spans="2:4" outlineLevel="1" x14ac:dyDescent="0.3"/>
    <row r="18" spans="2:4" outlineLevel="1" x14ac:dyDescent="0.3">
      <c r="B18" s="46" t="s">
        <v>919</v>
      </c>
    </row>
    <row r="19" spans="2:4" ht="9" customHeight="1" outlineLevel="1" x14ac:dyDescent="0.3"/>
    <row r="20" spans="2:4" outlineLevel="1" x14ac:dyDescent="0.3">
      <c r="B20" s="57" t="s">
        <v>885</v>
      </c>
      <c r="C20" s="144">
        <v>0.32</v>
      </c>
    </row>
    <row r="21" spans="2:4" ht="7.95" customHeight="1" outlineLevel="1" x14ac:dyDescent="0.3"/>
    <row r="22" spans="2:4" outlineLevel="1" x14ac:dyDescent="0.3">
      <c r="B22" s="46" t="s">
        <v>895</v>
      </c>
    </row>
    <row r="23" spans="2:4" ht="6" customHeight="1" outlineLevel="1" x14ac:dyDescent="0.3"/>
    <row r="24" spans="2:4" outlineLevel="1" x14ac:dyDescent="0.3">
      <c r="B24" s="57" t="s">
        <v>888</v>
      </c>
      <c r="C24" s="145">
        <v>400000000</v>
      </c>
    </row>
    <row r="25" spans="2:4" outlineLevel="1" x14ac:dyDescent="0.3">
      <c r="B25" s="57" t="s">
        <v>884</v>
      </c>
      <c r="C25" s="145">
        <v>20000000</v>
      </c>
    </row>
    <row r="26" spans="2:4" ht="6" customHeight="1" outlineLevel="1" x14ac:dyDescent="0.3"/>
    <row r="27" spans="2:4" outlineLevel="1" x14ac:dyDescent="0.3">
      <c r="B27" s="57" t="s">
        <v>63</v>
      </c>
      <c r="C27" s="152">
        <f>C25/C24</f>
        <v>0.05</v>
      </c>
    </row>
    <row r="28" spans="2:4" ht="10.050000000000001" customHeight="1" outlineLevel="1" x14ac:dyDescent="0.3">
      <c r="C28" s="53"/>
    </row>
    <row r="29" spans="2:4" outlineLevel="1" x14ac:dyDescent="0.3">
      <c r="B29" s="46" t="s">
        <v>886</v>
      </c>
      <c r="C29" s="53"/>
    </row>
    <row r="30" spans="2:4" ht="6" customHeight="1" outlineLevel="1" x14ac:dyDescent="0.3">
      <c r="C30" s="53"/>
    </row>
    <row r="31" spans="2:4" outlineLevel="1" x14ac:dyDescent="0.3">
      <c r="B31" s="55" t="s">
        <v>890</v>
      </c>
      <c r="C31" s="56" t="s">
        <v>891</v>
      </c>
      <c r="D31" s="55" t="s">
        <v>892</v>
      </c>
    </row>
    <row r="32" spans="2:4" outlineLevel="1" x14ac:dyDescent="0.3">
      <c r="B32" s="49" t="s">
        <v>888</v>
      </c>
      <c r="C32" s="158">
        <v>1</v>
      </c>
      <c r="D32" s="51">
        <f>C32/$C$34</f>
        <v>0.33333333333333331</v>
      </c>
    </row>
    <row r="33" spans="2:6" outlineLevel="1" x14ac:dyDescent="0.3">
      <c r="B33" s="49" t="s">
        <v>889</v>
      </c>
      <c r="C33" s="158">
        <v>2</v>
      </c>
      <c r="D33" s="51">
        <f>C33/$C$34</f>
        <v>0.66666666666666663</v>
      </c>
    </row>
    <row r="34" spans="2:6" outlineLevel="1" x14ac:dyDescent="0.3">
      <c r="B34" s="49" t="s">
        <v>887</v>
      </c>
      <c r="C34" s="52">
        <f>SUM(C32:C33)</f>
        <v>3</v>
      </c>
      <c r="D34" s="51">
        <f>C34/$C$34</f>
        <v>1</v>
      </c>
    </row>
    <row r="35" spans="2:6" ht="10.050000000000001" customHeight="1" x14ac:dyDescent="0.3"/>
    <row r="36" spans="2:6" x14ac:dyDescent="0.3">
      <c r="B36" s="57" t="s">
        <v>64</v>
      </c>
      <c r="C36" s="157" t="e">
        <f>(D33*(C16*(1-C20)))+(D32*C27)</f>
        <v>#DIV/0!</v>
      </c>
    </row>
    <row r="38" spans="2:6" x14ac:dyDescent="0.3">
      <c r="B38" s="61" t="s">
        <v>880</v>
      </c>
    </row>
    <row r="39" spans="2:6" ht="9" customHeight="1" outlineLevel="1" x14ac:dyDescent="0.3"/>
    <row r="40" spans="2:6" outlineLevel="1" x14ac:dyDescent="0.3">
      <c r="B40" s="46" t="s">
        <v>893</v>
      </c>
    </row>
    <row r="41" spans="2:6" ht="9" customHeight="1" outlineLevel="1" x14ac:dyDescent="0.3"/>
    <row r="42" spans="2:6" outlineLevel="1" x14ac:dyDescent="0.3">
      <c r="B42" s="47" t="s">
        <v>59</v>
      </c>
      <c r="C42" s="47" t="s">
        <v>60</v>
      </c>
      <c r="D42" s="47" t="s">
        <v>56</v>
      </c>
      <c r="E42" s="48" t="s">
        <v>871</v>
      </c>
      <c r="F42" s="48" t="s">
        <v>65</v>
      </c>
    </row>
    <row r="43" spans="2:6" outlineLevel="1" x14ac:dyDescent="0.3">
      <c r="B43" s="148"/>
      <c r="C43" s="158"/>
      <c r="D43" s="159"/>
      <c r="E43" s="50" t="e">
        <f>C43/$C$48</f>
        <v>#DIV/0!</v>
      </c>
      <c r="F43" s="51" t="e">
        <f>D43*E43</f>
        <v>#DIV/0!</v>
      </c>
    </row>
    <row r="44" spans="2:6" outlineLevel="1" x14ac:dyDescent="0.3">
      <c r="B44" s="148"/>
      <c r="C44" s="158"/>
      <c r="D44" s="159"/>
      <c r="E44" s="50" t="e">
        <f t="shared" ref="E44:E45" si="2">C44/$C$48</f>
        <v>#DIV/0!</v>
      </c>
      <c r="F44" s="51" t="e">
        <f t="shared" ref="F44:F45" si="3">D44*E44</f>
        <v>#DIV/0!</v>
      </c>
    </row>
    <row r="45" spans="2:6" outlineLevel="1" x14ac:dyDescent="0.3">
      <c r="B45" s="148"/>
      <c r="C45" s="158"/>
      <c r="D45" s="159"/>
      <c r="E45" s="50" t="e">
        <f t="shared" si="2"/>
        <v>#DIV/0!</v>
      </c>
      <c r="F45" s="51" t="e">
        <f t="shared" si="3"/>
        <v>#DIV/0!</v>
      </c>
    </row>
    <row r="46" spans="2:6" outlineLevel="1" x14ac:dyDescent="0.3">
      <c r="B46" s="148"/>
      <c r="C46" s="158"/>
      <c r="D46" s="159"/>
      <c r="E46" s="50" t="e">
        <f>C46/$C$48</f>
        <v>#DIV/0!</v>
      </c>
      <c r="F46" s="51" t="e">
        <f>D46*E46</f>
        <v>#DIV/0!</v>
      </c>
    </row>
    <row r="47" spans="2:6" outlineLevel="1" x14ac:dyDescent="0.3">
      <c r="B47" s="148"/>
      <c r="C47" s="158"/>
      <c r="D47" s="159"/>
      <c r="E47" s="50" t="e">
        <f>C47/$C$48</f>
        <v>#DIV/0!</v>
      </c>
      <c r="F47" s="51" t="e">
        <f>D47*E47</f>
        <v>#DIV/0!</v>
      </c>
    </row>
    <row r="48" spans="2:6" outlineLevel="1" x14ac:dyDescent="0.3">
      <c r="B48" s="49" t="s">
        <v>61</v>
      </c>
      <c r="C48" s="52">
        <f>SUM(C43:C47)</f>
        <v>0</v>
      </c>
      <c r="D48" s="50">
        <f>SUM(D43:D47)</f>
        <v>0</v>
      </c>
      <c r="E48" s="50" t="e">
        <f>C48/$C$48</f>
        <v>#DIV/0!</v>
      </c>
      <c r="F48" s="51" t="e">
        <f>D48*E48</f>
        <v>#DIV/0!</v>
      </c>
    </row>
    <row r="49" spans="2:6" ht="7.95" customHeight="1" outlineLevel="1" x14ac:dyDescent="0.3"/>
    <row r="50" spans="2:6" outlineLevel="1" x14ac:dyDescent="0.3">
      <c r="B50" s="57" t="s">
        <v>62</v>
      </c>
      <c r="C50" s="151" t="e">
        <f>F48</f>
        <v>#DIV/0!</v>
      </c>
    </row>
    <row r="51" spans="2:6" ht="7.05" customHeight="1" outlineLevel="1" x14ac:dyDescent="0.3"/>
    <row r="52" spans="2:6" outlineLevel="1" x14ac:dyDescent="0.3">
      <c r="B52" s="46" t="s">
        <v>894</v>
      </c>
    </row>
    <row r="53" spans="2:6" ht="10.050000000000001" customHeight="1" outlineLevel="1" x14ac:dyDescent="0.3"/>
    <row r="54" spans="2:6" outlineLevel="1" x14ac:dyDescent="0.3">
      <c r="B54" s="57" t="s">
        <v>885</v>
      </c>
      <c r="C54" s="144">
        <v>0.33</v>
      </c>
    </row>
    <row r="55" spans="2:6" ht="7.05" customHeight="1" outlineLevel="1" x14ac:dyDescent="0.3"/>
    <row r="56" spans="2:6" outlineLevel="1" x14ac:dyDescent="0.3">
      <c r="B56" s="46" t="s">
        <v>901</v>
      </c>
    </row>
    <row r="57" spans="2:6" ht="9" customHeight="1" outlineLevel="1" x14ac:dyDescent="0.3"/>
    <row r="58" spans="2:6" outlineLevel="1" x14ac:dyDescent="0.3">
      <c r="B58" s="173" t="s">
        <v>920</v>
      </c>
      <c r="C58" s="173"/>
      <c r="D58" s="173"/>
      <c r="E58" s="173"/>
      <c r="F58" s="173"/>
    </row>
    <row r="59" spans="2:6" outlineLevel="1" x14ac:dyDescent="0.3">
      <c r="B59" s="66" t="s">
        <v>881</v>
      </c>
      <c r="C59" s="146">
        <v>5.5399999999999998E-2</v>
      </c>
      <c r="D59" s="172" t="s">
        <v>896</v>
      </c>
      <c r="E59" s="172"/>
      <c r="F59" s="172"/>
    </row>
    <row r="60" spans="2:6" ht="7.05" customHeight="1" outlineLevel="1" x14ac:dyDescent="0.3">
      <c r="B60" s="59"/>
      <c r="C60" s="63"/>
      <c r="D60" s="59"/>
      <c r="E60" s="59"/>
      <c r="F60" s="59"/>
    </row>
    <row r="61" spans="2:6" outlineLevel="1" x14ac:dyDescent="0.3">
      <c r="B61" s="173" t="s">
        <v>899</v>
      </c>
      <c r="C61" s="173"/>
      <c r="D61" s="173"/>
      <c r="E61" s="173"/>
      <c r="F61" s="173"/>
    </row>
    <row r="62" spans="2:6" outlineLevel="1" x14ac:dyDescent="0.3">
      <c r="B62" s="66" t="s">
        <v>882</v>
      </c>
      <c r="C62" s="146">
        <v>3.5099999999999999E-2</v>
      </c>
      <c r="D62" s="172" t="s">
        <v>897</v>
      </c>
      <c r="E62" s="172"/>
      <c r="F62" s="172"/>
    </row>
    <row r="63" spans="2:6" ht="7.05" customHeight="1" outlineLevel="1" x14ac:dyDescent="0.3"/>
    <row r="64" spans="2:6" outlineLevel="1" x14ac:dyDescent="0.3">
      <c r="B64" s="173" t="s">
        <v>898</v>
      </c>
      <c r="C64" s="173"/>
      <c r="D64" s="173"/>
      <c r="E64" s="173"/>
      <c r="F64" s="173"/>
    </row>
    <row r="65" spans="2:6" outlineLevel="1" x14ac:dyDescent="0.3">
      <c r="B65" s="64" t="s">
        <v>883</v>
      </c>
      <c r="C65" s="146">
        <v>5.8500000000000003E-2</v>
      </c>
      <c r="D65" s="65" t="s">
        <v>900</v>
      </c>
      <c r="E65" s="66"/>
      <c r="F65" s="66"/>
    </row>
    <row r="66" spans="2:6" ht="12" customHeight="1" outlineLevel="1" x14ac:dyDescent="0.3">
      <c r="C66" s="60"/>
      <c r="D66" s="60"/>
    </row>
    <row r="67" spans="2:6" outlineLevel="1" x14ac:dyDescent="0.3">
      <c r="B67" s="57" t="str">
        <f>B27</f>
        <v>COSTO DEL CAPITAL (Ke)</v>
      </c>
      <c r="C67" s="153">
        <f>+C59+C62+C65</f>
        <v>0.14899999999999999</v>
      </c>
    </row>
    <row r="68" spans="2:6" ht="10.95" customHeight="1" outlineLevel="1" x14ac:dyDescent="0.3">
      <c r="C68" s="58"/>
    </row>
    <row r="69" spans="2:6" outlineLevel="1" x14ac:dyDescent="0.3">
      <c r="B69" s="46" t="s">
        <v>886</v>
      </c>
      <c r="C69" s="53"/>
    </row>
    <row r="70" spans="2:6" ht="7.05" customHeight="1" outlineLevel="1" x14ac:dyDescent="0.3">
      <c r="C70" s="53"/>
    </row>
    <row r="71" spans="2:6" outlineLevel="1" x14ac:dyDescent="0.3">
      <c r="B71" s="55" t="s">
        <v>890</v>
      </c>
      <c r="C71" s="56" t="s">
        <v>891</v>
      </c>
      <c r="D71" s="55" t="s">
        <v>892</v>
      </c>
    </row>
    <row r="72" spans="2:6" outlineLevel="1" x14ac:dyDescent="0.3">
      <c r="B72" s="49" t="s">
        <v>888</v>
      </c>
      <c r="C72" s="158"/>
      <c r="D72" s="51" t="e">
        <f>C72/$C$74</f>
        <v>#DIV/0!</v>
      </c>
    </row>
    <row r="73" spans="2:6" outlineLevel="1" x14ac:dyDescent="0.3">
      <c r="B73" s="49" t="s">
        <v>889</v>
      </c>
      <c r="C73" s="158"/>
      <c r="D73" s="51" t="e">
        <f>C73/$C$74</f>
        <v>#DIV/0!</v>
      </c>
    </row>
    <row r="74" spans="2:6" outlineLevel="1" x14ac:dyDescent="0.3">
      <c r="B74" s="49" t="s">
        <v>887</v>
      </c>
      <c r="C74" s="52">
        <f>SUM(C72:C73)</f>
        <v>0</v>
      </c>
      <c r="D74" s="51" t="e">
        <f>SUM(D72:D73)</f>
        <v>#DIV/0!</v>
      </c>
    </row>
    <row r="75" spans="2:6" ht="10.050000000000001" customHeight="1" x14ac:dyDescent="0.3"/>
    <row r="76" spans="2:6" x14ac:dyDescent="0.3">
      <c r="B76" s="57" t="s">
        <v>64</v>
      </c>
      <c r="C76" s="160" t="e">
        <f>(D73*(C50*(1-C54)))+(D72*C67)</f>
        <v>#DIV/0!</v>
      </c>
    </row>
    <row r="78" spans="2:6" x14ac:dyDescent="0.3">
      <c r="B78" s="61" t="s">
        <v>902</v>
      </c>
    </row>
    <row r="79" spans="2:6" ht="6" customHeight="1" outlineLevel="1" x14ac:dyDescent="0.3"/>
    <row r="80" spans="2:6" outlineLevel="1" x14ac:dyDescent="0.3">
      <c r="B80" s="46" t="s">
        <v>58</v>
      </c>
    </row>
    <row r="81" spans="2:6" ht="6" customHeight="1" outlineLevel="1" x14ac:dyDescent="0.3"/>
    <row r="82" spans="2:6" outlineLevel="1" x14ac:dyDescent="0.3">
      <c r="B82" s="47" t="s">
        <v>59</v>
      </c>
      <c r="C82" s="47" t="s">
        <v>60</v>
      </c>
      <c r="D82" s="47" t="s">
        <v>56</v>
      </c>
      <c r="E82" s="48" t="s">
        <v>871</v>
      </c>
      <c r="F82" s="48" t="s">
        <v>65</v>
      </c>
    </row>
    <row r="83" spans="2:6" outlineLevel="1" x14ac:dyDescent="0.3">
      <c r="B83" s="148"/>
      <c r="C83" s="158"/>
      <c r="D83" s="159"/>
      <c r="E83" s="50" t="e">
        <f t="shared" ref="E83:E87" si="4">C83/$C$88</f>
        <v>#DIV/0!</v>
      </c>
      <c r="F83" s="51" t="e">
        <f>D83*E83</f>
        <v>#DIV/0!</v>
      </c>
    </row>
    <row r="84" spans="2:6" outlineLevel="1" x14ac:dyDescent="0.3">
      <c r="B84" s="148"/>
      <c r="C84" s="158"/>
      <c r="D84" s="159"/>
      <c r="E84" s="50" t="e">
        <f t="shared" si="4"/>
        <v>#DIV/0!</v>
      </c>
      <c r="F84" s="51" t="e">
        <f>D84*E84</f>
        <v>#DIV/0!</v>
      </c>
    </row>
    <row r="85" spans="2:6" outlineLevel="1" x14ac:dyDescent="0.3">
      <c r="B85" s="148"/>
      <c r="C85" s="158"/>
      <c r="D85" s="159"/>
      <c r="E85" s="50" t="e">
        <f t="shared" si="4"/>
        <v>#DIV/0!</v>
      </c>
      <c r="F85" s="51" t="e">
        <f>D85*E85</f>
        <v>#DIV/0!</v>
      </c>
    </row>
    <row r="86" spans="2:6" outlineLevel="1" x14ac:dyDescent="0.3">
      <c r="B86" s="148"/>
      <c r="C86" s="158"/>
      <c r="D86" s="159"/>
      <c r="E86" s="50" t="e">
        <f t="shared" si="4"/>
        <v>#DIV/0!</v>
      </c>
      <c r="F86" s="51" t="e">
        <f t="shared" ref="F86:F87" si="5">D86*E86</f>
        <v>#DIV/0!</v>
      </c>
    </row>
    <row r="87" spans="2:6" outlineLevel="1" x14ac:dyDescent="0.3">
      <c r="B87" s="148"/>
      <c r="C87" s="158"/>
      <c r="D87" s="159"/>
      <c r="E87" s="50" t="e">
        <f t="shared" si="4"/>
        <v>#DIV/0!</v>
      </c>
      <c r="F87" s="51" t="e">
        <f t="shared" si="5"/>
        <v>#DIV/0!</v>
      </c>
    </row>
    <row r="88" spans="2:6" outlineLevel="1" x14ac:dyDescent="0.3">
      <c r="B88" s="49" t="s">
        <v>61</v>
      </c>
      <c r="C88" s="52">
        <f>SUM(C83:C87)</f>
        <v>0</v>
      </c>
      <c r="D88" s="50">
        <f>SUM(D83:D87)</f>
        <v>0</v>
      </c>
      <c r="E88" s="50" t="e">
        <f>C88/$C$88</f>
        <v>#DIV/0!</v>
      </c>
      <c r="F88" s="51" t="e">
        <f>SUM(F83:F85)</f>
        <v>#DIV/0!</v>
      </c>
    </row>
    <row r="89" spans="2:6" ht="7.95" customHeight="1" outlineLevel="1" x14ac:dyDescent="0.3"/>
    <row r="90" spans="2:6" outlineLevel="1" x14ac:dyDescent="0.3">
      <c r="B90" s="57" t="s">
        <v>62</v>
      </c>
      <c r="C90" s="152" t="e">
        <f>F88</f>
        <v>#DIV/0!</v>
      </c>
    </row>
    <row r="91" spans="2:6" outlineLevel="1" x14ac:dyDescent="0.3"/>
    <row r="92" spans="2:6" outlineLevel="1" x14ac:dyDescent="0.3">
      <c r="B92" s="46" t="s">
        <v>894</v>
      </c>
    </row>
    <row r="93" spans="2:6" ht="9" customHeight="1" outlineLevel="1" x14ac:dyDescent="0.3"/>
    <row r="94" spans="2:6" outlineLevel="1" x14ac:dyDescent="0.3">
      <c r="B94" s="57" t="s">
        <v>885</v>
      </c>
      <c r="C94" s="144">
        <v>0.33</v>
      </c>
    </row>
    <row r="95" spans="2:6" ht="7.95" customHeight="1" outlineLevel="1" x14ac:dyDescent="0.3"/>
    <row r="96" spans="2:6" outlineLevel="1" x14ac:dyDescent="0.3">
      <c r="B96" s="46" t="s">
        <v>903</v>
      </c>
    </row>
    <row r="97" spans="2:6" ht="7.95" customHeight="1" outlineLevel="1" x14ac:dyDescent="0.3"/>
    <row r="98" spans="2:6" outlineLevel="1" x14ac:dyDescent="0.3">
      <c r="B98" s="173" t="s">
        <v>904</v>
      </c>
      <c r="C98" s="173"/>
      <c r="D98" s="173"/>
      <c r="E98" s="173"/>
      <c r="F98" s="173"/>
    </row>
    <row r="99" spans="2:6" ht="15.6" outlineLevel="1" x14ac:dyDescent="0.3">
      <c r="B99" s="49" t="s">
        <v>67</v>
      </c>
      <c r="C99" s="161">
        <v>8.2500000000000004E-3</v>
      </c>
      <c r="D99" s="176" t="s">
        <v>905</v>
      </c>
      <c r="E99" s="177"/>
      <c r="F99" s="177"/>
    </row>
    <row r="100" spans="2:6" ht="7.05" customHeight="1" outlineLevel="1" x14ac:dyDescent="0.3">
      <c r="C100" s="68"/>
      <c r="D100" s="45"/>
      <c r="E100" s="67"/>
      <c r="F100" s="67"/>
    </row>
    <row r="101" spans="2:6" outlineLevel="1" x14ac:dyDescent="0.3">
      <c r="B101" s="173" t="s">
        <v>906</v>
      </c>
      <c r="C101" s="173"/>
      <c r="D101" s="173"/>
      <c r="E101" s="173"/>
      <c r="F101" s="173"/>
    </row>
    <row r="102" spans="2:6" ht="15.6" outlineLevel="1" x14ac:dyDescent="0.3">
      <c r="B102" s="64" t="s">
        <v>883</v>
      </c>
      <c r="C102" s="148">
        <v>1.1399999999999999</v>
      </c>
      <c r="D102" s="174" t="s">
        <v>907</v>
      </c>
      <c r="E102" s="175"/>
      <c r="F102" s="175"/>
    </row>
    <row r="103" spans="2:6" ht="7.05" customHeight="1" outlineLevel="1" x14ac:dyDescent="0.3"/>
    <row r="104" spans="2:6" outlineLevel="1" x14ac:dyDescent="0.3">
      <c r="B104" s="173" t="s">
        <v>909</v>
      </c>
      <c r="C104" s="173"/>
      <c r="D104" s="173"/>
      <c r="E104" s="173"/>
      <c r="F104" s="173"/>
    </row>
    <row r="105" spans="2:6" ht="15.6" outlineLevel="1" x14ac:dyDescent="0.3">
      <c r="B105" s="49" t="s">
        <v>66</v>
      </c>
      <c r="C105" s="149">
        <f>'Riesgo de mercado'!D4</f>
        <v>8.3361667563067954E-2</v>
      </c>
      <c r="D105" s="174" t="s">
        <v>908</v>
      </c>
      <c r="E105" s="175"/>
      <c r="F105" s="175"/>
    </row>
    <row r="106" spans="2:6" ht="6" customHeight="1" outlineLevel="1" x14ac:dyDescent="0.3"/>
    <row r="107" spans="2:6" outlineLevel="1" x14ac:dyDescent="0.3">
      <c r="B107" s="173" t="s">
        <v>910</v>
      </c>
      <c r="C107" s="173"/>
      <c r="D107" s="173"/>
      <c r="E107" s="173"/>
      <c r="F107" s="173"/>
    </row>
    <row r="108" spans="2:6" ht="15.6" outlineLevel="1" x14ac:dyDescent="0.3">
      <c r="B108" s="49" t="s">
        <v>874</v>
      </c>
      <c r="C108" s="147">
        <f>1.9%+C99</f>
        <v>2.725E-2</v>
      </c>
      <c r="D108" s="174" t="s">
        <v>911</v>
      </c>
      <c r="E108" s="175"/>
      <c r="F108" s="175"/>
    </row>
    <row r="109" spans="2:6" ht="9" customHeight="1" outlineLevel="1" x14ac:dyDescent="0.3"/>
    <row r="110" spans="2:6" outlineLevel="1" x14ac:dyDescent="0.3">
      <c r="B110" s="173" t="s">
        <v>912</v>
      </c>
      <c r="C110" s="173"/>
      <c r="D110" s="173"/>
      <c r="E110" s="173"/>
      <c r="F110" s="173"/>
    </row>
    <row r="111" spans="2:6" ht="15.6" outlineLevel="1" x14ac:dyDescent="0.3">
      <c r="B111" s="49" t="s">
        <v>875</v>
      </c>
      <c r="C111" s="150">
        <v>3.5099999999999999E-2</v>
      </c>
      <c r="D111" s="174" t="s">
        <v>897</v>
      </c>
      <c r="E111" s="175"/>
      <c r="F111" s="175"/>
    </row>
    <row r="112" spans="2:6" ht="15.6" outlineLevel="1" x14ac:dyDescent="0.3">
      <c r="B112" s="49" t="s">
        <v>876</v>
      </c>
      <c r="C112" s="150">
        <v>3.0000000000000001E-3</v>
      </c>
      <c r="D112" s="174" t="s">
        <v>913</v>
      </c>
      <c r="E112" s="175"/>
      <c r="F112" s="175"/>
    </row>
    <row r="113" spans="2:4" outlineLevel="1" x14ac:dyDescent="0.3">
      <c r="B113" s="55" t="s">
        <v>878</v>
      </c>
      <c r="C113" s="154">
        <f>(1+C111)/(1+C112)-1</f>
        <v>3.2003988035892439E-2</v>
      </c>
    </row>
    <row r="114" spans="2:4" ht="6" customHeight="1" outlineLevel="1" x14ac:dyDescent="0.3"/>
    <row r="115" spans="2:4" outlineLevel="1" x14ac:dyDescent="0.3">
      <c r="B115" s="55" t="s">
        <v>877</v>
      </c>
      <c r="C115" s="155">
        <f>(C99+C102*(C105-C99))+C108</f>
        <v>0.12112730102189745</v>
      </c>
    </row>
    <row r="116" spans="2:4" ht="10.050000000000001" customHeight="1" outlineLevel="1" x14ac:dyDescent="0.3"/>
    <row r="117" spans="2:4" outlineLevel="1" x14ac:dyDescent="0.3">
      <c r="B117" s="143" t="s">
        <v>63</v>
      </c>
      <c r="C117" s="156">
        <f>(1+C115)*(1+C113)-1</f>
        <v>0.15700784575051463</v>
      </c>
    </row>
    <row r="118" spans="2:4" ht="10.050000000000001" customHeight="1" outlineLevel="1" x14ac:dyDescent="0.3">
      <c r="B118" s="62"/>
      <c r="C118" s="54"/>
    </row>
    <row r="119" spans="2:4" outlineLevel="1" x14ac:dyDescent="0.3">
      <c r="B119" s="46" t="s">
        <v>886</v>
      </c>
      <c r="C119" s="53"/>
    </row>
    <row r="120" spans="2:4" ht="10.95" customHeight="1" outlineLevel="1" x14ac:dyDescent="0.3">
      <c r="C120" s="53"/>
    </row>
    <row r="121" spans="2:4" outlineLevel="1" x14ac:dyDescent="0.3">
      <c r="B121" s="55" t="s">
        <v>890</v>
      </c>
      <c r="C121" s="56" t="s">
        <v>891</v>
      </c>
      <c r="D121" s="55" t="s">
        <v>892</v>
      </c>
    </row>
    <row r="122" spans="2:4" outlineLevel="1" x14ac:dyDescent="0.3">
      <c r="B122" s="49" t="s">
        <v>888</v>
      </c>
      <c r="C122" s="158"/>
      <c r="D122" s="51" t="e">
        <f>C122/$C$124</f>
        <v>#DIV/0!</v>
      </c>
    </row>
    <row r="123" spans="2:4" outlineLevel="1" x14ac:dyDescent="0.3">
      <c r="B123" s="49" t="s">
        <v>889</v>
      </c>
      <c r="C123" s="158"/>
      <c r="D123" s="51" t="e">
        <f>C123/$C$124</f>
        <v>#DIV/0!</v>
      </c>
    </row>
    <row r="124" spans="2:4" outlineLevel="1" x14ac:dyDescent="0.3">
      <c r="B124" s="49" t="s">
        <v>887</v>
      </c>
      <c r="C124" s="52">
        <f>SUM(C122:C123)</f>
        <v>0</v>
      </c>
      <c r="D124" s="51" t="e">
        <f>SUM(D122:D123)</f>
        <v>#DIV/0!</v>
      </c>
    </row>
    <row r="126" spans="2:4" x14ac:dyDescent="0.3">
      <c r="B126" s="57" t="s">
        <v>64</v>
      </c>
      <c r="C126" s="157" t="e">
        <f>(D123*(C90*(1-C94)))+(D122*C117)</f>
        <v>#DIV/0!</v>
      </c>
    </row>
  </sheetData>
  <sheetProtection algorithmName="SHA-512" hashValue="MNGYwcf0WaJ04a+3ohBXjtUNibsKQB5p0E59/CrmaGvXqRIG7eseCmlA53kPoE/J8i4R2zIv8VeNjEAIFEzehA==" saltValue="j4SmfRifSNCAwlN7VyCWSw==" spinCount="100000" sheet="1" objects="1" scenarios="1"/>
  <mergeCells count="16">
    <mergeCell ref="D59:F59"/>
    <mergeCell ref="D62:F62"/>
    <mergeCell ref="B58:F58"/>
    <mergeCell ref="B61:F61"/>
    <mergeCell ref="D112:F112"/>
    <mergeCell ref="B64:F64"/>
    <mergeCell ref="B98:F98"/>
    <mergeCell ref="D99:F99"/>
    <mergeCell ref="B101:F101"/>
    <mergeCell ref="D102:F102"/>
    <mergeCell ref="B104:F104"/>
    <mergeCell ref="D105:F105"/>
    <mergeCell ref="B107:F107"/>
    <mergeCell ref="D108:F108"/>
    <mergeCell ref="B110:F110"/>
    <mergeCell ref="D111:F111"/>
  </mergeCells>
  <dataValidations count="1">
    <dataValidation type="list" allowBlank="1" showInputMessage="1" showErrorMessage="1" sqref="C20 C54 C94">
      <formula1>"33%,32%,31%,30%"</formula1>
    </dataValidation>
  </dataValidations>
  <hyperlinks>
    <hyperlink ref="D59" r:id="rId1"/>
    <hyperlink ref="D62" r:id="rId2" location="gsc.tab=0"/>
    <hyperlink ref="D65" r:id="rId3"/>
    <hyperlink ref="D99" r:id="rId4"/>
    <hyperlink ref="D102" r:id="rId5"/>
    <hyperlink ref="D105" r:id="rId6"/>
    <hyperlink ref="D108" r:id="rId7"/>
    <hyperlink ref="D111" r:id="rId8" location="gsc.tab=0"/>
    <hyperlink ref="D112" r:id="rId9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zoomScale="125" workbookViewId="0">
      <selection activeCell="D4" sqref="D4"/>
    </sheetView>
  </sheetViews>
  <sheetFormatPr baseColWidth="10" defaultColWidth="10.796875" defaultRowHeight="15.6" x14ac:dyDescent="0.3"/>
  <cols>
    <col min="1" max="1" width="11" style="4" bestFit="1" customWidth="1"/>
    <col min="2" max="2" width="14.5" style="4" bestFit="1" customWidth="1"/>
    <col min="3" max="16384" width="10.796875" style="4"/>
  </cols>
  <sheetData>
    <row r="1" spans="1:4" x14ac:dyDescent="0.3">
      <c r="A1" s="4" t="s">
        <v>872</v>
      </c>
      <c r="B1" s="41" t="s">
        <v>873</v>
      </c>
    </row>
    <row r="2" spans="1:4" x14ac:dyDescent="0.3">
      <c r="A2" s="42">
        <v>42186</v>
      </c>
      <c r="B2" s="4">
        <v>2103.8400879999999</v>
      </c>
      <c r="C2" s="5">
        <f>LN(B3/B2)</f>
        <v>-6.4624730898542204E-2</v>
      </c>
      <c r="D2" s="43">
        <f>AVERAGE(C2:C60)</f>
        <v>6.6947152554960657E-3</v>
      </c>
    </row>
    <row r="3" spans="1:4" x14ac:dyDescent="0.3">
      <c r="A3" s="42">
        <v>42217</v>
      </c>
      <c r="B3" s="4">
        <v>1972.1800539999999</v>
      </c>
      <c r="C3" s="5">
        <f t="shared" ref="C3:C60" si="0">LN(B4/B3)</f>
        <v>-2.6798731264652844E-2</v>
      </c>
      <c r="D3" s="6">
        <f>D2*12</f>
        <v>8.0336583065952788E-2</v>
      </c>
    </row>
    <row r="4" spans="1:4" x14ac:dyDescent="0.3">
      <c r="A4" s="42">
        <v>42248</v>
      </c>
      <c r="B4" s="4">
        <v>1920.030029</v>
      </c>
      <c r="C4" s="5">
        <f t="shared" si="0"/>
        <v>7.9719379495131665E-2</v>
      </c>
      <c r="D4" s="44">
        <f>EFFECT(D3,12)</f>
        <v>8.3361667563067954E-2</v>
      </c>
    </row>
    <row r="5" spans="1:4" x14ac:dyDescent="0.3">
      <c r="A5" s="42">
        <v>42278</v>
      </c>
      <c r="B5" s="4">
        <v>2079.360107</v>
      </c>
      <c r="C5" s="5">
        <f t="shared" si="0"/>
        <v>5.0474185711855491E-4</v>
      </c>
    </row>
    <row r="6" spans="1:4" x14ac:dyDescent="0.3">
      <c r="A6" s="42">
        <v>42309</v>
      </c>
      <c r="B6" s="4">
        <v>2080.4099120000001</v>
      </c>
      <c r="C6" s="5">
        <f t="shared" si="0"/>
        <v>-1.7685658536441762E-2</v>
      </c>
    </row>
    <row r="7" spans="1:4" x14ac:dyDescent="0.3">
      <c r="A7" s="42">
        <v>42339</v>
      </c>
      <c r="B7" s="4">
        <v>2043.9399410000001</v>
      </c>
      <c r="C7" s="5">
        <f t="shared" si="0"/>
        <v>-5.2067617227535473E-2</v>
      </c>
    </row>
    <row r="8" spans="1:4" x14ac:dyDescent="0.3">
      <c r="A8" s="42">
        <v>42370</v>
      </c>
      <c r="B8" s="4">
        <v>1940.23999</v>
      </c>
      <c r="C8" s="5">
        <f t="shared" si="0"/>
        <v>-4.1369056367907874E-3</v>
      </c>
    </row>
    <row r="9" spans="1:4" x14ac:dyDescent="0.3">
      <c r="A9" s="42">
        <v>42401</v>
      </c>
      <c r="B9" s="4">
        <v>1932.2299800000001</v>
      </c>
      <c r="C9" s="5">
        <f t="shared" si="0"/>
        <v>6.3904990415635493E-2</v>
      </c>
    </row>
    <row r="10" spans="1:4" x14ac:dyDescent="0.3">
      <c r="A10" s="42">
        <v>42430</v>
      </c>
      <c r="B10" s="4">
        <v>2059.73999</v>
      </c>
      <c r="C10" s="5">
        <f t="shared" si="0"/>
        <v>2.6957616481642385E-3</v>
      </c>
    </row>
    <row r="11" spans="1:4" x14ac:dyDescent="0.3">
      <c r="A11" s="42">
        <v>42461</v>
      </c>
      <c r="B11" s="4">
        <v>2065.3000489999999</v>
      </c>
      <c r="C11" s="5">
        <f t="shared" si="0"/>
        <v>1.5208366645339389E-2</v>
      </c>
    </row>
    <row r="12" spans="1:4" x14ac:dyDescent="0.3">
      <c r="A12" s="42">
        <v>42491</v>
      </c>
      <c r="B12" s="4">
        <v>2096.9499510000001</v>
      </c>
      <c r="C12" s="5">
        <f t="shared" si="0"/>
        <v>9.1050648411568206E-4</v>
      </c>
    </row>
    <row r="13" spans="1:4" x14ac:dyDescent="0.3">
      <c r="A13" s="42">
        <v>42522</v>
      </c>
      <c r="B13" s="4">
        <v>2098.860107</v>
      </c>
      <c r="C13" s="5">
        <f t="shared" si="0"/>
        <v>3.4990433050203752E-2</v>
      </c>
    </row>
    <row r="14" spans="1:4" x14ac:dyDescent="0.3">
      <c r="A14" s="42">
        <v>42552</v>
      </c>
      <c r="B14" s="4">
        <v>2173.6000979999999</v>
      </c>
      <c r="C14" s="5">
        <f t="shared" si="0"/>
        <v>-1.2199870176702919E-3</v>
      </c>
    </row>
    <row r="15" spans="1:4" x14ac:dyDescent="0.3">
      <c r="A15" s="42">
        <v>42583</v>
      </c>
      <c r="B15" s="4">
        <v>2170.9499510000001</v>
      </c>
      <c r="C15" s="5">
        <f t="shared" si="0"/>
        <v>-1.2352134063971093E-3</v>
      </c>
    </row>
    <row r="16" spans="1:4" x14ac:dyDescent="0.3">
      <c r="A16" s="42">
        <v>42614</v>
      </c>
      <c r="B16" s="4">
        <v>2168.2700199999999</v>
      </c>
      <c r="C16" s="5">
        <f t="shared" si="0"/>
        <v>-1.9616837421336072E-2</v>
      </c>
    </row>
    <row r="17" spans="1:3" x14ac:dyDescent="0.3">
      <c r="A17" s="42">
        <v>42644</v>
      </c>
      <c r="B17" s="4">
        <v>2126.1499020000001</v>
      </c>
      <c r="C17" s="5">
        <f t="shared" si="0"/>
        <v>3.3603545390870432E-2</v>
      </c>
    </row>
    <row r="18" spans="1:3" x14ac:dyDescent="0.3">
      <c r="A18" s="42">
        <v>42675</v>
      </c>
      <c r="B18" s="4">
        <v>2198.8100589999999</v>
      </c>
      <c r="C18" s="5">
        <f t="shared" si="0"/>
        <v>1.8037111058687334E-2</v>
      </c>
    </row>
    <row r="19" spans="1:3" x14ac:dyDescent="0.3">
      <c r="A19" s="42">
        <v>42705</v>
      </c>
      <c r="B19" s="4">
        <v>2238.830078</v>
      </c>
      <c r="C19" s="5">
        <f t="shared" si="0"/>
        <v>1.7726314594617782E-2</v>
      </c>
    </row>
    <row r="20" spans="1:3" x14ac:dyDescent="0.3">
      <c r="A20" s="42">
        <v>42736</v>
      </c>
      <c r="B20" s="4">
        <v>2278.8701169999999</v>
      </c>
      <c r="C20" s="5">
        <f t="shared" si="0"/>
        <v>3.6523000999039816E-2</v>
      </c>
    </row>
    <row r="21" spans="1:3" x14ac:dyDescent="0.3">
      <c r="A21" s="42">
        <v>42767</v>
      </c>
      <c r="B21" s="4">
        <v>2363.639893</v>
      </c>
      <c r="C21" s="5">
        <f t="shared" si="0"/>
        <v>-3.8927294496698804E-4</v>
      </c>
    </row>
    <row r="22" spans="1:3" x14ac:dyDescent="0.3">
      <c r="A22" s="42">
        <v>42795</v>
      </c>
      <c r="B22" s="4">
        <v>2362.719971</v>
      </c>
      <c r="C22" s="5">
        <f t="shared" si="0"/>
        <v>9.0501322804594966E-3</v>
      </c>
    </row>
    <row r="23" spans="1:3" x14ac:dyDescent="0.3">
      <c r="A23" s="42">
        <v>42826</v>
      </c>
      <c r="B23" s="4">
        <v>2384.1999510000001</v>
      </c>
      <c r="C23" s="5">
        <f t="shared" si="0"/>
        <v>1.1509759254333795E-2</v>
      </c>
    </row>
    <row r="24" spans="1:3" x14ac:dyDescent="0.3">
      <c r="A24" s="42">
        <v>42856</v>
      </c>
      <c r="B24" s="4">
        <v>2411.8000489999999</v>
      </c>
      <c r="C24" s="5">
        <f t="shared" si="0"/>
        <v>4.8022259241070758E-3</v>
      </c>
    </row>
    <row r="25" spans="1:3" x14ac:dyDescent="0.3">
      <c r="A25" s="42">
        <v>42887</v>
      </c>
      <c r="B25" s="4">
        <v>2423.4099120000001</v>
      </c>
      <c r="C25" s="5">
        <f t="shared" si="0"/>
        <v>1.916401766181007E-2</v>
      </c>
    </row>
    <row r="26" spans="1:3" x14ac:dyDescent="0.3">
      <c r="A26" s="42">
        <v>42917</v>
      </c>
      <c r="B26" s="4">
        <v>2470.3000489999999</v>
      </c>
      <c r="C26" s="5">
        <f t="shared" si="0"/>
        <v>5.4628357104102084E-4</v>
      </c>
    </row>
    <row r="27" spans="1:3" x14ac:dyDescent="0.3">
      <c r="A27" s="42">
        <v>42948</v>
      </c>
      <c r="B27" s="4">
        <v>2471.6499020000001</v>
      </c>
      <c r="C27" s="5">
        <f t="shared" si="0"/>
        <v>1.911903932397916E-2</v>
      </c>
    </row>
    <row r="28" spans="1:3" x14ac:dyDescent="0.3">
      <c r="A28" s="42">
        <v>42979</v>
      </c>
      <c r="B28" s="4">
        <v>2519.360107</v>
      </c>
      <c r="C28" s="5">
        <f t="shared" si="0"/>
        <v>2.1945560290305279E-2</v>
      </c>
    </row>
    <row r="29" spans="1:3" x14ac:dyDescent="0.3">
      <c r="A29" s="42">
        <v>43009</v>
      </c>
      <c r="B29" s="4">
        <v>2575.26001</v>
      </c>
      <c r="C29" s="5">
        <f t="shared" si="0"/>
        <v>3.7131407628128972E-3</v>
      </c>
    </row>
    <row r="30" spans="1:3" x14ac:dyDescent="0.3">
      <c r="A30" s="42">
        <v>43040</v>
      </c>
      <c r="B30" s="4">
        <v>2584.8400879999999</v>
      </c>
      <c r="C30" s="5">
        <f t="shared" si="0"/>
        <v>3.3766014609890378E-2</v>
      </c>
    </row>
    <row r="31" spans="1:3" x14ac:dyDescent="0.3">
      <c r="A31" s="42">
        <v>43070</v>
      </c>
      <c r="B31" s="4">
        <v>2673.610107</v>
      </c>
      <c r="C31" s="5">
        <f t="shared" si="0"/>
        <v>5.4657398659986728E-2</v>
      </c>
    </row>
    <row r="32" spans="1:3" x14ac:dyDescent="0.3">
      <c r="A32" s="42">
        <v>43101</v>
      </c>
      <c r="B32" s="4">
        <v>2823.8100589999999</v>
      </c>
      <c r="C32" s="5">
        <f t="shared" si="0"/>
        <v>-3.9726107788010244E-2</v>
      </c>
    </row>
    <row r="33" spans="1:3" x14ac:dyDescent="0.3">
      <c r="A33" s="42">
        <v>43132</v>
      </c>
      <c r="B33" s="4">
        <v>2713.830078</v>
      </c>
      <c r="C33" s="5">
        <f t="shared" si="0"/>
        <v>-2.725249739187887E-2</v>
      </c>
    </row>
    <row r="34" spans="1:3" x14ac:dyDescent="0.3">
      <c r="A34" s="42">
        <v>43160</v>
      </c>
      <c r="B34" s="4">
        <v>2640.8701169999999</v>
      </c>
      <c r="C34" s="5">
        <f t="shared" si="0"/>
        <v>2.7150859477301889E-3</v>
      </c>
    </row>
    <row r="35" spans="1:3" x14ac:dyDescent="0.3">
      <c r="A35" s="42">
        <v>43191</v>
      </c>
      <c r="B35" s="4">
        <v>2648.0500489999999</v>
      </c>
      <c r="C35" s="5">
        <f t="shared" si="0"/>
        <v>2.1378191291432879E-2</v>
      </c>
    </row>
    <row r="36" spans="1:3" x14ac:dyDescent="0.3">
      <c r="A36" s="42">
        <v>43221</v>
      </c>
      <c r="B36" s="4">
        <v>2705.2700199999999</v>
      </c>
      <c r="C36" s="5">
        <f t="shared" si="0"/>
        <v>4.830749144322073E-3</v>
      </c>
    </row>
    <row r="37" spans="1:3" x14ac:dyDescent="0.3">
      <c r="A37" s="42">
        <v>43252</v>
      </c>
      <c r="B37" s="4">
        <v>2718.3701169999999</v>
      </c>
      <c r="C37" s="5">
        <f t="shared" si="0"/>
        <v>3.5387950784307211E-2</v>
      </c>
    </row>
    <row r="38" spans="1:3" x14ac:dyDescent="0.3">
      <c r="A38" s="42">
        <v>43282</v>
      </c>
      <c r="B38" s="4">
        <v>2816.290039</v>
      </c>
      <c r="C38" s="5">
        <f t="shared" si="0"/>
        <v>2.9814314708128044E-2</v>
      </c>
    </row>
    <row r="39" spans="1:3" x14ac:dyDescent="0.3">
      <c r="A39" s="42">
        <v>43313</v>
      </c>
      <c r="B39" s="4">
        <v>2901.5200199999999</v>
      </c>
      <c r="C39" s="5">
        <f t="shared" si="0"/>
        <v>4.2850929639178534E-3</v>
      </c>
    </row>
    <row r="40" spans="1:3" x14ac:dyDescent="0.3">
      <c r="A40" s="42">
        <v>43344</v>
      </c>
      <c r="B40" s="4">
        <v>2913.9799800000001</v>
      </c>
      <c r="C40" s="5">
        <f t="shared" si="0"/>
        <v>-7.1929345879864132E-2</v>
      </c>
    </row>
    <row r="41" spans="1:3" x14ac:dyDescent="0.3">
      <c r="A41" s="42">
        <v>43374</v>
      </c>
      <c r="B41" s="4">
        <v>2711.73999</v>
      </c>
      <c r="C41" s="5">
        <f t="shared" si="0"/>
        <v>1.7701752187834409E-2</v>
      </c>
    </row>
    <row r="42" spans="1:3" x14ac:dyDescent="0.3">
      <c r="A42" s="42">
        <v>43405</v>
      </c>
      <c r="B42" s="4">
        <v>2760.169922</v>
      </c>
      <c r="C42" s="5">
        <f t="shared" si="0"/>
        <v>-9.6265219766061866E-2</v>
      </c>
    </row>
    <row r="43" spans="1:3" x14ac:dyDescent="0.3">
      <c r="A43" s="42">
        <v>43435</v>
      </c>
      <c r="B43" s="4">
        <v>2506.8500979999999</v>
      </c>
      <c r="C43" s="5">
        <f t="shared" si="0"/>
        <v>7.5742151976753658E-2</v>
      </c>
    </row>
    <row r="44" spans="1:3" x14ac:dyDescent="0.3">
      <c r="A44" s="42">
        <v>43466</v>
      </c>
      <c r="B44" s="4">
        <v>2704.1000979999999</v>
      </c>
      <c r="C44" s="5">
        <f t="shared" si="0"/>
        <v>2.9295553154109054E-2</v>
      </c>
    </row>
    <row r="45" spans="1:3" x14ac:dyDescent="0.3">
      <c r="A45" s="42">
        <v>43497</v>
      </c>
      <c r="B45" s="4">
        <v>2784.48999</v>
      </c>
      <c r="C45" s="5">
        <f t="shared" si="0"/>
        <v>1.7765510853122508E-2</v>
      </c>
    </row>
    <row r="46" spans="1:3" x14ac:dyDescent="0.3">
      <c r="A46" s="42">
        <v>43525</v>
      </c>
      <c r="B46" s="4">
        <v>2834.3999020000001</v>
      </c>
      <c r="C46" s="5">
        <f t="shared" si="0"/>
        <v>3.8560397496415821E-2</v>
      </c>
    </row>
    <row r="47" spans="1:3" x14ac:dyDescent="0.3">
      <c r="A47" s="42">
        <v>43556</v>
      </c>
      <c r="B47" s="4">
        <v>2945.830078</v>
      </c>
      <c r="C47" s="5">
        <f t="shared" si="0"/>
        <v>-6.8040893892824417E-2</v>
      </c>
    </row>
    <row r="48" spans="1:3" x14ac:dyDescent="0.3">
      <c r="A48" s="42">
        <v>43586</v>
      </c>
      <c r="B48" s="4">
        <v>2752.0600589999999</v>
      </c>
      <c r="C48" s="5">
        <f t="shared" si="0"/>
        <v>6.6658301495081035E-2</v>
      </c>
    </row>
    <row r="49" spans="1:3" x14ac:dyDescent="0.3">
      <c r="A49" s="42">
        <v>43617</v>
      </c>
      <c r="B49" s="4">
        <v>2941.76001</v>
      </c>
      <c r="C49" s="5">
        <f t="shared" si="0"/>
        <v>1.3042724816945116E-2</v>
      </c>
    </row>
    <row r="50" spans="1:3" x14ac:dyDescent="0.3">
      <c r="A50" s="42">
        <v>43647</v>
      </c>
      <c r="B50" s="4">
        <v>2980.3798830000001</v>
      </c>
      <c r="C50" s="5">
        <f t="shared" si="0"/>
        <v>-1.825728178481683E-2</v>
      </c>
    </row>
    <row r="51" spans="1:3" x14ac:dyDescent="0.3">
      <c r="A51" s="42">
        <v>43678</v>
      </c>
      <c r="B51" s="4">
        <v>2926.459961</v>
      </c>
      <c r="C51" s="5">
        <f t="shared" si="0"/>
        <v>1.7035250490979523E-2</v>
      </c>
    </row>
    <row r="52" spans="1:3" x14ac:dyDescent="0.3">
      <c r="A52" s="42">
        <v>43709</v>
      </c>
      <c r="B52" s="4">
        <v>2976.73999</v>
      </c>
      <c r="C52" s="5">
        <f t="shared" si="0"/>
        <v>2.0225842365795155E-2</v>
      </c>
    </row>
    <row r="53" spans="1:3" x14ac:dyDescent="0.3">
      <c r="A53" s="42">
        <v>43739</v>
      </c>
      <c r="B53" s="4">
        <v>3037.5600589999999</v>
      </c>
      <c r="C53" s="5">
        <f t="shared" si="0"/>
        <v>3.3480265788399043E-2</v>
      </c>
    </row>
    <row r="54" spans="1:3" x14ac:dyDescent="0.3">
      <c r="A54" s="42">
        <v>43770</v>
      </c>
      <c r="B54" s="4">
        <v>3140.9799800000001</v>
      </c>
      <c r="C54" s="5">
        <f t="shared" si="0"/>
        <v>2.8188756355889417E-2</v>
      </c>
    </row>
    <row r="55" spans="1:3" x14ac:dyDescent="0.3">
      <c r="A55" s="42">
        <v>43800</v>
      </c>
      <c r="B55" s="4">
        <v>3230.780029</v>
      </c>
      <c r="C55" s="5">
        <f t="shared" si="0"/>
        <v>-1.6294193652275938E-3</v>
      </c>
    </row>
    <row r="56" spans="1:3" x14ac:dyDescent="0.3">
      <c r="A56" s="42">
        <v>43831</v>
      </c>
      <c r="B56" s="4">
        <v>3225.5200199999999</v>
      </c>
      <c r="C56" s="5">
        <f t="shared" si="0"/>
        <v>-8.7859536953221323E-2</v>
      </c>
    </row>
    <row r="57" spans="1:3" x14ac:dyDescent="0.3">
      <c r="A57" s="42">
        <v>43862</v>
      </c>
      <c r="B57" s="4">
        <v>2954.219971</v>
      </c>
      <c r="C57" s="5">
        <f t="shared" si="0"/>
        <v>-0.13366772472854824</v>
      </c>
    </row>
    <row r="58" spans="1:3" x14ac:dyDescent="0.3">
      <c r="A58" s="42">
        <v>43891</v>
      </c>
      <c r="B58" s="4">
        <v>2584.5900879999999</v>
      </c>
      <c r="C58" s="5">
        <f t="shared" si="0"/>
        <v>0.11942083884125214</v>
      </c>
    </row>
    <row r="59" spans="1:3" x14ac:dyDescent="0.3">
      <c r="A59" s="42">
        <v>43922</v>
      </c>
      <c r="B59" s="4">
        <v>2912.429932</v>
      </c>
      <c r="C59" s="5">
        <f t="shared" si="0"/>
        <v>4.4286532959149118E-2</v>
      </c>
    </row>
    <row r="60" spans="1:3" x14ac:dyDescent="0.3">
      <c r="A60" s="42">
        <v>43952</v>
      </c>
      <c r="B60" s="4">
        <v>3044.3100589999999</v>
      </c>
      <c r="C60" s="5">
        <f t="shared" si="0"/>
        <v>2.5478194379840498E-2</v>
      </c>
    </row>
    <row r="61" spans="1:3" x14ac:dyDescent="0.3">
      <c r="A61" s="42">
        <v>43983</v>
      </c>
      <c r="B61" s="4">
        <v>3122.8701169999999</v>
      </c>
      <c r="C61" s="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7"/>
  <sheetViews>
    <sheetView topLeftCell="A65" zoomScale="211" workbookViewId="0">
      <selection activeCell="C74" sqref="C74"/>
    </sheetView>
  </sheetViews>
  <sheetFormatPr baseColWidth="10" defaultRowHeight="15.6" x14ac:dyDescent="0.3"/>
  <cols>
    <col min="1" max="1" width="36.796875" customWidth="1"/>
    <col min="3" max="3" width="10.796875" style="38"/>
    <col min="6" max="6" width="16.19921875" style="38" bestFit="1" customWidth="1"/>
    <col min="8" max="8" width="34.5" style="38" bestFit="1" customWidth="1"/>
  </cols>
  <sheetData>
    <row r="1" spans="1:17" x14ac:dyDescent="0.3">
      <c r="A1" s="33" t="s">
        <v>68</v>
      </c>
      <c r="B1" s="33" t="s">
        <v>69</v>
      </c>
      <c r="C1" s="37" t="s">
        <v>70</v>
      </c>
      <c r="D1" s="33" t="s">
        <v>71</v>
      </c>
      <c r="E1" s="33" t="s">
        <v>72</v>
      </c>
      <c r="F1" s="37" t="s">
        <v>73</v>
      </c>
      <c r="G1" s="33" t="s">
        <v>74</v>
      </c>
      <c r="H1" s="37" t="s">
        <v>75</v>
      </c>
      <c r="I1" s="33" t="s">
        <v>76</v>
      </c>
      <c r="J1" s="33" t="s">
        <v>77</v>
      </c>
      <c r="K1" s="33" t="s">
        <v>78</v>
      </c>
      <c r="L1" s="33">
        <v>2015</v>
      </c>
      <c r="M1" s="33">
        <v>2016</v>
      </c>
      <c r="N1" s="33">
        <v>2017</v>
      </c>
      <c r="O1" s="33">
        <v>2018</v>
      </c>
      <c r="P1" s="33">
        <v>2019</v>
      </c>
      <c r="Q1" s="33" t="s">
        <v>79</v>
      </c>
    </row>
    <row r="2" spans="1:17" x14ac:dyDescent="0.3">
      <c r="A2" s="34" t="s">
        <v>80</v>
      </c>
      <c r="B2" s="34">
        <v>47</v>
      </c>
      <c r="C2" s="36" t="s">
        <v>81</v>
      </c>
      <c r="D2" s="34" t="s">
        <v>82</v>
      </c>
      <c r="E2" s="34" t="s">
        <v>83</v>
      </c>
      <c r="F2" s="36" t="s">
        <v>84</v>
      </c>
      <c r="G2" s="34" t="s">
        <v>85</v>
      </c>
      <c r="H2" s="36" t="s">
        <v>86</v>
      </c>
      <c r="I2" s="34" t="s">
        <v>87</v>
      </c>
      <c r="J2" s="34" t="s">
        <v>88</v>
      </c>
      <c r="K2" s="34" t="s">
        <v>89</v>
      </c>
      <c r="L2" s="34" t="s">
        <v>90</v>
      </c>
      <c r="M2" s="34" t="s">
        <v>91</v>
      </c>
      <c r="N2" s="34" t="s">
        <v>92</v>
      </c>
      <c r="O2" s="34" t="s">
        <v>93</v>
      </c>
      <c r="P2" s="34" t="s">
        <v>94</v>
      </c>
      <c r="Q2" s="34" t="s">
        <v>95</v>
      </c>
    </row>
    <row r="3" spans="1:17" x14ac:dyDescent="0.3">
      <c r="A3" s="34" t="s">
        <v>96</v>
      </c>
      <c r="B3" s="34">
        <v>77</v>
      </c>
      <c r="C3" s="36" t="s">
        <v>97</v>
      </c>
      <c r="D3" s="34" t="s">
        <v>98</v>
      </c>
      <c r="E3" s="34" t="s">
        <v>99</v>
      </c>
      <c r="F3" s="36" t="s">
        <v>100</v>
      </c>
      <c r="G3" s="34" t="s">
        <v>101</v>
      </c>
      <c r="H3" s="36" t="s">
        <v>102</v>
      </c>
      <c r="I3" s="34" t="s">
        <v>103</v>
      </c>
      <c r="J3" s="34" t="s">
        <v>104</v>
      </c>
      <c r="K3" s="34" t="s">
        <v>105</v>
      </c>
      <c r="L3" s="34" t="s">
        <v>106</v>
      </c>
      <c r="M3" s="34" t="s">
        <v>107</v>
      </c>
      <c r="N3" s="34" t="s">
        <v>108</v>
      </c>
      <c r="O3" s="34" t="s">
        <v>109</v>
      </c>
      <c r="P3" s="34" t="s">
        <v>110</v>
      </c>
      <c r="Q3" s="34" t="s">
        <v>106</v>
      </c>
    </row>
    <row r="4" spans="1:17" x14ac:dyDescent="0.3">
      <c r="A4" s="34" t="s">
        <v>111</v>
      </c>
      <c r="B4" s="34">
        <v>18</v>
      </c>
      <c r="C4" s="36" t="s">
        <v>81</v>
      </c>
      <c r="D4" s="34" t="s">
        <v>112</v>
      </c>
      <c r="E4" s="34" t="s">
        <v>113</v>
      </c>
      <c r="F4" s="36" t="s">
        <v>114</v>
      </c>
      <c r="G4" s="34" t="s">
        <v>115</v>
      </c>
      <c r="H4" s="36" t="s">
        <v>95</v>
      </c>
      <c r="I4" s="34" t="s">
        <v>116</v>
      </c>
      <c r="J4" s="34" t="s">
        <v>117</v>
      </c>
      <c r="K4" s="34" t="s">
        <v>118</v>
      </c>
      <c r="L4" s="34" t="s">
        <v>119</v>
      </c>
      <c r="M4" s="34" t="s">
        <v>120</v>
      </c>
      <c r="N4" s="34" t="s">
        <v>121</v>
      </c>
      <c r="O4" s="34" t="s">
        <v>122</v>
      </c>
      <c r="P4" s="34" t="s">
        <v>123</v>
      </c>
      <c r="Q4" s="34" t="s">
        <v>124</v>
      </c>
    </row>
    <row r="5" spans="1:17" x14ac:dyDescent="0.3">
      <c r="A5" s="34" t="s">
        <v>125</v>
      </c>
      <c r="B5" s="34">
        <v>51</v>
      </c>
      <c r="C5" s="36" t="s">
        <v>106</v>
      </c>
      <c r="D5" s="34" t="s">
        <v>126</v>
      </c>
      <c r="E5" s="34" t="s">
        <v>127</v>
      </c>
      <c r="F5" s="36" t="s">
        <v>128</v>
      </c>
      <c r="G5" s="34" t="s">
        <v>129</v>
      </c>
      <c r="H5" s="36" t="s">
        <v>90</v>
      </c>
      <c r="I5" s="34" t="s">
        <v>130</v>
      </c>
      <c r="J5" s="34" t="s">
        <v>131</v>
      </c>
      <c r="K5" s="34" t="s">
        <v>132</v>
      </c>
      <c r="L5" s="34" t="s">
        <v>133</v>
      </c>
      <c r="M5" s="34" t="s">
        <v>84</v>
      </c>
      <c r="N5" s="34" t="s">
        <v>134</v>
      </c>
      <c r="O5" s="34" t="s">
        <v>120</v>
      </c>
      <c r="P5" s="34" t="s">
        <v>121</v>
      </c>
      <c r="Q5" s="34" t="s">
        <v>135</v>
      </c>
    </row>
    <row r="6" spans="1:17" x14ac:dyDescent="0.3">
      <c r="A6" s="34" t="s">
        <v>136</v>
      </c>
      <c r="B6" s="34">
        <v>13</v>
      </c>
      <c r="C6" s="36" t="s">
        <v>137</v>
      </c>
      <c r="D6" s="34" t="s">
        <v>138</v>
      </c>
      <c r="E6" s="34" t="s">
        <v>139</v>
      </c>
      <c r="F6" s="36" t="s">
        <v>140</v>
      </c>
      <c r="G6" s="34" t="s">
        <v>141</v>
      </c>
      <c r="H6" s="36" t="s">
        <v>142</v>
      </c>
      <c r="I6" s="34" t="s">
        <v>143</v>
      </c>
      <c r="J6" s="34" t="s">
        <v>144</v>
      </c>
      <c r="K6" s="34" t="s">
        <v>145</v>
      </c>
      <c r="L6" s="34" t="s">
        <v>146</v>
      </c>
      <c r="M6" s="34" t="s">
        <v>147</v>
      </c>
      <c r="N6" s="34" t="s">
        <v>148</v>
      </c>
      <c r="O6" s="34" t="s">
        <v>146</v>
      </c>
      <c r="P6" s="34" t="s">
        <v>149</v>
      </c>
      <c r="Q6" s="34" t="s">
        <v>150</v>
      </c>
    </row>
    <row r="7" spans="1:17" x14ac:dyDescent="0.3">
      <c r="A7" s="34" t="s">
        <v>151</v>
      </c>
      <c r="B7" s="34">
        <v>46</v>
      </c>
      <c r="C7" s="36" t="s">
        <v>152</v>
      </c>
      <c r="D7" s="34" t="s">
        <v>153</v>
      </c>
      <c r="E7" s="34" t="s">
        <v>154</v>
      </c>
      <c r="F7" s="36" t="s">
        <v>84</v>
      </c>
      <c r="G7" s="34" t="s">
        <v>155</v>
      </c>
      <c r="H7" s="36" t="s">
        <v>156</v>
      </c>
      <c r="I7" s="34" t="s">
        <v>157</v>
      </c>
      <c r="J7" s="34" t="s">
        <v>158</v>
      </c>
      <c r="K7" s="34" t="s">
        <v>159</v>
      </c>
      <c r="L7" s="34" t="s">
        <v>160</v>
      </c>
      <c r="M7" s="34" t="s">
        <v>102</v>
      </c>
      <c r="N7" s="34" t="s">
        <v>108</v>
      </c>
      <c r="O7" s="34" t="s">
        <v>161</v>
      </c>
      <c r="P7" s="34" t="s">
        <v>162</v>
      </c>
      <c r="Q7" s="34" t="s">
        <v>163</v>
      </c>
    </row>
    <row r="8" spans="1:17" x14ac:dyDescent="0.3">
      <c r="A8" s="34" t="s">
        <v>164</v>
      </c>
      <c r="B8" s="34">
        <v>7</v>
      </c>
      <c r="C8" s="36" t="s">
        <v>163</v>
      </c>
      <c r="D8" s="34" t="s">
        <v>165</v>
      </c>
      <c r="E8" s="34" t="s">
        <v>166</v>
      </c>
      <c r="F8" s="36" t="s">
        <v>167</v>
      </c>
      <c r="G8" s="34" t="s">
        <v>168</v>
      </c>
      <c r="H8" s="36" t="s">
        <v>169</v>
      </c>
      <c r="I8" s="34" t="s">
        <v>170</v>
      </c>
      <c r="J8" s="34" t="s">
        <v>171</v>
      </c>
      <c r="K8" s="34" t="e">
        <v>#DIV/0!</v>
      </c>
      <c r="L8" s="34" t="s">
        <v>149</v>
      </c>
      <c r="M8" s="34" t="s">
        <v>147</v>
      </c>
      <c r="N8" s="34" t="s">
        <v>172</v>
      </c>
      <c r="O8" s="34" t="s">
        <v>173</v>
      </c>
      <c r="P8" s="34" t="s">
        <v>167</v>
      </c>
      <c r="Q8" s="34" t="s">
        <v>174</v>
      </c>
    </row>
    <row r="9" spans="1:17" x14ac:dyDescent="0.3">
      <c r="A9" s="34" t="s">
        <v>175</v>
      </c>
      <c r="B9" s="34">
        <v>611</v>
      </c>
      <c r="C9" s="36" t="s">
        <v>176</v>
      </c>
      <c r="D9" s="34" t="s">
        <v>177</v>
      </c>
      <c r="E9" s="34" t="s">
        <v>178</v>
      </c>
      <c r="F9" s="36" t="s">
        <v>179</v>
      </c>
      <c r="G9" s="34" t="s">
        <v>180</v>
      </c>
      <c r="H9" s="36" t="s">
        <v>167</v>
      </c>
      <c r="I9" s="34" t="s">
        <v>181</v>
      </c>
      <c r="J9" s="34" t="s">
        <v>182</v>
      </c>
      <c r="K9" s="34" t="e">
        <v>#DIV/0!</v>
      </c>
      <c r="L9" s="34" t="s">
        <v>183</v>
      </c>
      <c r="M9" s="34" t="s">
        <v>184</v>
      </c>
      <c r="N9" s="34" t="s">
        <v>184</v>
      </c>
      <c r="O9" s="34" t="s">
        <v>179</v>
      </c>
      <c r="P9" s="34" t="s">
        <v>185</v>
      </c>
      <c r="Q9" s="34" t="s">
        <v>179</v>
      </c>
    </row>
    <row r="10" spans="1:17" x14ac:dyDescent="0.3">
      <c r="A10" s="34" t="s">
        <v>186</v>
      </c>
      <c r="B10" s="34">
        <v>21</v>
      </c>
      <c r="C10" s="36" t="s">
        <v>187</v>
      </c>
      <c r="D10" s="34" t="s">
        <v>188</v>
      </c>
      <c r="E10" s="34" t="s">
        <v>189</v>
      </c>
      <c r="F10" s="36" t="s">
        <v>92</v>
      </c>
      <c r="G10" s="34" t="s">
        <v>190</v>
      </c>
      <c r="H10" s="36" t="s">
        <v>161</v>
      </c>
      <c r="I10" s="34" t="s">
        <v>191</v>
      </c>
      <c r="J10" s="34" t="s">
        <v>192</v>
      </c>
      <c r="K10" s="34" t="s">
        <v>193</v>
      </c>
      <c r="L10" s="34" t="s">
        <v>194</v>
      </c>
      <c r="M10" s="34" t="s">
        <v>135</v>
      </c>
      <c r="N10" s="34" t="s">
        <v>134</v>
      </c>
      <c r="O10" s="34" t="s">
        <v>195</v>
      </c>
      <c r="P10" s="34" t="s">
        <v>196</v>
      </c>
      <c r="Q10" s="34" t="s">
        <v>161</v>
      </c>
    </row>
    <row r="11" spans="1:17" x14ac:dyDescent="0.3">
      <c r="A11" s="34" t="s">
        <v>197</v>
      </c>
      <c r="B11" s="34">
        <v>34</v>
      </c>
      <c r="C11" s="36" t="s">
        <v>198</v>
      </c>
      <c r="D11" s="34" t="s">
        <v>199</v>
      </c>
      <c r="E11" s="34" t="s">
        <v>200</v>
      </c>
      <c r="F11" s="36" t="s">
        <v>201</v>
      </c>
      <c r="G11" s="34" t="s">
        <v>202</v>
      </c>
      <c r="H11" s="36" t="s">
        <v>110</v>
      </c>
      <c r="I11" s="34" t="s">
        <v>203</v>
      </c>
      <c r="J11" s="34" t="s">
        <v>204</v>
      </c>
      <c r="K11" s="34" t="s">
        <v>205</v>
      </c>
      <c r="L11" s="34" t="s">
        <v>206</v>
      </c>
      <c r="M11" s="34" t="s">
        <v>109</v>
      </c>
      <c r="N11" s="34" t="s">
        <v>93</v>
      </c>
      <c r="O11" s="34" t="s">
        <v>123</v>
      </c>
      <c r="P11" s="34" t="s">
        <v>100</v>
      </c>
      <c r="Q11" s="34" t="s">
        <v>161</v>
      </c>
    </row>
    <row r="12" spans="1:17" x14ac:dyDescent="0.3">
      <c r="A12" s="34" t="s">
        <v>207</v>
      </c>
      <c r="B12" s="34">
        <v>27</v>
      </c>
      <c r="C12" s="36" t="s">
        <v>152</v>
      </c>
      <c r="D12" s="34" t="s">
        <v>208</v>
      </c>
      <c r="E12" s="34" t="s">
        <v>209</v>
      </c>
      <c r="F12" s="36" t="s">
        <v>210</v>
      </c>
      <c r="G12" s="34" t="s">
        <v>211</v>
      </c>
      <c r="H12" s="36" t="s">
        <v>124</v>
      </c>
      <c r="I12" s="34" t="s">
        <v>212</v>
      </c>
      <c r="J12" s="34" t="s">
        <v>213</v>
      </c>
      <c r="K12" s="34" t="s">
        <v>214</v>
      </c>
      <c r="L12" s="34" t="s">
        <v>90</v>
      </c>
      <c r="M12" s="34" t="s">
        <v>215</v>
      </c>
      <c r="N12" s="34" t="s">
        <v>210</v>
      </c>
      <c r="O12" s="34" t="s">
        <v>216</v>
      </c>
      <c r="P12" s="34" t="s">
        <v>217</v>
      </c>
      <c r="Q12" s="34" t="s">
        <v>210</v>
      </c>
    </row>
    <row r="13" spans="1:17" x14ac:dyDescent="0.3">
      <c r="A13" s="34" t="s">
        <v>218</v>
      </c>
      <c r="B13" s="34">
        <v>39</v>
      </c>
      <c r="C13" s="36" t="s">
        <v>219</v>
      </c>
      <c r="D13" s="34" t="s">
        <v>220</v>
      </c>
      <c r="E13" s="34" t="s">
        <v>221</v>
      </c>
      <c r="F13" s="36" t="s">
        <v>150</v>
      </c>
      <c r="G13" s="34" t="s">
        <v>222</v>
      </c>
      <c r="H13" s="36" t="s">
        <v>176</v>
      </c>
      <c r="I13" s="34" t="s">
        <v>223</v>
      </c>
      <c r="J13" s="34" t="s">
        <v>224</v>
      </c>
      <c r="K13" s="34" t="s">
        <v>225</v>
      </c>
      <c r="L13" s="34" t="s">
        <v>172</v>
      </c>
      <c r="M13" s="34" t="s">
        <v>226</v>
      </c>
      <c r="N13" s="34" t="s">
        <v>174</v>
      </c>
      <c r="O13" s="34" t="s">
        <v>227</v>
      </c>
      <c r="P13" s="34" t="s">
        <v>226</v>
      </c>
      <c r="Q13" s="34" t="s">
        <v>150</v>
      </c>
    </row>
    <row r="14" spans="1:17" x14ac:dyDescent="0.3">
      <c r="A14" s="34" t="s">
        <v>228</v>
      </c>
      <c r="B14" s="34">
        <v>42</v>
      </c>
      <c r="C14" s="36" t="s">
        <v>97</v>
      </c>
      <c r="D14" s="34" t="s">
        <v>229</v>
      </c>
      <c r="E14" s="34" t="s">
        <v>230</v>
      </c>
      <c r="F14" s="36" t="s">
        <v>109</v>
      </c>
      <c r="G14" s="34" t="s">
        <v>231</v>
      </c>
      <c r="H14" s="36" t="s">
        <v>232</v>
      </c>
      <c r="I14" s="34" t="s">
        <v>233</v>
      </c>
      <c r="J14" s="34" t="s">
        <v>234</v>
      </c>
      <c r="K14" s="34" t="s">
        <v>235</v>
      </c>
      <c r="L14" s="34" t="s">
        <v>86</v>
      </c>
      <c r="M14" s="34" t="s">
        <v>206</v>
      </c>
      <c r="N14" s="34" t="s">
        <v>94</v>
      </c>
      <c r="O14" s="34" t="s">
        <v>109</v>
      </c>
      <c r="P14" s="34" t="s">
        <v>92</v>
      </c>
      <c r="Q14" s="34" t="s">
        <v>156</v>
      </c>
    </row>
    <row r="15" spans="1:17" x14ac:dyDescent="0.3">
      <c r="A15" s="34" t="s">
        <v>236</v>
      </c>
      <c r="B15" s="34">
        <v>165</v>
      </c>
      <c r="C15" s="36" t="s">
        <v>201</v>
      </c>
      <c r="D15" s="34" t="s">
        <v>237</v>
      </c>
      <c r="E15" s="34" t="s">
        <v>238</v>
      </c>
      <c r="F15" s="36" t="s">
        <v>94</v>
      </c>
      <c r="G15" s="34" t="s">
        <v>239</v>
      </c>
      <c r="H15" s="36" t="s">
        <v>194</v>
      </c>
      <c r="I15" s="34" t="s">
        <v>240</v>
      </c>
      <c r="J15" s="34" t="s">
        <v>241</v>
      </c>
      <c r="K15" s="34" t="s">
        <v>242</v>
      </c>
      <c r="L15" s="34" t="s">
        <v>163</v>
      </c>
      <c r="M15" s="34" t="s">
        <v>156</v>
      </c>
      <c r="N15" s="34" t="s">
        <v>120</v>
      </c>
      <c r="O15" s="34" t="s">
        <v>243</v>
      </c>
      <c r="P15" s="34" t="s">
        <v>163</v>
      </c>
      <c r="Q15" s="34" t="s">
        <v>156</v>
      </c>
    </row>
    <row r="16" spans="1:17" x14ac:dyDescent="0.3">
      <c r="A16" s="34" t="s">
        <v>244</v>
      </c>
      <c r="B16" s="34">
        <v>14</v>
      </c>
      <c r="C16" s="36" t="s">
        <v>245</v>
      </c>
      <c r="D16" s="34" t="s">
        <v>246</v>
      </c>
      <c r="E16" s="34" t="s">
        <v>247</v>
      </c>
      <c r="F16" s="36" t="s">
        <v>248</v>
      </c>
      <c r="G16" s="34" t="s">
        <v>249</v>
      </c>
      <c r="H16" s="36" t="s">
        <v>93</v>
      </c>
      <c r="I16" s="34" t="s">
        <v>250</v>
      </c>
      <c r="J16" s="34" t="s">
        <v>251</v>
      </c>
      <c r="K16" s="34" t="s">
        <v>252</v>
      </c>
      <c r="L16" s="34" t="s">
        <v>210</v>
      </c>
      <c r="M16" s="34" t="s">
        <v>194</v>
      </c>
      <c r="N16" s="34" t="s">
        <v>135</v>
      </c>
      <c r="O16" s="34" t="s">
        <v>122</v>
      </c>
      <c r="P16" s="34" t="s">
        <v>121</v>
      </c>
      <c r="Q16" s="34" t="s">
        <v>248</v>
      </c>
    </row>
    <row r="17" spans="1:17" x14ac:dyDescent="0.3">
      <c r="A17" s="34" t="s">
        <v>253</v>
      </c>
      <c r="B17" s="34">
        <v>43</v>
      </c>
      <c r="C17" s="36" t="s">
        <v>254</v>
      </c>
      <c r="D17" s="34" t="s">
        <v>255</v>
      </c>
      <c r="E17" s="34" t="s">
        <v>256</v>
      </c>
      <c r="F17" s="36" t="s">
        <v>108</v>
      </c>
      <c r="G17" s="34" t="s">
        <v>257</v>
      </c>
      <c r="H17" s="36" t="s">
        <v>109</v>
      </c>
      <c r="I17" s="34" t="s">
        <v>258</v>
      </c>
      <c r="J17" s="34" t="s">
        <v>259</v>
      </c>
      <c r="K17" s="34" t="s">
        <v>260</v>
      </c>
      <c r="L17" s="34" t="s">
        <v>215</v>
      </c>
      <c r="M17" s="34" t="s">
        <v>114</v>
      </c>
      <c r="N17" s="34" t="s">
        <v>261</v>
      </c>
      <c r="O17" s="34" t="s">
        <v>262</v>
      </c>
      <c r="P17" s="34" t="s">
        <v>195</v>
      </c>
      <c r="Q17" s="34" t="s">
        <v>194</v>
      </c>
    </row>
    <row r="18" spans="1:17" x14ac:dyDescent="0.3">
      <c r="A18" s="34" t="s">
        <v>263</v>
      </c>
      <c r="B18" s="34">
        <v>6</v>
      </c>
      <c r="C18" s="36" t="s">
        <v>264</v>
      </c>
      <c r="D18" s="34" t="s">
        <v>265</v>
      </c>
      <c r="E18" s="34" t="s">
        <v>266</v>
      </c>
      <c r="F18" s="36" t="s">
        <v>267</v>
      </c>
      <c r="G18" s="34" t="s">
        <v>268</v>
      </c>
      <c r="H18" s="36" t="s">
        <v>152</v>
      </c>
      <c r="I18" s="34" t="s">
        <v>269</v>
      </c>
      <c r="J18" s="34" t="s">
        <v>270</v>
      </c>
      <c r="K18" s="34" t="s">
        <v>271</v>
      </c>
      <c r="L18" s="34" t="s">
        <v>109</v>
      </c>
      <c r="M18" s="34" t="s">
        <v>272</v>
      </c>
      <c r="N18" s="34" t="s">
        <v>198</v>
      </c>
      <c r="O18" s="34" t="s">
        <v>273</v>
      </c>
      <c r="P18" s="34" t="s">
        <v>274</v>
      </c>
      <c r="Q18" s="34" t="s">
        <v>275</v>
      </c>
    </row>
    <row r="19" spans="1:17" x14ac:dyDescent="0.3">
      <c r="A19" s="34" t="s">
        <v>276</v>
      </c>
      <c r="B19" s="34">
        <v>94</v>
      </c>
      <c r="C19" s="36" t="s">
        <v>160</v>
      </c>
      <c r="D19" s="34" t="s">
        <v>277</v>
      </c>
      <c r="E19" s="34" t="s">
        <v>278</v>
      </c>
      <c r="F19" s="36" t="s">
        <v>108</v>
      </c>
      <c r="G19" s="34" t="s">
        <v>279</v>
      </c>
      <c r="H19" s="36" t="s">
        <v>262</v>
      </c>
      <c r="I19" s="34" t="s">
        <v>280</v>
      </c>
      <c r="J19" s="34" t="s">
        <v>281</v>
      </c>
      <c r="K19" s="34" t="s">
        <v>282</v>
      </c>
      <c r="L19" s="34" t="s">
        <v>92</v>
      </c>
      <c r="M19" s="34" t="s">
        <v>243</v>
      </c>
      <c r="N19" s="34" t="s">
        <v>206</v>
      </c>
      <c r="O19" s="34" t="s">
        <v>156</v>
      </c>
      <c r="P19" s="34" t="s">
        <v>109</v>
      </c>
      <c r="Q19" s="34" t="s">
        <v>162</v>
      </c>
    </row>
    <row r="20" spans="1:17" x14ac:dyDescent="0.3">
      <c r="A20" s="34" t="s">
        <v>283</v>
      </c>
      <c r="B20" s="34">
        <v>22</v>
      </c>
      <c r="C20" s="36" t="s">
        <v>284</v>
      </c>
      <c r="D20" s="34" t="s">
        <v>285</v>
      </c>
      <c r="E20" s="34" t="s">
        <v>286</v>
      </c>
      <c r="F20" s="36" t="s">
        <v>94</v>
      </c>
      <c r="G20" s="34" t="s">
        <v>287</v>
      </c>
      <c r="H20" s="36" t="s">
        <v>196</v>
      </c>
      <c r="I20" s="34" t="s">
        <v>288</v>
      </c>
      <c r="J20" s="34" t="s">
        <v>289</v>
      </c>
      <c r="K20" s="34" t="s">
        <v>290</v>
      </c>
      <c r="L20" s="34" t="s">
        <v>90</v>
      </c>
      <c r="M20" s="34" t="s">
        <v>179</v>
      </c>
      <c r="N20" s="34" t="s">
        <v>119</v>
      </c>
      <c r="O20" s="34" t="s">
        <v>100</v>
      </c>
      <c r="P20" s="34" t="s">
        <v>162</v>
      </c>
      <c r="Q20" s="34" t="s">
        <v>114</v>
      </c>
    </row>
    <row r="21" spans="1:17" x14ac:dyDescent="0.3">
      <c r="A21" s="34" t="s">
        <v>291</v>
      </c>
      <c r="B21" s="34">
        <v>106</v>
      </c>
      <c r="C21" s="36" t="s">
        <v>107</v>
      </c>
      <c r="D21" s="34" t="s">
        <v>292</v>
      </c>
      <c r="E21" s="34" t="s">
        <v>293</v>
      </c>
      <c r="F21" s="36" t="s">
        <v>294</v>
      </c>
      <c r="G21" s="34" t="s">
        <v>295</v>
      </c>
      <c r="H21" s="36" t="s">
        <v>156</v>
      </c>
      <c r="I21" s="34" t="s">
        <v>296</v>
      </c>
      <c r="J21" s="34" t="s">
        <v>297</v>
      </c>
      <c r="K21" s="34" t="s">
        <v>298</v>
      </c>
      <c r="L21" s="34" t="s">
        <v>109</v>
      </c>
      <c r="M21" s="34" t="s">
        <v>163</v>
      </c>
      <c r="N21" s="34" t="s">
        <v>90</v>
      </c>
      <c r="O21" s="34" t="s">
        <v>108</v>
      </c>
      <c r="P21" s="34" t="s">
        <v>196</v>
      </c>
      <c r="Q21" s="34" t="s">
        <v>262</v>
      </c>
    </row>
    <row r="22" spans="1:17" x14ac:dyDescent="0.3">
      <c r="A22" s="34" t="s">
        <v>299</v>
      </c>
      <c r="B22" s="34">
        <v>48</v>
      </c>
      <c r="C22" s="36" t="s">
        <v>300</v>
      </c>
      <c r="D22" s="34" t="s">
        <v>301</v>
      </c>
      <c r="E22" s="34" t="s">
        <v>302</v>
      </c>
      <c r="F22" s="36" t="s">
        <v>303</v>
      </c>
      <c r="G22" s="34" t="s">
        <v>304</v>
      </c>
      <c r="H22" s="36" t="s">
        <v>305</v>
      </c>
      <c r="I22" s="34" t="s">
        <v>306</v>
      </c>
      <c r="J22" s="34" t="s">
        <v>307</v>
      </c>
      <c r="K22" s="34" t="s">
        <v>308</v>
      </c>
      <c r="L22" s="34" t="s">
        <v>267</v>
      </c>
      <c r="M22" s="34" t="s">
        <v>198</v>
      </c>
      <c r="N22" s="34" t="s">
        <v>108</v>
      </c>
      <c r="O22" s="34" t="s">
        <v>86</v>
      </c>
      <c r="P22" s="34" t="s">
        <v>309</v>
      </c>
      <c r="Q22" s="34" t="s">
        <v>97</v>
      </c>
    </row>
    <row r="23" spans="1:17" x14ac:dyDescent="0.3">
      <c r="A23" s="34" t="s">
        <v>310</v>
      </c>
      <c r="B23" s="34">
        <v>44</v>
      </c>
      <c r="C23" s="36" t="s">
        <v>311</v>
      </c>
      <c r="D23" s="34" t="s">
        <v>312</v>
      </c>
      <c r="E23" s="34" t="s">
        <v>313</v>
      </c>
      <c r="F23" s="36" t="s">
        <v>196</v>
      </c>
      <c r="G23" s="34" t="s">
        <v>314</v>
      </c>
      <c r="H23" s="36" t="s">
        <v>137</v>
      </c>
      <c r="I23" s="34" t="s">
        <v>315</v>
      </c>
      <c r="J23" s="34" t="s">
        <v>316</v>
      </c>
      <c r="K23" s="34" t="s">
        <v>317</v>
      </c>
      <c r="L23" s="34" t="s">
        <v>198</v>
      </c>
      <c r="M23" s="34" t="s">
        <v>318</v>
      </c>
      <c r="N23" s="34" t="s">
        <v>232</v>
      </c>
      <c r="O23" s="34" t="s">
        <v>156</v>
      </c>
      <c r="P23" s="34" t="s">
        <v>319</v>
      </c>
      <c r="Q23" s="34" t="s">
        <v>137</v>
      </c>
    </row>
    <row r="24" spans="1:17" x14ac:dyDescent="0.3">
      <c r="A24" s="34" t="s">
        <v>320</v>
      </c>
      <c r="B24" s="34">
        <v>23</v>
      </c>
      <c r="C24" s="36" t="s">
        <v>284</v>
      </c>
      <c r="D24" s="34" t="s">
        <v>321</v>
      </c>
      <c r="E24" s="34" t="s">
        <v>322</v>
      </c>
      <c r="F24" s="36" t="s">
        <v>160</v>
      </c>
      <c r="G24" s="34" t="s">
        <v>323</v>
      </c>
      <c r="H24" s="36" t="s">
        <v>324</v>
      </c>
      <c r="I24" s="34" t="s">
        <v>325</v>
      </c>
      <c r="J24" s="34" t="s">
        <v>326</v>
      </c>
      <c r="K24" s="34" t="s">
        <v>327</v>
      </c>
      <c r="L24" s="34" t="s">
        <v>210</v>
      </c>
      <c r="M24" s="34" t="s">
        <v>91</v>
      </c>
      <c r="N24" s="34" t="s">
        <v>123</v>
      </c>
      <c r="O24" s="34" t="s">
        <v>243</v>
      </c>
      <c r="P24" s="34" t="s">
        <v>160</v>
      </c>
      <c r="Q24" s="34" t="s">
        <v>92</v>
      </c>
    </row>
    <row r="25" spans="1:17" x14ac:dyDescent="0.3">
      <c r="A25" s="34" t="s">
        <v>328</v>
      </c>
      <c r="B25" s="34">
        <v>503</v>
      </c>
      <c r="C25" s="36" t="s">
        <v>329</v>
      </c>
      <c r="D25" s="34" t="s">
        <v>222</v>
      </c>
      <c r="E25" s="34" t="s">
        <v>330</v>
      </c>
      <c r="F25" s="36" t="s">
        <v>331</v>
      </c>
      <c r="G25" s="34" t="s">
        <v>332</v>
      </c>
      <c r="H25" s="36" t="s">
        <v>333</v>
      </c>
      <c r="I25" s="34" t="s">
        <v>334</v>
      </c>
      <c r="J25" s="34" t="s">
        <v>335</v>
      </c>
      <c r="K25" s="34" t="s">
        <v>336</v>
      </c>
      <c r="L25" s="34" t="s">
        <v>106</v>
      </c>
      <c r="M25" s="34" t="s">
        <v>337</v>
      </c>
      <c r="N25" s="34" t="s">
        <v>324</v>
      </c>
      <c r="O25" s="34" t="s">
        <v>311</v>
      </c>
      <c r="P25" s="34" t="s">
        <v>329</v>
      </c>
      <c r="Q25" s="34" t="s">
        <v>338</v>
      </c>
    </row>
    <row r="26" spans="1:17" x14ac:dyDescent="0.3">
      <c r="A26" s="34" t="s">
        <v>339</v>
      </c>
      <c r="B26" s="34">
        <v>267</v>
      </c>
      <c r="C26" s="36" t="s">
        <v>311</v>
      </c>
      <c r="D26" s="34" t="s">
        <v>340</v>
      </c>
      <c r="E26" s="34" t="s">
        <v>341</v>
      </c>
      <c r="F26" s="36" t="s">
        <v>198</v>
      </c>
      <c r="G26" s="34" t="s">
        <v>342</v>
      </c>
      <c r="H26" s="36" t="s">
        <v>331</v>
      </c>
      <c r="I26" s="34" t="s">
        <v>343</v>
      </c>
      <c r="J26" s="34" t="s">
        <v>344</v>
      </c>
      <c r="K26" s="34" t="s">
        <v>345</v>
      </c>
      <c r="L26" s="34" t="s">
        <v>156</v>
      </c>
      <c r="M26" s="34" t="s">
        <v>108</v>
      </c>
      <c r="N26" s="34" t="s">
        <v>86</v>
      </c>
      <c r="O26" s="34" t="s">
        <v>187</v>
      </c>
      <c r="P26" s="34" t="s">
        <v>346</v>
      </c>
      <c r="Q26" s="34" t="s">
        <v>137</v>
      </c>
    </row>
    <row r="27" spans="1:17" x14ac:dyDescent="0.3">
      <c r="A27" s="34" t="s">
        <v>347</v>
      </c>
      <c r="B27" s="34">
        <v>35</v>
      </c>
      <c r="C27" s="36" t="s">
        <v>348</v>
      </c>
      <c r="D27" s="34" t="s">
        <v>349</v>
      </c>
      <c r="E27" s="34" t="s">
        <v>350</v>
      </c>
      <c r="F27" s="36" t="s">
        <v>338</v>
      </c>
      <c r="G27" s="34" t="s">
        <v>351</v>
      </c>
      <c r="H27" s="36" t="s">
        <v>311</v>
      </c>
      <c r="I27" s="34" t="s">
        <v>352</v>
      </c>
      <c r="J27" s="34" t="s">
        <v>353</v>
      </c>
      <c r="K27" s="34" t="s">
        <v>354</v>
      </c>
      <c r="L27" s="34" t="s">
        <v>156</v>
      </c>
      <c r="M27" s="34" t="s">
        <v>133</v>
      </c>
      <c r="N27" s="34" t="s">
        <v>196</v>
      </c>
      <c r="O27" s="34" t="s">
        <v>262</v>
      </c>
      <c r="P27" s="34" t="s">
        <v>245</v>
      </c>
      <c r="Q27" s="34" t="s">
        <v>196</v>
      </c>
    </row>
    <row r="28" spans="1:17" x14ac:dyDescent="0.3">
      <c r="A28" s="34" t="s">
        <v>355</v>
      </c>
      <c r="B28" s="34">
        <v>113</v>
      </c>
      <c r="C28" s="36" t="s">
        <v>81</v>
      </c>
      <c r="D28" s="34" t="s">
        <v>356</v>
      </c>
      <c r="E28" s="34" t="s">
        <v>357</v>
      </c>
      <c r="F28" s="36" t="s">
        <v>324</v>
      </c>
      <c r="G28" s="34" t="s">
        <v>304</v>
      </c>
      <c r="H28" s="36" t="s">
        <v>358</v>
      </c>
      <c r="I28" s="34" t="s">
        <v>359</v>
      </c>
      <c r="J28" s="34" t="s">
        <v>360</v>
      </c>
      <c r="K28" s="34" t="s">
        <v>361</v>
      </c>
      <c r="L28" s="34" t="s">
        <v>160</v>
      </c>
      <c r="M28" s="34" t="s">
        <v>362</v>
      </c>
      <c r="N28" s="34" t="s">
        <v>100</v>
      </c>
      <c r="O28" s="34" t="s">
        <v>232</v>
      </c>
      <c r="P28" s="34" t="s">
        <v>318</v>
      </c>
      <c r="Q28" s="34" t="s">
        <v>195</v>
      </c>
    </row>
    <row r="29" spans="1:17" x14ac:dyDescent="0.3">
      <c r="A29" s="34" t="s">
        <v>363</v>
      </c>
      <c r="B29" s="34">
        <v>20</v>
      </c>
      <c r="C29" s="36" t="s">
        <v>338</v>
      </c>
      <c r="D29" s="34" t="s">
        <v>364</v>
      </c>
      <c r="E29" s="34" t="s">
        <v>365</v>
      </c>
      <c r="F29" s="36" t="s">
        <v>137</v>
      </c>
      <c r="G29" s="34" t="s">
        <v>366</v>
      </c>
      <c r="H29" s="36" t="s">
        <v>324</v>
      </c>
      <c r="I29" s="34" t="s">
        <v>367</v>
      </c>
      <c r="J29" s="34" t="s">
        <v>368</v>
      </c>
      <c r="K29" s="34" t="s">
        <v>369</v>
      </c>
      <c r="L29" s="34" t="s">
        <v>346</v>
      </c>
      <c r="M29" s="34" t="s">
        <v>370</v>
      </c>
      <c r="N29" s="34" t="s">
        <v>162</v>
      </c>
      <c r="O29" s="34" t="s">
        <v>102</v>
      </c>
      <c r="P29" s="34" t="s">
        <v>198</v>
      </c>
      <c r="Q29" s="34" t="s">
        <v>318</v>
      </c>
    </row>
    <row r="30" spans="1:17" x14ac:dyDescent="0.3">
      <c r="A30" s="34" t="s">
        <v>371</v>
      </c>
      <c r="B30" s="34">
        <v>153</v>
      </c>
      <c r="C30" s="36" t="s">
        <v>319</v>
      </c>
      <c r="D30" s="34" t="s">
        <v>372</v>
      </c>
      <c r="E30" s="34" t="s">
        <v>373</v>
      </c>
      <c r="F30" s="36" t="s">
        <v>243</v>
      </c>
      <c r="G30" s="34" t="s">
        <v>374</v>
      </c>
      <c r="H30" s="36" t="s">
        <v>201</v>
      </c>
      <c r="I30" s="34" t="s">
        <v>375</v>
      </c>
      <c r="J30" s="34" t="s">
        <v>376</v>
      </c>
      <c r="K30" s="34" t="s">
        <v>377</v>
      </c>
      <c r="L30" s="34" t="s">
        <v>243</v>
      </c>
      <c r="M30" s="34" t="s">
        <v>206</v>
      </c>
      <c r="N30" s="34" t="s">
        <v>90</v>
      </c>
      <c r="O30" s="34" t="s">
        <v>92</v>
      </c>
      <c r="P30" s="34" t="s">
        <v>262</v>
      </c>
      <c r="Q30" s="34" t="s">
        <v>262</v>
      </c>
    </row>
    <row r="31" spans="1:17" x14ac:dyDescent="0.3">
      <c r="A31" s="34" t="s">
        <v>378</v>
      </c>
      <c r="B31" s="34">
        <v>54</v>
      </c>
      <c r="C31" s="36" t="s">
        <v>379</v>
      </c>
      <c r="D31" s="34" t="s">
        <v>380</v>
      </c>
      <c r="E31" s="34" t="s">
        <v>381</v>
      </c>
      <c r="F31" s="36" t="s">
        <v>97</v>
      </c>
      <c r="G31" s="34" t="s">
        <v>382</v>
      </c>
      <c r="H31" s="36" t="s">
        <v>275</v>
      </c>
      <c r="I31" s="34" t="s">
        <v>383</v>
      </c>
      <c r="J31" s="34" t="s">
        <v>384</v>
      </c>
      <c r="K31" s="34" t="s">
        <v>385</v>
      </c>
      <c r="L31" s="34" t="s">
        <v>337</v>
      </c>
      <c r="M31" s="34" t="s">
        <v>201</v>
      </c>
      <c r="N31" s="34" t="s">
        <v>243</v>
      </c>
      <c r="O31" s="34" t="s">
        <v>187</v>
      </c>
      <c r="P31" s="34" t="s">
        <v>114</v>
      </c>
      <c r="Q31" s="34" t="s">
        <v>110</v>
      </c>
    </row>
    <row r="32" spans="1:17" x14ac:dyDescent="0.3">
      <c r="A32" s="34" t="s">
        <v>386</v>
      </c>
      <c r="B32" s="34">
        <v>107</v>
      </c>
      <c r="C32" s="36" t="s">
        <v>275</v>
      </c>
      <c r="D32" s="34" t="s">
        <v>387</v>
      </c>
      <c r="E32" s="34" t="s">
        <v>388</v>
      </c>
      <c r="F32" s="36" t="s">
        <v>370</v>
      </c>
      <c r="G32" s="34" t="s">
        <v>389</v>
      </c>
      <c r="H32" s="36" t="s">
        <v>107</v>
      </c>
      <c r="I32" s="34" t="s">
        <v>390</v>
      </c>
      <c r="J32" s="34" t="s">
        <v>391</v>
      </c>
      <c r="K32" s="34" t="s">
        <v>392</v>
      </c>
      <c r="L32" s="34" t="s">
        <v>109</v>
      </c>
      <c r="M32" s="34" t="s">
        <v>206</v>
      </c>
      <c r="N32" s="34" t="s">
        <v>162</v>
      </c>
      <c r="O32" s="34" t="s">
        <v>262</v>
      </c>
      <c r="P32" s="34" t="s">
        <v>152</v>
      </c>
      <c r="Q32" s="34" t="s">
        <v>196</v>
      </c>
    </row>
    <row r="33" spans="1:17" x14ac:dyDescent="0.3">
      <c r="A33" s="34" t="s">
        <v>393</v>
      </c>
      <c r="B33" s="34">
        <v>82</v>
      </c>
      <c r="C33" s="36" t="s">
        <v>272</v>
      </c>
      <c r="D33" s="34" t="s">
        <v>394</v>
      </c>
      <c r="E33" s="34" t="s">
        <v>395</v>
      </c>
      <c r="F33" s="36" t="s">
        <v>232</v>
      </c>
      <c r="G33" s="34" t="s">
        <v>396</v>
      </c>
      <c r="H33" s="36" t="s">
        <v>196</v>
      </c>
      <c r="I33" s="34" t="s">
        <v>397</v>
      </c>
      <c r="J33" s="34" t="s">
        <v>398</v>
      </c>
      <c r="K33" s="34" t="s">
        <v>399</v>
      </c>
      <c r="L33" s="34" t="s">
        <v>108</v>
      </c>
      <c r="M33" s="34" t="s">
        <v>135</v>
      </c>
      <c r="N33" s="34" t="s">
        <v>123</v>
      </c>
      <c r="O33" s="34" t="s">
        <v>210</v>
      </c>
      <c r="P33" s="34" t="s">
        <v>262</v>
      </c>
      <c r="Q33" s="34" t="s">
        <v>120</v>
      </c>
    </row>
    <row r="34" spans="1:17" x14ac:dyDescent="0.3">
      <c r="A34" s="34" t="s">
        <v>400</v>
      </c>
      <c r="B34" s="34">
        <v>31</v>
      </c>
      <c r="C34" s="36" t="s">
        <v>194</v>
      </c>
      <c r="D34" s="34" t="s">
        <v>401</v>
      </c>
      <c r="E34" s="34" t="s">
        <v>402</v>
      </c>
      <c r="F34" s="36" t="s">
        <v>119</v>
      </c>
      <c r="G34" s="34" t="s">
        <v>403</v>
      </c>
      <c r="H34" s="36" t="s">
        <v>123</v>
      </c>
      <c r="I34" s="34" t="s">
        <v>404</v>
      </c>
      <c r="J34" s="34" t="s">
        <v>405</v>
      </c>
      <c r="K34" s="34" t="s">
        <v>406</v>
      </c>
      <c r="L34" s="34" t="s">
        <v>407</v>
      </c>
      <c r="M34" s="34" t="s">
        <v>248</v>
      </c>
      <c r="N34" s="34" t="s">
        <v>408</v>
      </c>
      <c r="O34" s="34" t="s">
        <v>169</v>
      </c>
      <c r="P34" s="34" t="s">
        <v>409</v>
      </c>
      <c r="Q34" s="34" t="s">
        <v>119</v>
      </c>
    </row>
    <row r="35" spans="1:17" x14ac:dyDescent="0.3">
      <c r="A35" s="34" t="s">
        <v>410</v>
      </c>
      <c r="B35" s="34">
        <v>232</v>
      </c>
      <c r="C35" s="36" t="s">
        <v>124</v>
      </c>
      <c r="D35" s="34" t="s">
        <v>411</v>
      </c>
      <c r="E35" s="34" t="s">
        <v>412</v>
      </c>
      <c r="F35" s="36" t="s">
        <v>413</v>
      </c>
      <c r="G35" s="34" t="s">
        <v>414</v>
      </c>
      <c r="H35" s="36" t="s">
        <v>413</v>
      </c>
      <c r="I35" s="34" t="s">
        <v>415</v>
      </c>
      <c r="J35" s="34" t="s">
        <v>416</v>
      </c>
      <c r="K35" s="34" t="s">
        <v>417</v>
      </c>
      <c r="L35" s="34" t="s">
        <v>418</v>
      </c>
      <c r="M35" s="34" t="s">
        <v>418</v>
      </c>
      <c r="N35" s="34" t="s">
        <v>419</v>
      </c>
      <c r="O35" s="34" t="s">
        <v>419</v>
      </c>
      <c r="P35" s="34" t="s">
        <v>420</v>
      </c>
      <c r="Q35" s="34" t="s">
        <v>419</v>
      </c>
    </row>
    <row r="36" spans="1:17" x14ac:dyDescent="0.3">
      <c r="A36" s="34" t="s">
        <v>421</v>
      </c>
      <c r="B36" s="34">
        <v>88</v>
      </c>
      <c r="C36" s="36" t="s">
        <v>84</v>
      </c>
      <c r="D36" s="34" t="s">
        <v>422</v>
      </c>
      <c r="E36" s="34" t="s">
        <v>423</v>
      </c>
      <c r="F36" s="36" t="s">
        <v>261</v>
      </c>
      <c r="G36" s="34" t="s">
        <v>424</v>
      </c>
      <c r="H36" s="36" t="s">
        <v>210</v>
      </c>
      <c r="I36" s="34" t="s">
        <v>425</v>
      </c>
      <c r="J36" s="34" t="s">
        <v>426</v>
      </c>
      <c r="K36" s="34" t="s">
        <v>427</v>
      </c>
      <c r="L36" s="34" t="s">
        <v>135</v>
      </c>
      <c r="M36" s="34" t="s">
        <v>91</v>
      </c>
      <c r="N36" s="34" t="s">
        <v>123</v>
      </c>
      <c r="O36" s="34" t="s">
        <v>169</v>
      </c>
      <c r="P36" s="34" t="s">
        <v>119</v>
      </c>
      <c r="Q36" s="34" t="s">
        <v>261</v>
      </c>
    </row>
    <row r="37" spans="1:17" x14ac:dyDescent="0.3">
      <c r="A37" s="34" t="s">
        <v>428</v>
      </c>
      <c r="B37" s="34">
        <v>17</v>
      </c>
      <c r="C37" s="36" t="s">
        <v>94</v>
      </c>
      <c r="D37" s="34" t="s">
        <v>429</v>
      </c>
      <c r="E37" s="34" t="s">
        <v>430</v>
      </c>
      <c r="F37" s="36" t="s">
        <v>216</v>
      </c>
      <c r="G37" s="34" t="s">
        <v>431</v>
      </c>
      <c r="H37" s="36" t="s">
        <v>432</v>
      </c>
      <c r="I37" s="34" t="s">
        <v>433</v>
      </c>
      <c r="J37" s="34" t="s">
        <v>434</v>
      </c>
      <c r="K37" s="34" t="s">
        <v>435</v>
      </c>
      <c r="L37" s="34" t="s">
        <v>436</v>
      </c>
      <c r="M37" s="34" t="s">
        <v>119</v>
      </c>
      <c r="N37" s="34" t="s">
        <v>86</v>
      </c>
      <c r="O37" s="34" t="s">
        <v>437</v>
      </c>
      <c r="P37" s="34" t="s">
        <v>97</v>
      </c>
      <c r="Q37" s="34" t="s">
        <v>232</v>
      </c>
    </row>
    <row r="38" spans="1:17" x14ac:dyDescent="0.3">
      <c r="A38" s="34" t="s">
        <v>438</v>
      </c>
      <c r="B38" s="34">
        <v>35</v>
      </c>
      <c r="C38" s="36" t="s">
        <v>102</v>
      </c>
      <c r="D38" s="34" t="s">
        <v>439</v>
      </c>
      <c r="E38" s="34" t="s">
        <v>440</v>
      </c>
      <c r="F38" s="36" t="s">
        <v>441</v>
      </c>
      <c r="G38" s="34" t="s">
        <v>442</v>
      </c>
      <c r="H38" s="36" t="s">
        <v>135</v>
      </c>
      <c r="I38" s="34" t="s">
        <v>443</v>
      </c>
      <c r="J38" s="34" t="s">
        <v>444</v>
      </c>
      <c r="K38" s="34" t="s">
        <v>445</v>
      </c>
      <c r="L38" s="34" t="s">
        <v>161</v>
      </c>
      <c r="M38" s="34" t="s">
        <v>163</v>
      </c>
      <c r="N38" s="34" t="s">
        <v>446</v>
      </c>
      <c r="O38" s="34" t="s">
        <v>122</v>
      </c>
      <c r="P38" s="34" t="s">
        <v>122</v>
      </c>
      <c r="Q38" s="34" t="s">
        <v>128</v>
      </c>
    </row>
    <row r="39" spans="1:17" x14ac:dyDescent="0.3">
      <c r="A39" s="34" t="s">
        <v>447</v>
      </c>
      <c r="B39" s="34">
        <v>22</v>
      </c>
      <c r="C39" s="36" t="s">
        <v>201</v>
      </c>
      <c r="D39" s="34" t="s">
        <v>448</v>
      </c>
      <c r="E39" s="34" t="s">
        <v>449</v>
      </c>
      <c r="F39" s="36" t="s">
        <v>407</v>
      </c>
      <c r="G39" s="34" t="s">
        <v>450</v>
      </c>
      <c r="H39" s="36" t="s">
        <v>146</v>
      </c>
      <c r="I39" s="34" t="s">
        <v>451</v>
      </c>
      <c r="J39" s="34" t="s">
        <v>452</v>
      </c>
      <c r="K39" s="34" t="s">
        <v>453</v>
      </c>
      <c r="L39" s="34" t="s">
        <v>261</v>
      </c>
      <c r="M39" s="34" t="s">
        <v>95</v>
      </c>
      <c r="N39" s="34" t="s">
        <v>147</v>
      </c>
      <c r="O39" s="34" t="s">
        <v>454</v>
      </c>
      <c r="P39" s="34" t="s">
        <v>128</v>
      </c>
      <c r="Q39" s="34" t="s">
        <v>261</v>
      </c>
    </row>
    <row r="40" spans="1:17" x14ac:dyDescent="0.3">
      <c r="A40" s="34" t="s">
        <v>455</v>
      </c>
      <c r="B40" s="34">
        <v>242</v>
      </c>
      <c r="C40" s="36" t="s">
        <v>100</v>
      </c>
      <c r="D40" s="34" t="s">
        <v>456</v>
      </c>
      <c r="E40" s="34" t="s">
        <v>457</v>
      </c>
      <c r="F40" s="36" t="s">
        <v>156</v>
      </c>
      <c r="G40" s="34" t="s">
        <v>458</v>
      </c>
      <c r="H40" s="36" t="s">
        <v>206</v>
      </c>
      <c r="I40" s="34" t="s">
        <v>459</v>
      </c>
      <c r="J40" s="34" t="s">
        <v>460</v>
      </c>
      <c r="K40" s="34" t="s">
        <v>461</v>
      </c>
      <c r="L40" s="34" t="s">
        <v>294</v>
      </c>
      <c r="M40" s="34" t="s">
        <v>161</v>
      </c>
      <c r="N40" s="34" t="s">
        <v>161</v>
      </c>
      <c r="O40" s="34" t="s">
        <v>194</v>
      </c>
      <c r="P40" s="34" t="s">
        <v>100</v>
      </c>
      <c r="Q40" s="34" t="s">
        <v>108</v>
      </c>
    </row>
    <row r="41" spans="1:17" x14ac:dyDescent="0.3">
      <c r="A41" s="34" t="s">
        <v>462</v>
      </c>
      <c r="B41" s="34">
        <v>128</v>
      </c>
      <c r="C41" s="36" t="s">
        <v>267</v>
      </c>
      <c r="D41" s="34" t="s">
        <v>463</v>
      </c>
      <c r="E41" s="34" t="s">
        <v>464</v>
      </c>
      <c r="F41" s="36" t="s">
        <v>294</v>
      </c>
      <c r="G41" s="34" t="s">
        <v>465</v>
      </c>
      <c r="H41" s="36" t="s">
        <v>156</v>
      </c>
      <c r="I41" s="34" t="s">
        <v>466</v>
      </c>
      <c r="J41" s="34" t="s">
        <v>467</v>
      </c>
      <c r="K41" s="34" t="s">
        <v>468</v>
      </c>
      <c r="L41" s="34" t="s">
        <v>92</v>
      </c>
      <c r="M41" s="34" t="s">
        <v>194</v>
      </c>
      <c r="N41" s="34" t="s">
        <v>135</v>
      </c>
      <c r="O41" s="34" t="s">
        <v>135</v>
      </c>
      <c r="P41" s="34" t="s">
        <v>362</v>
      </c>
      <c r="Q41" s="34" t="s">
        <v>294</v>
      </c>
    </row>
    <row r="42" spans="1:17" x14ac:dyDescent="0.3">
      <c r="A42" s="34" t="s">
        <v>469</v>
      </c>
      <c r="B42" s="34">
        <v>129</v>
      </c>
      <c r="C42" s="36" t="s">
        <v>470</v>
      </c>
      <c r="D42" s="34" t="s">
        <v>471</v>
      </c>
      <c r="E42" s="34" t="s">
        <v>472</v>
      </c>
      <c r="F42" s="36" t="s">
        <v>195</v>
      </c>
      <c r="G42" s="34" t="s">
        <v>473</v>
      </c>
      <c r="H42" s="36" t="s">
        <v>319</v>
      </c>
      <c r="I42" s="34" t="s">
        <v>474</v>
      </c>
      <c r="J42" s="34" t="s">
        <v>475</v>
      </c>
      <c r="K42" s="34" t="s">
        <v>476</v>
      </c>
      <c r="L42" s="34" t="s">
        <v>95</v>
      </c>
      <c r="M42" s="34" t="s">
        <v>109</v>
      </c>
      <c r="N42" s="34" t="s">
        <v>90</v>
      </c>
      <c r="O42" s="34" t="s">
        <v>84</v>
      </c>
      <c r="P42" s="34" t="s">
        <v>318</v>
      </c>
      <c r="Q42" s="34" t="s">
        <v>206</v>
      </c>
    </row>
    <row r="43" spans="1:17" x14ac:dyDescent="0.3">
      <c r="A43" s="34" t="s">
        <v>477</v>
      </c>
      <c r="B43" s="34">
        <v>32</v>
      </c>
      <c r="C43" s="36" t="s">
        <v>90</v>
      </c>
      <c r="D43" s="34" t="s">
        <v>478</v>
      </c>
      <c r="E43" s="34" t="s">
        <v>479</v>
      </c>
      <c r="F43" s="36" t="s">
        <v>408</v>
      </c>
      <c r="G43" s="34" t="s">
        <v>480</v>
      </c>
      <c r="H43" s="36" t="s">
        <v>432</v>
      </c>
      <c r="I43" s="34" t="s">
        <v>481</v>
      </c>
      <c r="J43" s="34" t="s">
        <v>482</v>
      </c>
      <c r="K43" s="34" t="s">
        <v>483</v>
      </c>
      <c r="L43" s="34" t="s">
        <v>161</v>
      </c>
      <c r="M43" s="34" t="s">
        <v>114</v>
      </c>
      <c r="N43" s="34" t="s">
        <v>248</v>
      </c>
      <c r="O43" s="34" t="s">
        <v>194</v>
      </c>
      <c r="P43" s="34" t="s">
        <v>454</v>
      </c>
      <c r="Q43" s="34" t="s">
        <v>128</v>
      </c>
    </row>
    <row r="44" spans="1:17" x14ac:dyDescent="0.3">
      <c r="A44" s="34" t="s">
        <v>484</v>
      </c>
      <c r="B44" s="34">
        <v>36</v>
      </c>
      <c r="C44" s="36" t="s">
        <v>198</v>
      </c>
      <c r="D44" s="34" t="s">
        <v>485</v>
      </c>
      <c r="E44" s="34" t="s">
        <v>486</v>
      </c>
      <c r="F44" s="36" t="s">
        <v>408</v>
      </c>
      <c r="G44" s="34" t="s">
        <v>487</v>
      </c>
      <c r="H44" s="36" t="s">
        <v>123</v>
      </c>
      <c r="I44" s="34" t="s">
        <v>488</v>
      </c>
      <c r="J44" s="34" t="s">
        <v>489</v>
      </c>
      <c r="K44" s="34" t="s">
        <v>490</v>
      </c>
      <c r="L44" s="34" t="s">
        <v>146</v>
      </c>
      <c r="M44" s="34" t="s">
        <v>491</v>
      </c>
      <c r="N44" s="34" t="s">
        <v>492</v>
      </c>
      <c r="O44" s="34" t="s">
        <v>217</v>
      </c>
      <c r="P44" s="34" t="s">
        <v>493</v>
      </c>
      <c r="Q44" s="34" t="s">
        <v>142</v>
      </c>
    </row>
    <row r="45" spans="1:17" x14ac:dyDescent="0.3">
      <c r="A45" s="34" t="s">
        <v>494</v>
      </c>
      <c r="B45" s="34">
        <v>65</v>
      </c>
      <c r="C45" s="36" t="s">
        <v>436</v>
      </c>
      <c r="D45" s="34" t="s">
        <v>495</v>
      </c>
      <c r="E45" s="34" t="s">
        <v>496</v>
      </c>
      <c r="F45" s="36" t="s">
        <v>194</v>
      </c>
      <c r="G45" s="34" t="s">
        <v>497</v>
      </c>
      <c r="H45" s="36" t="s">
        <v>92</v>
      </c>
      <c r="I45" s="34" t="s">
        <v>498</v>
      </c>
      <c r="J45" s="34" t="s">
        <v>499</v>
      </c>
      <c r="K45" s="34" t="s">
        <v>500</v>
      </c>
      <c r="L45" s="34" t="s">
        <v>90</v>
      </c>
      <c r="M45" s="34" t="s">
        <v>261</v>
      </c>
      <c r="N45" s="34" t="s">
        <v>122</v>
      </c>
      <c r="O45" s="34" t="s">
        <v>91</v>
      </c>
      <c r="P45" s="34" t="s">
        <v>134</v>
      </c>
      <c r="Q45" s="34" t="s">
        <v>121</v>
      </c>
    </row>
    <row r="46" spans="1:17" x14ac:dyDescent="0.3">
      <c r="A46" s="34" t="s">
        <v>501</v>
      </c>
      <c r="B46" s="34">
        <v>127</v>
      </c>
      <c r="C46" s="36" t="s">
        <v>362</v>
      </c>
      <c r="D46" s="34" t="s">
        <v>502</v>
      </c>
      <c r="E46" s="34" t="s">
        <v>139</v>
      </c>
      <c r="F46" s="36" t="s">
        <v>92</v>
      </c>
      <c r="G46" s="34" t="s">
        <v>503</v>
      </c>
      <c r="H46" s="36" t="s">
        <v>108</v>
      </c>
      <c r="I46" s="34" t="s">
        <v>504</v>
      </c>
      <c r="J46" s="34" t="s">
        <v>505</v>
      </c>
      <c r="K46" s="34" t="s">
        <v>506</v>
      </c>
      <c r="L46" s="34" t="s">
        <v>92</v>
      </c>
      <c r="M46" s="34" t="s">
        <v>92</v>
      </c>
      <c r="N46" s="34" t="s">
        <v>446</v>
      </c>
      <c r="O46" s="34" t="s">
        <v>84</v>
      </c>
      <c r="P46" s="34" t="s">
        <v>163</v>
      </c>
      <c r="Q46" s="34" t="s">
        <v>194</v>
      </c>
    </row>
    <row r="47" spans="1:17" x14ac:dyDescent="0.3">
      <c r="A47" s="34" t="s">
        <v>507</v>
      </c>
      <c r="B47" s="34">
        <v>69</v>
      </c>
      <c r="C47" s="36" t="s">
        <v>110</v>
      </c>
      <c r="D47" s="34" t="s">
        <v>266</v>
      </c>
      <c r="E47" s="34" t="s">
        <v>508</v>
      </c>
      <c r="F47" s="36" t="s">
        <v>163</v>
      </c>
      <c r="G47" s="34" t="s">
        <v>473</v>
      </c>
      <c r="H47" s="36" t="s">
        <v>362</v>
      </c>
      <c r="I47" s="34" t="s">
        <v>509</v>
      </c>
      <c r="J47" s="34" t="s">
        <v>510</v>
      </c>
      <c r="K47" s="34" t="s">
        <v>511</v>
      </c>
      <c r="L47" s="34" t="s">
        <v>100</v>
      </c>
      <c r="M47" s="34" t="s">
        <v>161</v>
      </c>
      <c r="N47" s="34" t="s">
        <v>94</v>
      </c>
      <c r="O47" s="34" t="s">
        <v>135</v>
      </c>
      <c r="P47" s="34" t="s">
        <v>196</v>
      </c>
      <c r="Q47" s="34" t="s">
        <v>262</v>
      </c>
    </row>
    <row r="48" spans="1:17" x14ac:dyDescent="0.3">
      <c r="A48" s="34" t="s">
        <v>512</v>
      </c>
      <c r="B48" s="34">
        <v>19</v>
      </c>
      <c r="C48" s="36" t="s">
        <v>91</v>
      </c>
      <c r="D48" s="34" t="s">
        <v>513</v>
      </c>
      <c r="E48" s="34" t="s">
        <v>514</v>
      </c>
      <c r="F48" s="36" t="s">
        <v>176</v>
      </c>
      <c r="G48" s="34" t="s">
        <v>515</v>
      </c>
      <c r="H48" s="36" t="s">
        <v>146</v>
      </c>
      <c r="I48" s="34" t="s">
        <v>516</v>
      </c>
      <c r="J48" s="34" t="s">
        <v>517</v>
      </c>
      <c r="K48" s="34" t="s">
        <v>518</v>
      </c>
      <c r="L48" s="34" t="s">
        <v>128</v>
      </c>
      <c r="M48" s="34" t="s">
        <v>135</v>
      </c>
      <c r="N48" s="34" t="s">
        <v>134</v>
      </c>
      <c r="O48" s="34" t="s">
        <v>123</v>
      </c>
      <c r="P48" s="34" t="s">
        <v>122</v>
      </c>
      <c r="Q48" s="34" t="s">
        <v>134</v>
      </c>
    </row>
    <row r="49" spans="1:17" x14ac:dyDescent="0.3">
      <c r="A49" s="34" t="s">
        <v>519</v>
      </c>
      <c r="B49" s="34">
        <v>24</v>
      </c>
      <c r="C49" s="36" t="s">
        <v>102</v>
      </c>
      <c r="D49" s="34" t="s">
        <v>520</v>
      </c>
      <c r="E49" s="34" t="s">
        <v>521</v>
      </c>
      <c r="F49" s="36" t="s">
        <v>408</v>
      </c>
      <c r="G49" s="34" t="s">
        <v>522</v>
      </c>
      <c r="H49" s="36" t="s">
        <v>124</v>
      </c>
      <c r="I49" s="34" t="s">
        <v>523</v>
      </c>
      <c r="J49" s="34" t="s">
        <v>524</v>
      </c>
      <c r="K49" s="34" t="s">
        <v>525</v>
      </c>
      <c r="L49" s="34" t="s">
        <v>215</v>
      </c>
      <c r="M49" s="34" t="s">
        <v>92</v>
      </c>
      <c r="N49" s="34" t="s">
        <v>128</v>
      </c>
      <c r="O49" s="34" t="s">
        <v>114</v>
      </c>
      <c r="P49" s="34" t="s">
        <v>210</v>
      </c>
      <c r="Q49" s="34" t="s">
        <v>93</v>
      </c>
    </row>
    <row r="50" spans="1:17" x14ac:dyDescent="0.3">
      <c r="A50" s="34" t="s">
        <v>526</v>
      </c>
      <c r="B50" s="34">
        <v>51</v>
      </c>
      <c r="C50" s="36" t="s">
        <v>261</v>
      </c>
      <c r="D50" s="34" t="s">
        <v>527</v>
      </c>
      <c r="E50" s="34" t="s">
        <v>528</v>
      </c>
      <c r="F50" s="36" t="s">
        <v>176</v>
      </c>
      <c r="G50" s="34" t="s">
        <v>529</v>
      </c>
      <c r="H50" s="36" t="s">
        <v>146</v>
      </c>
      <c r="I50" s="34" t="s">
        <v>530</v>
      </c>
      <c r="J50" s="34" t="s">
        <v>531</v>
      </c>
      <c r="K50" s="34" t="s">
        <v>532</v>
      </c>
      <c r="L50" s="34" t="s">
        <v>446</v>
      </c>
      <c r="M50" s="34" t="s">
        <v>215</v>
      </c>
      <c r="N50" s="34" t="s">
        <v>210</v>
      </c>
      <c r="O50" s="34" t="s">
        <v>124</v>
      </c>
      <c r="P50" s="34" t="s">
        <v>216</v>
      </c>
      <c r="Q50" s="34" t="s">
        <v>446</v>
      </c>
    </row>
    <row r="51" spans="1:17" x14ac:dyDescent="0.3">
      <c r="A51" s="34" t="s">
        <v>533</v>
      </c>
      <c r="B51" s="34">
        <v>192</v>
      </c>
      <c r="C51" s="36" t="s">
        <v>362</v>
      </c>
      <c r="D51" s="34" t="s">
        <v>534</v>
      </c>
      <c r="E51" s="34" t="s">
        <v>535</v>
      </c>
      <c r="F51" s="36" t="s">
        <v>124</v>
      </c>
      <c r="G51" s="34" t="s">
        <v>536</v>
      </c>
      <c r="H51" s="36" t="s">
        <v>133</v>
      </c>
      <c r="I51" s="34" t="s">
        <v>537</v>
      </c>
      <c r="J51" s="34" t="s">
        <v>538</v>
      </c>
      <c r="K51" s="34" t="s">
        <v>539</v>
      </c>
      <c r="L51" s="34" t="s">
        <v>124</v>
      </c>
      <c r="M51" s="34" t="s">
        <v>114</v>
      </c>
      <c r="N51" s="34" t="s">
        <v>261</v>
      </c>
      <c r="O51" s="34" t="s">
        <v>94</v>
      </c>
      <c r="P51" s="34" t="s">
        <v>94</v>
      </c>
      <c r="Q51" s="34" t="s">
        <v>128</v>
      </c>
    </row>
    <row r="52" spans="1:17" x14ac:dyDescent="0.3">
      <c r="A52" s="34" t="s">
        <v>540</v>
      </c>
      <c r="B52" s="34">
        <v>120</v>
      </c>
      <c r="C52" s="36" t="s">
        <v>324</v>
      </c>
      <c r="D52" s="34" t="s">
        <v>532</v>
      </c>
      <c r="E52" s="34" t="s">
        <v>541</v>
      </c>
      <c r="F52" s="36" t="s">
        <v>106</v>
      </c>
      <c r="G52" s="34" t="s">
        <v>542</v>
      </c>
      <c r="H52" s="36" t="s">
        <v>137</v>
      </c>
      <c r="I52" s="34" t="s">
        <v>543</v>
      </c>
      <c r="J52" s="34" t="s">
        <v>544</v>
      </c>
      <c r="K52" s="34" t="s">
        <v>545</v>
      </c>
      <c r="L52" s="34" t="s">
        <v>245</v>
      </c>
      <c r="M52" s="34" t="s">
        <v>97</v>
      </c>
      <c r="N52" s="34" t="s">
        <v>86</v>
      </c>
      <c r="O52" s="34" t="s">
        <v>100</v>
      </c>
      <c r="P52" s="34" t="s">
        <v>243</v>
      </c>
      <c r="Q52" s="34" t="s">
        <v>201</v>
      </c>
    </row>
    <row r="53" spans="1:17" x14ac:dyDescent="0.3">
      <c r="A53" s="34" t="s">
        <v>546</v>
      </c>
      <c r="B53" s="34">
        <v>92</v>
      </c>
      <c r="C53" s="36" t="s">
        <v>358</v>
      </c>
      <c r="D53" s="34" t="s">
        <v>547</v>
      </c>
      <c r="E53" s="34" t="s">
        <v>548</v>
      </c>
      <c r="F53" s="36" t="s">
        <v>232</v>
      </c>
      <c r="G53" s="34" t="s">
        <v>549</v>
      </c>
      <c r="H53" s="36" t="s">
        <v>110</v>
      </c>
      <c r="I53" s="34" t="s">
        <v>550</v>
      </c>
      <c r="J53" s="34" t="s">
        <v>551</v>
      </c>
      <c r="K53" s="34" t="s">
        <v>552</v>
      </c>
      <c r="L53" s="34" t="s">
        <v>92</v>
      </c>
      <c r="M53" s="34" t="s">
        <v>94</v>
      </c>
      <c r="N53" s="34" t="s">
        <v>194</v>
      </c>
      <c r="O53" s="34" t="s">
        <v>262</v>
      </c>
      <c r="P53" s="34" t="s">
        <v>245</v>
      </c>
      <c r="Q53" s="34" t="s">
        <v>162</v>
      </c>
    </row>
    <row r="54" spans="1:17" x14ac:dyDescent="0.3">
      <c r="A54" s="34" t="s">
        <v>553</v>
      </c>
      <c r="B54" s="34">
        <v>22</v>
      </c>
      <c r="C54" s="36" t="s">
        <v>554</v>
      </c>
      <c r="D54" s="34" t="s">
        <v>555</v>
      </c>
      <c r="E54" s="34" t="s">
        <v>556</v>
      </c>
      <c r="F54" s="36" t="s">
        <v>267</v>
      </c>
      <c r="G54" s="34" t="s">
        <v>557</v>
      </c>
      <c r="H54" s="36" t="s">
        <v>470</v>
      </c>
      <c r="I54" s="34" t="s">
        <v>558</v>
      </c>
      <c r="J54" s="34" t="s">
        <v>188</v>
      </c>
      <c r="K54" s="34" t="s">
        <v>559</v>
      </c>
      <c r="L54" s="34" t="s">
        <v>163</v>
      </c>
      <c r="M54" s="34" t="s">
        <v>331</v>
      </c>
      <c r="N54" s="34" t="s">
        <v>110</v>
      </c>
      <c r="O54" s="34" t="s">
        <v>137</v>
      </c>
      <c r="P54" s="34" t="s">
        <v>275</v>
      </c>
      <c r="Q54" s="34" t="s">
        <v>318</v>
      </c>
    </row>
    <row r="55" spans="1:17" x14ac:dyDescent="0.3">
      <c r="A55" s="34" t="s">
        <v>560</v>
      </c>
      <c r="B55" s="34">
        <v>4</v>
      </c>
      <c r="C55" s="36" t="s">
        <v>561</v>
      </c>
      <c r="D55" s="34" t="s">
        <v>562</v>
      </c>
      <c r="E55" s="34" t="s">
        <v>563</v>
      </c>
      <c r="F55" s="36" t="s">
        <v>102</v>
      </c>
      <c r="G55" s="34" t="s">
        <v>564</v>
      </c>
      <c r="H55" s="36" t="s">
        <v>195</v>
      </c>
      <c r="I55" s="34" t="s">
        <v>565</v>
      </c>
      <c r="J55" s="34" t="s">
        <v>566</v>
      </c>
      <c r="K55" s="34" t="s">
        <v>567</v>
      </c>
      <c r="L55" s="34" t="s">
        <v>121</v>
      </c>
      <c r="M55" s="34" t="s">
        <v>346</v>
      </c>
      <c r="N55" s="34" t="s">
        <v>156</v>
      </c>
      <c r="O55" s="34" t="s">
        <v>324</v>
      </c>
      <c r="P55" s="34" t="s">
        <v>106</v>
      </c>
      <c r="Q55" s="34" t="s">
        <v>110</v>
      </c>
    </row>
    <row r="56" spans="1:17" x14ac:dyDescent="0.3">
      <c r="A56" s="34" t="s">
        <v>568</v>
      </c>
      <c r="B56" s="34">
        <v>269</v>
      </c>
      <c r="C56" s="36" t="s">
        <v>569</v>
      </c>
      <c r="D56" s="34" t="s">
        <v>570</v>
      </c>
      <c r="E56" s="34" t="s">
        <v>571</v>
      </c>
      <c r="F56" s="36" t="s">
        <v>100</v>
      </c>
      <c r="G56" s="34" t="s">
        <v>572</v>
      </c>
      <c r="H56" s="36" t="s">
        <v>102</v>
      </c>
      <c r="I56" s="34" t="s">
        <v>573</v>
      </c>
      <c r="J56" s="34" t="s">
        <v>574</v>
      </c>
      <c r="K56" s="34" t="s">
        <v>575</v>
      </c>
      <c r="L56" s="34" t="s">
        <v>92</v>
      </c>
      <c r="M56" s="34" t="s">
        <v>156</v>
      </c>
      <c r="N56" s="34" t="s">
        <v>109</v>
      </c>
      <c r="O56" s="34" t="s">
        <v>163</v>
      </c>
      <c r="P56" s="34" t="s">
        <v>201</v>
      </c>
      <c r="Q56" s="34" t="s">
        <v>163</v>
      </c>
    </row>
    <row r="57" spans="1:17" x14ac:dyDescent="0.3">
      <c r="A57" s="34" t="s">
        <v>576</v>
      </c>
      <c r="B57" s="34">
        <v>24</v>
      </c>
      <c r="C57" s="36" t="s">
        <v>232</v>
      </c>
      <c r="D57" s="34" t="s">
        <v>577</v>
      </c>
      <c r="E57" s="34" t="s">
        <v>374</v>
      </c>
      <c r="F57" s="36" t="s">
        <v>119</v>
      </c>
      <c r="G57" s="34" t="s">
        <v>578</v>
      </c>
      <c r="H57" s="36" t="s">
        <v>408</v>
      </c>
      <c r="I57" s="34" t="s">
        <v>579</v>
      </c>
      <c r="J57" s="34" t="s">
        <v>580</v>
      </c>
      <c r="K57" s="34" t="s">
        <v>581</v>
      </c>
      <c r="L57" s="34" t="s">
        <v>122</v>
      </c>
      <c r="M57" s="34" t="s">
        <v>216</v>
      </c>
      <c r="N57" s="34" t="s">
        <v>446</v>
      </c>
      <c r="O57" s="34" t="s">
        <v>454</v>
      </c>
      <c r="P57" s="34" t="s">
        <v>408</v>
      </c>
      <c r="Q57" s="34" t="s">
        <v>432</v>
      </c>
    </row>
    <row r="58" spans="1:17" x14ac:dyDescent="0.3">
      <c r="A58" s="34" t="s">
        <v>582</v>
      </c>
      <c r="B58" s="34">
        <v>136</v>
      </c>
      <c r="C58" s="36" t="s">
        <v>583</v>
      </c>
      <c r="D58" s="34" t="s">
        <v>584</v>
      </c>
      <c r="E58" s="34" t="s">
        <v>585</v>
      </c>
      <c r="F58" s="36" t="s">
        <v>370</v>
      </c>
      <c r="G58" s="34" t="s">
        <v>585</v>
      </c>
      <c r="H58" s="36" t="s">
        <v>198</v>
      </c>
      <c r="I58" s="34" t="s">
        <v>586</v>
      </c>
      <c r="J58" s="34" t="s">
        <v>587</v>
      </c>
      <c r="K58" s="34" t="s">
        <v>588</v>
      </c>
      <c r="L58" s="34" t="s">
        <v>589</v>
      </c>
      <c r="M58" s="34" t="s">
        <v>437</v>
      </c>
      <c r="N58" s="34" t="s">
        <v>245</v>
      </c>
      <c r="O58" s="34" t="s">
        <v>106</v>
      </c>
      <c r="P58" s="34" t="s">
        <v>201</v>
      </c>
      <c r="Q58" s="34" t="s">
        <v>107</v>
      </c>
    </row>
    <row r="59" spans="1:17" x14ac:dyDescent="0.3">
      <c r="A59" s="34" t="s">
        <v>590</v>
      </c>
      <c r="B59" s="34">
        <v>24</v>
      </c>
      <c r="C59" s="36" t="s">
        <v>109</v>
      </c>
      <c r="D59" s="34" t="s">
        <v>591</v>
      </c>
      <c r="E59" s="34" t="s">
        <v>592</v>
      </c>
      <c r="F59" s="36" t="s">
        <v>432</v>
      </c>
      <c r="G59" s="34" t="s">
        <v>593</v>
      </c>
      <c r="H59" s="36" t="s">
        <v>261</v>
      </c>
      <c r="I59" s="34" t="s">
        <v>594</v>
      </c>
      <c r="J59" s="34" t="s">
        <v>595</v>
      </c>
      <c r="K59" s="34" t="s">
        <v>596</v>
      </c>
      <c r="L59" s="34" t="s">
        <v>210</v>
      </c>
      <c r="M59" s="34" t="s">
        <v>92</v>
      </c>
      <c r="N59" s="34" t="s">
        <v>597</v>
      </c>
      <c r="O59" s="34" t="s">
        <v>493</v>
      </c>
      <c r="P59" s="34" t="s">
        <v>91</v>
      </c>
      <c r="Q59" s="34" t="s">
        <v>210</v>
      </c>
    </row>
    <row r="60" spans="1:17" x14ac:dyDescent="0.3">
      <c r="A60" s="34" t="s">
        <v>598</v>
      </c>
      <c r="B60" s="34">
        <v>15</v>
      </c>
      <c r="C60" s="36" t="s">
        <v>599</v>
      </c>
      <c r="D60" s="34" t="s">
        <v>600</v>
      </c>
      <c r="E60" s="34" t="s">
        <v>601</v>
      </c>
      <c r="F60" s="36" t="s">
        <v>337</v>
      </c>
      <c r="G60" s="34" t="s">
        <v>374</v>
      </c>
      <c r="H60" s="36" t="s">
        <v>324</v>
      </c>
      <c r="I60" s="34" t="s">
        <v>602</v>
      </c>
      <c r="J60" s="34" t="s">
        <v>603</v>
      </c>
      <c r="K60" s="34" t="s">
        <v>604</v>
      </c>
      <c r="L60" s="34" t="s">
        <v>146</v>
      </c>
      <c r="M60" s="34" t="s">
        <v>194</v>
      </c>
      <c r="N60" s="34" t="s">
        <v>90</v>
      </c>
      <c r="O60" s="34" t="s">
        <v>206</v>
      </c>
      <c r="P60" s="34" t="s">
        <v>267</v>
      </c>
      <c r="Q60" s="34" t="s">
        <v>156</v>
      </c>
    </row>
    <row r="61" spans="1:17" x14ac:dyDescent="0.3">
      <c r="A61" s="34" t="s">
        <v>605</v>
      </c>
      <c r="B61" s="34">
        <v>52</v>
      </c>
      <c r="C61" s="36" t="s">
        <v>407</v>
      </c>
      <c r="D61" s="34" t="s">
        <v>606</v>
      </c>
      <c r="E61" s="34" t="s">
        <v>607</v>
      </c>
      <c r="F61" s="36" t="s">
        <v>183</v>
      </c>
      <c r="G61" s="34" t="s">
        <v>608</v>
      </c>
      <c r="H61" s="36" t="s">
        <v>148</v>
      </c>
      <c r="I61" s="34" t="s">
        <v>609</v>
      </c>
      <c r="J61" s="34" t="s">
        <v>610</v>
      </c>
      <c r="K61" s="34" t="s">
        <v>611</v>
      </c>
      <c r="L61" s="34" t="s">
        <v>142</v>
      </c>
      <c r="M61" s="34" t="s">
        <v>409</v>
      </c>
      <c r="N61" s="34" t="s">
        <v>612</v>
      </c>
      <c r="O61" s="34" t="s">
        <v>173</v>
      </c>
      <c r="P61" s="34" t="s">
        <v>613</v>
      </c>
      <c r="Q61" s="34" t="s">
        <v>185</v>
      </c>
    </row>
    <row r="62" spans="1:17" x14ac:dyDescent="0.3">
      <c r="A62" s="34" t="s">
        <v>614</v>
      </c>
      <c r="B62" s="34">
        <v>83</v>
      </c>
      <c r="C62" s="36" t="s">
        <v>81</v>
      </c>
      <c r="D62" s="34" t="s">
        <v>615</v>
      </c>
      <c r="E62" s="34" t="s">
        <v>616</v>
      </c>
      <c r="F62" s="36" t="s">
        <v>436</v>
      </c>
      <c r="G62" s="34" t="s">
        <v>617</v>
      </c>
      <c r="H62" s="36" t="s">
        <v>275</v>
      </c>
      <c r="I62" s="34" t="s">
        <v>618</v>
      </c>
      <c r="J62" s="34" t="s">
        <v>619</v>
      </c>
      <c r="K62" s="34" t="s">
        <v>620</v>
      </c>
      <c r="L62" s="34" t="s">
        <v>196</v>
      </c>
      <c r="M62" s="34" t="s">
        <v>362</v>
      </c>
      <c r="N62" s="34" t="s">
        <v>137</v>
      </c>
      <c r="O62" s="34" t="s">
        <v>156</v>
      </c>
      <c r="P62" s="34" t="s">
        <v>319</v>
      </c>
      <c r="Q62" s="34" t="s">
        <v>137</v>
      </c>
    </row>
    <row r="63" spans="1:17" x14ac:dyDescent="0.3">
      <c r="A63" s="34" t="s">
        <v>621</v>
      </c>
      <c r="B63" s="34">
        <v>31</v>
      </c>
      <c r="C63" s="36" t="s">
        <v>201</v>
      </c>
      <c r="D63" s="34" t="s">
        <v>622</v>
      </c>
      <c r="E63" s="34" t="s">
        <v>623</v>
      </c>
      <c r="F63" s="36" t="s">
        <v>134</v>
      </c>
      <c r="G63" s="34" t="s">
        <v>624</v>
      </c>
      <c r="H63" s="36" t="s">
        <v>121</v>
      </c>
      <c r="I63" s="34" t="s">
        <v>625</v>
      </c>
      <c r="J63" s="34" t="s">
        <v>626</v>
      </c>
      <c r="K63" s="34" t="s">
        <v>627</v>
      </c>
      <c r="L63" s="34" t="s">
        <v>84</v>
      </c>
      <c r="M63" s="34" t="s">
        <v>201</v>
      </c>
      <c r="N63" s="34" t="s">
        <v>262</v>
      </c>
      <c r="O63" s="34" t="s">
        <v>90</v>
      </c>
      <c r="P63" s="34" t="s">
        <v>294</v>
      </c>
      <c r="Q63" s="34" t="s">
        <v>294</v>
      </c>
    </row>
    <row r="64" spans="1:17" x14ac:dyDescent="0.3">
      <c r="A64" s="34" t="s">
        <v>628</v>
      </c>
      <c r="B64" s="34">
        <v>234</v>
      </c>
      <c r="C64" s="36" t="s">
        <v>261</v>
      </c>
      <c r="D64" s="34" t="s">
        <v>629</v>
      </c>
      <c r="E64" s="34" t="s">
        <v>630</v>
      </c>
      <c r="F64" s="36" t="s">
        <v>174</v>
      </c>
      <c r="G64" s="34" t="s">
        <v>631</v>
      </c>
      <c r="H64" s="36" t="s">
        <v>167</v>
      </c>
      <c r="I64" s="34" t="s">
        <v>632</v>
      </c>
      <c r="J64" s="34" t="s">
        <v>633</v>
      </c>
      <c r="K64" s="34" t="s">
        <v>634</v>
      </c>
      <c r="L64" s="34" t="s">
        <v>167</v>
      </c>
      <c r="M64" s="34" t="s">
        <v>172</v>
      </c>
      <c r="N64" s="34" t="s">
        <v>172</v>
      </c>
      <c r="O64" s="34" t="s">
        <v>174</v>
      </c>
      <c r="P64" s="34" t="s">
        <v>172</v>
      </c>
      <c r="Q64" s="34" t="s">
        <v>174</v>
      </c>
    </row>
    <row r="65" spans="1:17" x14ac:dyDescent="0.3">
      <c r="A65" s="34" t="s">
        <v>635</v>
      </c>
      <c r="B65" s="34">
        <v>20</v>
      </c>
      <c r="C65" s="36" t="s">
        <v>470</v>
      </c>
      <c r="D65" s="34" t="s">
        <v>636</v>
      </c>
      <c r="E65" s="34" t="s">
        <v>637</v>
      </c>
      <c r="F65" s="36" t="s">
        <v>114</v>
      </c>
      <c r="G65" s="34" t="s">
        <v>638</v>
      </c>
      <c r="H65" s="36" t="s">
        <v>194</v>
      </c>
      <c r="I65" s="34" t="s">
        <v>639</v>
      </c>
      <c r="J65" s="34" t="s">
        <v>640</v>
      </c>
      <c r="K65" s="34" t="s">
        <v>641</v>
      </c>
      <c r="L65" s="34" t="s">
        <v>135</v>
      </c>
      <c r="M65" s="34" t="s">
        <v>86</v>
      </c>
      <c r="N65" s="34" t="s">
        <v>147</v>
      </c>
      <c r="O65" s="34" t="s">
        <v>119</v>
      </c>
      <c r="P65" s="34" t="s">
        <v>94</v>
      </c>
      <c r="Q65" s="34" t="s">
        <v>248</v>
      </c>
    </row>
    <row r="66" spans="1:17" x14ac:dyDescent="0.3">
      <c r="A66" s="34" t="s">
        <v>642</v>
      </c>
      <c r="B66" s="34">
        <v>12</v>
      </c>
      <c r="C66" s="36" t="s">
        <v>643</v>
      </c>
      <c r="D66" s="34" t="s">
        <v>644</v>
      </c>
      <c r="E66" s="34" t="s">
        <v>645</v>
      </c>
      <c r="F66" s="36" t="s">
        <v>198</v>
      </c>
      <c r="G66" s="34" t="s">
        <v>646</v>
      </c>
      <c r="H66" s="36" t="s">
        <v>309</v>
      </c>
      <c r="I66" s="34" t="s">
        <v>647</v>
      </c>
      <c r="J66" s="34" t="s">
        <v>648</v>
      </c>
      <c r="K66" s="34" t="s">
        <v>649</v>
      </c>
      <c r="L66" s="34" t="s">
        <v>650</v>
      </c>
      <c r="M66" s="34" t="s">
        <v>362</v>
      </c>
      <c r="N66" s="34" t="s">
        <v>110</v>
      </c>
      <c r="O66" s="34" t="s">
        <v>124</v>
      </c>
      <c r="P66" s="34" t="s">
        <v>275</v>
      </c>
      <c r="Q66" s="34" t="s">
        <v>337</v>
      </c>
    </row>
    <row r="67" spans="1:17" x14ac:dyDescent="0.3">
      <c r="A67" s="34" t="s">
        <v>651</v>
      </c>
      <c r="B67" s="34">
        <v>57</v>
      </c>
      <c r="C67" s="36" t="s">
        <v>86</v>
      </c>
      <c r="D67" s="34" t="s">
        <v>652</v>
      </c>
      <c r="E67" s="34" t="s">
        <v>653</v>
      </c>
      <c r="F67" s="36" t="s">
        <v>216</v>
      </c>
      <c r="G67" s="34" t="s">
        <v>83</v>
      </c>
      <c r="H67" s="36" t="s">
        <v>261</v>
      </c>
      <c r="I67" s="34" t="s">
        <v>654</v>
      </c>
      <c r="J67" s="34" t="s">
        <v>336</v>
      </c>
      <c r="K67" s="34" t="s">
        <v>655</v>
      </c>
      <c r="L67" s="34" t="s">
        <v>194</v>
      </c>
      <c r="M67" s="34" t="s">
        <v>109</v>
      </c>
      <c r="N67" s="34" t="s">
        <v>408</v>
      </c>
      <c r="O67" s="34" t="s">
        <v>128</v>
      </c>
      <c r="P67" s="34" t="s">
        <v>156</v>
      </c>
      <c r="Q67" s="34" t="s">
        <v>135</v>
      </c>
    </row>
    <row r="68" spans="1:17" x14ac:dyDescent="0.3">
      <c r="A68" s="34" t="s">
        <v>656</v>
      </c>
      <c r="B68" s="34">
        <v>63</v>
      </c>
      <c r="C68" s="36" t="s">
        <v>294</v>
      </c>
      <c r="D68" s="34" t="s">
        <v>349</v>
      </c>
      <c r="E68" s="34" t="s">
        <v>657</v>
      </c>
      <c r="F68" s="36" t="s">
        <v>454</v>
      </c>
      <c r="G68" s="34" t="s">
        <v>658</v>
      </c>
      <c r="H68" s="36" t="s">
        <v>215</v>
      </c>
      <c r="I68" s="34" t="s">
        <v>659</v>
      </c>
      <c r="J68" s="34" t="s">
        <v>660</v>
      </c>
      <c r="K68" s="34" t="s">
        <v>661</v>
      </c>
      <c r="L68" s="34" t="s">
        <v>109</v>
      </c>
      <c r="M68" s="34" t="s">
        <v>215</v>
      </c>
      <c r="N68" s="34" t="s">
        <v>121</v>
      </c>
      <c r="O68" s="34" t="s">
        <v>124</v>
      </c>
      <c r="P68" s="34" t="s">
        <v>114</v>
      </c>
      <c r="Q68" s="34" t="s">
        <v>128</v>
      </c>
    </row>
    <row r="69" spans="1:17" x14ac:dyDescent="0.3">
      <c r="A69" s="34" t="s">
        <v>662</v>
      </c>
      <c r="B69" s="34">
        <v>2</v>
      </c>
      <c r="C69" s="36" t="s">
        <v>135</v>
      </c>
      <c r="D69" s="34" t="s">
        <v>663</v>
      </c>
      <c r="E69" s="34" t="s">
        <v>664</v>
      </c>
      <c r="F69" s="36" t="s">
        <v>122</v>
      </c>
      <c r="G69" s="34" t="s">
        <v>665</v>
      </c>
      <c r="H69" s="36" t="s">
        <v>248</v>
      </c>
      <c r="I69" s="34" t="s">
        <v>666</v>
      </c>
      <c r="J69" s="34" t="s">
        <v>667</v>
      </c>
      <c r="K69" s="34" t="s">
        <v>668</v>
      </c>
      <c r="L69" s="34" t="s">
        <v>195</v>
      </c>
      <c r="M69" s="34" t="s">
        <v>194</v>
      </c>
      <c r="N69" s="34" t="s">
        <v>216</v>
      </c>
      <c r="O69" s="34" t="s">
        <v>147</v>
      </c>
      <c r="P69" s="34" t="s">
        <v>84</v>
      </c>
      <c r="Q69" s="34" t="s">
        <v>128</v>
      </c>
    </row>
    <row r="70" spans="1:17" x14ac:dyDescent="0.3">
      <c r="A70" s="34" t="s">
        <v>669</v>
      </c>
      <c r="B70" s="34">
        <v>77</v>
      </c>
      <c r="C70" s="36" t="s">
        <v>162</v>
      </c>
      <c r="D70" s="34" t="s">
        <v>670</v>
      </c>
      <c r="E70" s="34" t="s">
        <v>671</v>
      </c>
      <c r="F70" s="36" t="s">
        <v>91</v>
      </c>
      <c r="G70" s="34" t="s">
        <v>672</v>
      </c>
      <c r="H70" s="36" t="s">
        <v>215</v>
      </c>
      <c r="I70" s="34" t="s">
        <v>673</v>
      </c>
      <c r="J70" s="34" t="s">
        <v>674</v>
      </c>
      <c r="K70" s="34" t="s">
        <v>675</v>
      </c>
      <c r="L70" s="34" t="s">
        <v>91</v>
      </c>
      <c r="M70" s="34" t="s">
        <v>676</v>
      </c>
      <c r="N70" s="34" t="s">
        <v>119</v>
      </c>
      <c r="O70" s="34" t="s">
        <v>210</v>
      </c>
      <c r="P70" s="34" t="s">
        <v>216</v>
      </c>
      <c r="Q70" s="34" t="s">
        <v>261</v>
      </c>
    </row>
    <row r="71" spans="1:17" x14ac:dyDescent="0.3">
      <c r="A71" s="34" t="s">
        <v>677</v>
      </c>
      <c r="B71" s="34">
        <v>26</v>
      </c>
      <c r="C71" s="36" t="s">
        <v>275</v>
      </c>
      <c r="D71" s="34" t="s">
        <v>678</v>
      </c>
      <c r="E71" s="34" t="s">
        <v>679</v>
      </c>
      <c r="F71" s="36" t="s">
        <v>133</v>
      </c>
      <c r="G71" s="34" t="s">
        <v>680</v>
      </c>
      <c r="H71" s="36" t="s">
        <v>94</v>
      </c>
      <c r="I71" s="34" t="s">
        <v>681</v>
      </c>
      <c r="J71" s="34" t="s">
        <v>603</v>
      </c>
      <c r="K71" s="34" t="s">
        <v>682</v>
      </c>
      <c r="L71" s="34" t="s">
        <v>120</v>
      </c>
      <c r="M71" s="34" t="s">
        <v>121</v>
      </c>
      <c r="N71" s="34" t="s">
        <v>123</v>
      </c>
      <c r="O71" s="34" t="s">
        <v>216</v>
      </c>
      <c r="P71" s="34" t="s">
        <v>121</v>
      </c>
      <c r="Q71" s="34" t="s">
        <v>215</v>
      </c>
    </row>
    <row r="72" spans="1:17" x14ac:dyDescent="0.3">
      <c r="A72" s="34" t="s">
        <v>683</v>
      </c>
      <c r="B72" s="34">
        <v>17</v>
      </c>
      <c r="C72" s="36" t="s">
        <v>311</v>
      </c>
      <c r="D72" s="34" t="s">
        <v>684</v>
      </c>
      <c r="E72" s="34" t="s">
        <v>685</v>
      </c>
      <c r="F72" s="36" t="s">
        <v>160</v>
      </c>
      <c r="G72" s="34" t="s">
        <v>686</v>
      </c>
      <c r="H72" s="36" t="s">
        <v>319</v>
      </c>
      <c r="I72" s="34" t="s">
        <v>687</v>
      </c>
      <c r="J72" s="34" t="s">
        <v>688</v>
      </c>
      <c r="K72" s="34" t="s">
        <v>689</v>
      </c>
      <c r="L72" s="34" t="s">
        <v>331</v>
      </c>
      <c r="M72" s="34" t="s">
        <v>358</v>
      </c>
      <c r="N72" s="34" t="s">
        <v>195</v>
      </c>
      <c r="O72" s="34" t="s">
        <v>121</v>
      </c>
      <c r="P72" s="34" t="s">
        <v>162</v>
      </c>
      <c r="Q72" s="34" t="s">
        <v>137</v>
      </c>
    </row>
    <row r="73" spans="1:17" x14ac:dyDescent="0.3">
      <c r="A73" s="34" t="s">
        <v>690</v>
      </c>
      <c r="B73" s="34">
        <v>80</v>
      </c>
      <c r="C73" s="36" t="s">
        <v>338</v>
      </c>
      <c r="D73" s="34" t="s">
        <v>691</v>
      </c>
      <c r="E73" s="34" t="s">
        <v>692</v>
      </c>
      <c r="F73" s="36" t="s">
        <v>84</v>
      </c>
      <c r="G73" s="34" t="s">
        <v>693</v>
      </c>
      <c r="H73" s="36" t="s">
        <v>194</v>
      </c>
      <c r="I73" s="34" t="s">
        <v>694</v>
      </c>
      <c r="J73" s="34" t="s">
        <v>695</v>
      </c>
      <c r="K73" s="34" t="s">
        <v>696</v>
      </c>
      <c r="L73" s="34" t="s">
        <v>114</v>
      </c>
      <c r="M73" s="34" t="s">
        <v>90</v>
      </c>
      <c r="N73" s="34" t="s">
        <v>248</v>
      </c>
      <c r="O73" s="34" t="s">
        <v>94</v>
      </c>
      <c r="P73" s="34" t="s">
        <v>109</v>
      </c>
      <c r="Q73" s="34" t="s">
        <v>133</v>
      </c>
    </row>
    <row r="74" spans="1:17" x14ac:dyDescent="0.3">
      <c r="A74" s="34" t="s">
        <v>697</v>
      </c>
      <c r="B74" s="34">
        <v>18</v>
      </c>
      <c r="C74" s="40" t="s">
        <v>160</v>
      </c>
      <c r="D74" s="34" t="s">
        <v>698</v>
      </c>
      <c r="E74" s="34" t="s">
        <v>301</v>
      </c>
      <c r="F74" s="36" t="s">
        <v>161</v>
      </c>
      <c r="G74" s="34" t="s">
        <v>699</v>
      </c>
      <c r="H74" s="36" t="s">
        <v>156</v>
      </c>
      <c r="I74" s="34" t="s">
        <v>700</v>
      </c>
      <c r="J74" s="34" t="s">
        <v>701</v>
      </c>
      <c r="K74" s="34" t="s">
        <v>702</v>
      </c>
      <c r="L74" s="34" t="s">
        <v>120</v>
      </c>
      <c r="M74" s="34" t="s">
        <v>161</v>
      </c>
      <c r="N74" s="34" t="s">
        <v>135</v>
      </c>
      <c r="O74" s="34" t="s">
        <v>94</v>
      </c>
      <c r="P74" s="34" t="s">
        <v>215</v>
      </c>
      <c r="Q74" s="34" t="s">
        <v>133</v>
      </c>
    </row>
    <row r="75" spans="1:17" x14ac:dyDescent="0.3">
      <c r="A75" s="34" t="s">
        <v>703</v>
      </c>
      <c r="B75" s="34">
        <v>13</v>
      </c>
      <c r="C75" s="36" t="s">
        <v>146</v>
      </c>
      <c r="D75" s="34" t="s">
        <v>704</v>
      </c>
      <c r="E75" s="34" t="s">
        <v>705</v>
      </c>
      <c r="F75" s="36" t="s">
        <v>149</v>
      </c>
      <c r="G75" s="34" t="s">
        <v>706</v>
      </c>
      <c r="H75" s="36" t="s">
        <v>613</v>
      </c>
      <c r="I75" s="34" t="s">
        <v>707</v>
      </c>
      <c r="J75" s="34" t="s">
        <v>708</v>
      </c>
      <c r="K75" s="34" t="s">
        <v>709</v>
      </c>
      <c r="L75" s="34" t="s">
        <v>215</v>
      </c>
      <c r="M75" s="34" t="s">
        <v>248</v>
      </c>
      <c r="N75" s="34" t="s">
        <v>226</v>
      </c>
      <c r="O75" s="34" t="s">
        <v>491</v>
      </c>
      <c r="P75" s="34" t="s">
        <v>710</v>
      </c>
      <c r="Q75" s="34" t="s">
        <v>217</v>
      </c>
    </row>
    <row r="76" spans="1:17" x14ac:dyDescent="0.3">
      <c r="A76" s="34" t="s">
        <v>711</v>
      </c>
      <c r="B76" s="34">
        <v>70</v>
      </c>
      <c r="C76" s="36" t="s">
        <v>97</v>
      </c>
      <c r="D76" s="34" t="s">
        <v>712</v>
      </c>
      <c r="E76" s="34" t="s">
        <v>713</v>
      </c>
      <c r="F76" s="36" t="s">
        <v>195</v>
      </c>
      <c r="G76" s="34" t="s">
        <v>714</v>
      </c>
      <c r="H76" s="36" t="s">
        <v>370</v>
      </c>
      <c r="I76" s="34" t="s">
        <v>715</v>
      </c>
      <c r="J76" s="34" t="s">
        <v>716</v>
      </c>
      <c r="K76" s="34" t="s">
        <v>717</v>
      </c>
      <c r="L76" s="34" t="s">
        <v>333</v>
      </c>
      <c r="M76" s="34" t="s">
        <v>718</v>
      </c>
      <c r="N76" s="34" t="s">
        <v>267</v>
      </c>
      <c r="O76" s="34" t="s">
        <v>195</v>
      </c>
      <c r="P76" s="34" t="s">
        <v>719</v>
      </c>
      <c r="Q76" s="34" t="s">
        <v>331</v>
      </c>
    </row>
    <row r="77" spans="1:17" x14ac:dyDescent="0.3">
      <c r="A77" s="34" t="s">
        <v>720</v>
      </c>
      <c r="B77" s="34">
        <v>89</v>
      </c>
      <c r="C77" s="36" t="s">
        <v>362</v>
      </c>
      <c r="D77" s="34" t="s">
        <v>721</v>
      </c>
      <c r="E77" s="34" t="s">
        <v>266</v>
      </c>
      <c r="F77" s="36" t="s">
        <v>122</v>
      </c>
      <c r="G77" s="34" t="s">
        <v>722</v>
      </c>
      <c r="H77" s="36" t="s">
        <v>446</v>
      </c>
      <c r="I77" s="34" t="s">
        <v>723</v>
      </c>
      <c r="J77" s="34" t="s">
        <v>724</v>
      </c>
      <c r="K77" s="34" t="s">
        <v>725</v>
      </c>
      <c r="L77" s="34" t="s">
        <v>120</v>
      </c>
      <c r="M77" s="34" t="s">
        <v>114</v>
      </c>
      <c r="N77" s="34" t="s">
        <v>121</v>
      </c>
      <c r="O77" s="34" t="s">
        <v>135</v>
      </c>
      <c r="P77" s="34" t="s">
        <v>128</v>
      </c>
      <c r="Q77" s="34" t="s">
        <v>441</v>
      </c>
    </row>
    <row r="78" spans="1:17" x14ac:dyDescent="0.3">
      <c r="A78" s="34" t="s">
        <v>726</v>
      </c>
      <c r="B78" s="34">
        <v>4</v>
      </c>
      <c r="C78" s="36" t="s">
        <v>206</v>
      </c>
      <c r="D78" s="34" t="s">
        <v>727</v>
      </c>
      <c r="E78" s="34" t="s">
        <v>728</v>
      </c>
      <c r="F78" s="36" t="s">
        <v>174</v>
      </c>
      <c r="G78" s="34" t="s">
        <v>729</v>
      </c>
      <c r="H78" s="36" t="s">
        <v>492</v>
      </c>
      <c r="I78" s="34" t="s">
        <v>730</v>
      </c>
      <c r="J78" s="34" t="s">
        <v>731</v>
      </c>
      <c r="K78" s="34" t="s">
        <v>732</v>
      </c>
      <c r="L78" s="34" t="s">
        <v>216</v>
      </c>
      <c r="M78" s="34" t="s">
        <v>318</v>
      </c>
      <c r="N78" s="34" t="s">
        <v>194</v>
      </c>
      <c r="O78" s="34" t="s">
        <v>676</v>
      </c>
      <c r="P78" s="34" t="s">
        <v>733</v>
      </c>
      <c r="Q78" s="34" t="s">
        <v>122</v>
      </c>
    </row>
    <row r="79" spans="1:17" x14ac:dyDescent="0.3">
      <c r="A79" s="34" t="s">
        <v>734</v>
      </c>
      <c r="B79" s="34">
        <v>72</v>
      </c>
      <c r="C79" s="36" t="s">
        <v>331</v>
      </c>
      <c r="D79" s="34" t="s">
        <v>735</v>
      </c>
      <c r="E79" s="34" t="s">
        <v>736</v>
      </c>
      <c r="F79" s="36" t="s">
        <v>318</v>
      </c>
      <c r="G79" s="34" t="s">
        <v>737</v>
      </c>
      <c r="H79" s="36" t="s">
        <v>470</v>
      </c>
      <c r="I79" s="34" t="s">
        <v>738</v>
      </c>
      <c r="J79" s="34" t="s">
        <v>739</v>
      </c>
      <c r="K79" s="34" t="s">
        <v>740</v>
      </c>
      <c r="L79" s="34" t="s">
        <v>267</v>
      </c>
      <c r="M79" s="34" t="s">
        <v>589</v>
      </c>
      <c r="N79" s="34" t="s">
        <v>245</v>
      </c>
      <c r="O79" s="34" t="s">
        <v>370</v>
      </c>
      <c r="P79" s="34" t="s">
        <v>436</v>
      </c>
      <c r="Q79" s="34" t="s">
        <v>152</v>
      </c>
    </row>
    <row r="80" spans="1:17" x14ac:dyDescent="0.3">
      <c r="A80" s="34" t="s">
        <v>741</v>
      </c>
      <c r="B80" s="34">
        <v>39</v>
      </c>
      <c r="C80" s="36" t="s">
        <v>338</v>
      </c>
      <c r="D80" s="34" t="s">
        <v>742</v>
      </c>
      <c r="E80" s="34" t="s">
        <v>743</v>
      </c>
      <c r="F80" s="36" t="s">
        <v>267</v>
      </c>
      <c r="G80" s="34" t="s">
        <v>744</v>
      </c>
      <c r="H80" s="36" t="s">
        <v>324</v>
      </c>
      <c r="I80" s="34" t="s">
        <v>745</v>
      </c>
      <c r="J80" s="34" t="s">
        <v>746</v>
      </c>
      <c r="K80" s="34" t="s">
        <v>747</v>
      </c>
      <c r="L80" s="34" t="s">
        <v>267</v>
      </c>
      <c r="M80" s="34" t="s">
        <v>198</v>
      </c>
      <c r="N80" s="34" t="s">
        <v>137</v>
      </c>
      <c r="O80" s="34" t="s">
        <v>109</v>
      </c>
      <c r="P80" s="34" t="s">
        <v>333</v>
      </c>
      <c r="Q80" s="34" t="s">
        <v>337</v>
      </c>
    </row>
    <row r="81" spans="1:17" x14ac:dyDescent="0.3">
      <c r="A81" s="34" t="s">
        <v>748</v>
      </c>
      <c r="B81" s="34">
        <v>10</v>
      </c>
      <c r="C81" s="36" t="s">
        <v>749</v>
      </c>
      <c r="D81" s="34" t="s">
        <v>750</v>
      </c>
      <c r="E81" s="34" t="s">
        <v>702</v>
      </c>
      <c r="F81" s="36" t="s">
        <v>718</v>
      </c>
      <c r="G81" s="34" t="s">
        <v>751</v>
      </c>
      <c r="H81" s="36" t="s">
        <v>303</v>
      </c>
      <c r="I81" s="34" t="s">
        <v>752</v>
      </c>
      <c r="J81" s="34" t="s">
        <v>753</v>
      </c>
      <c r="K81" s="34" t="s">
        <v>754</v>
      </c>
      <c r="L81" s="34" t="s">
        <v>108</v>
      </c>
      <c r="M81" s="34" t="s">
        <v>95</v>
      </c>
      <c r="N81" s="34" t="s">
        <v>120</v>
      </c>
      <c r="O81" s="34" t="s">
        <v>243</v>
      </c>
      <c r="P81" s="34" t="s">
        <v>93</v>
      </c>
      <c r="Q81" s="34" t="s">
        <v>163</v>
      </c>
    </row>
    <row r="82" spans="1:17" x14ac:dyDescent="0.3">
      <c r="A82" s="34" t="s">
        <v>755</v>
      </c>
      <c r="B82" s="34">
        <v>11</v>
      </c>
      <c r="C82" s="36" t="s">
        <v>94</v>
      </c>
      <c r="D82" s="34" t="s">
        <v>756</v>
      </c>
      <c r="E82" s="34" t="s">
        <v>757</v>
      </c>
      <c r="F82" s="36" t="s">
        <v>114</v>
      </c>
      <c r="G82" s="34" t="s">
        <v>758</v>
      </c>
      <c r="H82" s="36" t="s">
        <v>90</v>
      </c>
      <c r="I82" s="34" t="s">
        <v>759</v>
      </c>
      <c r="J82" s="34" t="s">
        <v>760</v>
      </c>
      <c r="K82" s="34" t="s">
        <v>761</v>
      </c>
      <c r="L82" s="34" t="s">
        <v>135</v>
      </c>
      <c r="M82" s="34" t="s">
        <v>114</v>
      </c>
      <c r="N82" s="34" t="s">
        <v>90</v>
      </c>
      <c r="O82" s="34" t="s">
        <v>133</v>
      </c>
      <c r="P82" s="34" t="s">
        <v>91</v>
      </c>
      <c r="Q82" s="34" t="s">
        <v>135</v>
      </c>
    </row>
    <row r="83" spans="1:17" x14ac:dyDescent="0.3">
      <c r="A83" s="34" t="s">
        <v>762</v>
      </c>
      <c r="B83" s="34">
        <v>86</v>
      </c>
      <c r="C83" s="36" t="s">
        <v>331</v>
      </c>
      <c r="D83" s="34" t="s">
        <v>763</v>
      </c>
      <c r="E83" s="34" t="s">
        <v>764</v>
      </c>
      <c r="F83" s="36" t="s">
        <v>324</v>
      </c>
      <c r="G83" s="34" t="s">
        <v>764</v>
      </c>
      <c r="H83" s="36" t="s">
        <v>331</v>
      </c>
      <c r="I83" s="34" t="s">
        <v>765</v>
      </c>
      <c r="J83" s="34" t="s">
        <v>766</v>
      </c>
      <c r="K83" s="34" t="s">
        <v>767</v>
      </c>
      <c r="L83" s="34" t="s">
        <v>187</v>
      </c>
      <c r="M83" s="34" t="s">
        <v>219</v>
      </c>
      <c r="N83" s="34" t="s">
        <v>262</v>
      </c>
      <c r="O83" s="34" t="s">
        <v>92</v>
      </c>
      <c r="P83" s="34" t="s">
        <v>272</v>
      </c>
      <c r="Q83" s="34" t="s">
        <v>267</v>
      </c>
    </row>
    <row r="84" spans="1:17" x14ac:dyDescent="0.3">
      <c r="A84" s="34" t="s">
        <v>768</v>
      </c>
      <c r="B84" s="34">
        <v>30</v>
      </c>
      <c r="C84" s="36" t="s">
        <v>769</v>
      </c>
      <c r="D84" s="34" t="s">
        <v>770</v>
      </c>
      <c r="E84" s="34" t="s">
        <v>771</v>
      </c>
      <c r="F84" s="36" t="s">
        <v>772</v>
      </c>
      <c r="G84" s="34" t="s">
        <v>506</v>
      </c>
      <c r="H84" s="36" t="s">
        <v>309</v>
      </c>
      <c r="I84" s="34" t="s">
        <v>773</v>
      </c>
      <c r="J84" s="34" t="s">
        <v>774</v>
      </c>
      <c r="K84" s="34" t="s">
        <v>775</v>
      </c>
      <c r="L84" s="34" t="s">
        <v>331</v>
      </c>
      <c r="M84" s="34" t="s">
        <v>275</v>
      </c>
      <c r="N84" s="34" t="s">
        <v>195</v>
      </c>
      <c r="O84" s="34" t="s">
        <v>107</v>
      </c>
      <c r="P84" s="34" t="s">
        <v>358</v>
      </c>
      <c r="Q84" s="34" t="s">
        <v>331</v>
      </c>
    </row>
    <row r="85" spans="1:17" x14ac:dyDescent="0.3">
      <c r="A85" s="34" t="s">
        <v>776</v>
      </c>
      <c r="B85" s="34">
        <v>363</v>
      </c>
      <c r="C85" s="36" t="s">
        <v>107</v>
      </c>
      <c r="D85" s="34" t="s">
        <v>777</v>
      </c>
      <c r="E85" s="34" t="s">
        <v>778</v>
      </c>
      <c r="F85" s="36" t="s">
        <v>195</v>
      </c>
      <c r="G85" s="34" t="s">
        <v>779</v>
      </c>
      <c r="H85" s="36" t="s">
        <v>319</v>
      </c>
      <c r="I85" s="34" t="s">
        <v>780</v>
      </c>
      <c r="J85" s="34" t="s">
        <v>781</v>
      </c>
      <c r="K85" s="34" t="s">
        <v>782</v>
      </c>
      <c r="L85" s="34" t="s">
        <v>106</v>
      </c>
      <c r="M85" s="34" t="s">
        <v>324</v>
      </c>
      <c r="N85" s="34" t="s">
        <v>109</v>
      </c>
      <c r="O85" s="34" t="s">
        <v>232</v>
      </c>
      <c r="P85" s="34" t="s">
        <v>370</v>
      </c>
      <c r="Q85" s="34" t="s">
        <v>137</v>
      </c>
    </row>
    <row r="86" spans="1:17" x14ac:dyDescent="0.3">
      <c r="A86" s="34" t="s">
        <v>783</v>
      </c>
      <c r="B86" s="34">
        <v>32</v>
      </c>
      <c r="C86" s="36" t="s">
        <v>784</v>
      </c>
      <c r="D86" s="34" t="s">
        <v>785</v>
      </c>
      <c r="E86" s="34" t="s">
        <v>786</v>
      </c>
      <c r="F86" s="36" t="s">
        <v>107</v>
      </c>
      <c r="G86" s="34" t="s">
        <v>141</v>
      </c>
      <c r="H86" s="36" t="s">
        <v>331</v>
      </c>
      <c r="I86" s="34" t="s">
        <v>787</v>
      </c>
      <c r="J86" s="34" t="s">
        <v>788</v>
      </c>
      <c r="K86" s="34" t="s">
        <v>789</v>
      </c>
      <c r="L86" s="34" t="s">
        <v>294</v>
      </c>
      <c r="M86" s="34" t="s">
        <v>133</v>
      </c>
      <c r="N86" s="34" t="s">
        <v>337</v>
      </c>
      <c r="O86" s="34" t="s">
        <v>718</v>
      </c>
      <c r="P86" s="34" t="s">
        <v>331</v>
      </c>
      <c r="Q86" s="34" t="s">
        <v>318</v>
      </c>
    </row>
    <row r="87" spans="1:17" x14ac:dyDescent="0.3">
      <c r="A87" s="34" t="s">
        <v>790</v>
      </c>
      <c r="B87" s="34">
        <v>18</v>
      </c>
      <c r="C87" s="36" t="s">
        <v>160</v>
      </c>
      <c r="D87" s="34" t="s">
        <v>791</v>
      </c>
      <c r="E87" s="34" t="s">
        <v>792</v>
      </c>
      <c r="F87" s="36" t="s">
        <v>407</v>
      </c>
      <c r="G87" s="34" t="s">
        <v>506</v>
      </c>
      <c r="H87" s="36" t="s">
        <v>597</v>
      </c>
      <c r="I87" s="34" t="s">
        <v>793</v>
      </c>
      <c r="J87" s="34" t="s">
        <v>794</v>
      </c>
      <c r="K87" s="34" t="s">
        <v>795</v>
      </c>
      <c r="L87" s="34" t="s">
        <v>217</v>
      </c>
      <c r="M87" s="34" t="s">
        <v>216</v>
      </c>
      <c r="N87" s="34" t="s">
        <v>407</v>
      </c>
      <c r="O87" s="34" t="s">
        <v>134</v>
      </c>
      <c r="P87" s="34" t="s">
        <v>134</v>
      </c>
      <c r="Q87" s="34" t="s">
        <v>123</v>
      </c>
    </row>
    <row r="88" spans="1:17" x14ac:dyDescent="0.3">
      <c r="A88" s="34" t="s">
        <v>796</v>
      </c>
      <c r="B88" s="34">
        <v>91</v>
      </c>
      <c r="C88" s="36" t="s">
        <v>194</v>
      </c>
      <c r="D88" s="34" t="s">
        <v>797</v>
      </c>
      <c r="E88" s="34" t="s">
        <v>798</v>
      </c>
      <c r="F88" s="36" t="s">
        <v>441</v>
      </c>
      <c r="G88" s="34" t="s">
        <v>799</v>
      </c>
      <c r="H88" s="36" t="s">
        <v>95</v>
      </c>
      <c r="I88" s="34" t="s">
        <v>800</v>
      </c>
      <c r="J88" s="34" t="s">
        <v>801</v>
      </c>
      <c r="K88" s="34" t="s">
        <v>802</v>
      </c>
      <c r="L88" s="34" t="s">
        <v>107</v>
      </c>
      <c r="M88" s="34" t="s">
        <v>267</v>
      </c>
      <c r="N88" s="34" t="s">
        <v>133</v>
      </c>
      <c r="O88" s="34" t="s">
        <v>262</v>
      </c>
      <c r="P88" s="34" t="s">
        <v>232</v>
      </c>
      <c r="Q88" s="34" t="s">
        <v>243</v>
      </c>
    </row>
    <row r="89" spans="1:17" x14ac:dyDescent="0.3">
      <c r="A89" s="34" t="s">
        <v>803</v>
      </c>
      <c r="B89" s="34">
        <v>67</v>
      </c>
      <c r="C89" s="36" t="s">
        <v>196</v>
      </c>
      <c r="D89" s="34" t="s">
        <v>804</v>
      </c>
      <c r="E89" s="34" t="s">
        <v>805</v>
      </c>
      <c r="F89" s="36" t="s">
        <v>432</v>
      </c>
      <c r="G89" s="34" t="s">
        <v>806</v>
      </c>
      <c r="H89" s="36" t="s">
        <v>122</v>
      </c>
      <c r="I89" s="34" t="s">
        <v>807</v>
      </c>
      <c r="J89" s="34" t="s">
        <v>808</v>
      </c>
      <c r="K89" s="34" t="s">
        <v>809</v>
      </c>
      <c r="L89" s="34" t="s">
        <v>446</v>
      </c>
      <c r="M89" s="34" t="s">
        <v>176</v>
      </c>
      <c r="N89" s="34" t="s">
        <v>261</v>
      </c>
      <c r="O89" s="34" t="s">
        <v>454</v>
      </c>
      <c r="P89" s="34" t="s">
        <v>91</v>
      </c>
      <c r="Q89" s="34" t="s">
        <v>261</v>
      </c>
    </row>
    <row r="90" spans="1:17" x14ac:dyDescent="0.3">
      <c r="A90" s="34" t="s">
        <v>810</v>
      </c>
      <c r="B90" s="34">
        <v>17</v>
      </c>
      <c r="C90" s="36" t="s">
        <v>811</v>
      </c>
      <c r="D90" s="34" t="s">
        <v>812</v>
      </c>
      <c r="E90" s="34" t="s">
        <v>813</v>
      </c>
      <c r="F90" s="36" t="s">
        <v>346</v>
      </c>
      <c r="G90" s="34" t="s">
        <v>403</v>
      </c>
      <c r="H90" s="36" t="s">
        <v>329</v>
      </c>
      <c r="I90" s="34" t="s">
        <v>814</v>
      </c>
      <c r="J90" s="34" t="s">
        <v>815</v>
      </c>
      <c r="K90" s="34" t="s">
        <v>816</v>
      </c>
      <c r="L90" s="34" t="s">
        <v>108</v>
      </c>
      <c r="M90" s="34" t="s">
        <v>817</v>
      </c>
      <c r="N90" s="34" t="s">
        <v>187</v>
      </c>
      <c r="O90" s="34" t="s">
        <v>319</v>
      </c>
      <c r="P90" s="34" t="s">
        <v>187</v>
      </c>
      <c r="Q90" s="34" t="s">
        <v>470</v>
      </c>
    </row>
    <row r="91" spans="1:17" x14ac:dyDescent="0.3">
      <c r="A91" s="34" t="s">
        <v>818</v>
      </c>
      <c r="B91" s="34">
        <v>18</v>
      </c>
      <c r="C91" s="36" t="s">
        <v>358</v>
      </c>
      <c r="D91" s="34" t="s">
        <v>819</v>
      </c>
      <c r="E91" s="34" t="s">
        <v>820</v>
      </c>
      <c r="F91" s="36" t="s">
        <v>86</v>
      </c>
      <c r="G91" s="34" t="s">
        <v>279</v>
      </c>
      <c r="H91" s="36" t="s">
        <v>262</v>
      </c>
      <c r="I91" s="34" t="s">
        <v>821</v>
      </c>
      <c r="J91" s="34" t="s">
        <v>822</v>
      </c>
      <c r="K91" s="34" t="s">
        <v>823</v>
      </c>
      <c r="L91" s="34" t="s">
        <v>248</v>
      </c>
      <c r="M91" s="34" t="s">
        <v>337</v>
      </c>
      <c r="N91" s="34" t="s">
        <v>90</v>
      </c>
      <c r="O91" s="34" t="s">
        <v>128</v>
      </c>
      <c r="P91" s="34" t="s">
        <v>294</v>
      </c>
      <c r="Q91" s="34" t="s">
        <v>92</v>
      </c>
    </row>
    <row r="92" spans="1:17" x14ac:dyDescent="0.3">
      <c r="A92" s="34" t="s">
        <v>824</v>
      </c>
      <c r="B92" s="34">
        <v>8</v>
      </c>
      <c r="C92" s="36" t="s">
        <v>825</v>
      </c>
      <c r="D92" s="34" t="s">
        <v>826</v>
      </c>
      <c r="E92" s="34" t="s">
        <v>827</v>
      </c>
      <c r="F92" s="36" t="s">
        <v>828</v>
      </c>
      <c r="G92" s="34" t="s">
        <v>829</v>
      </c>
      <c r="H92" s="36" t="s">
        <v>830</v>
      </c>
      <c r="I92" s="34" t="s">
        <v>831</v>
      </c>
      <c r="J92" s="34" t="s">
        <v>832</v>
      </c>
      <c r="K92" s="34" t="s">
        <v>833</v>
      </c>
      <c r="L92" s="34" t="s">
        <v>161</v>
      </c>
      <c r="M92" s="34" t="s">
        <v>86</v>
      </c>
      <c r="N92" s="34" t="s">
        <v>432</v>
      </c>
      <c r="O92" s="34" t="s">
        <v>94</v>
      </c>
      <c r="P92" s="34" t="s">
        <v>834</v>
      </c>
      <c r="Q92" s="34" t="s">
        <v>198</v>
      </c>
    </row>
    <row r="93" spans="1:17" x14ac:dyDescent="0.3">
      <c r="A93" s="34" t="s">
        <v>835</v>
      </c>
      <c r="B93" s="34">
        <v>33</v>
      </c>
      <c r="C93" s="36" t="s">
        <v>254</v>
      </c>
      <c r="D93" s="34" t="s">
        <v>836</v>
      </c>
      <c r="E93" s="34" t="s">
        <v>837</v>
      </c>
      <c r="F93" s="36" t="s">
        <v>262</v>
      </c>
      <c r="G93" s="34" t="s">
        <v>838</v>
      </c>
      <c r="H93" s="36" t="s">
        <v>100</v>
      </c>
      <c r="I93" s="34" t="s">
        <v>558</v>
      </c>
      <c r="J93" s="34" t="s">
        <v>794</v>
      </c>
      <c r="K93" s="34" t="s">
        <v>839</v>
      </c>
      <c r="L93" s="34" t="s">
        <v>161</v>
      </c>
      <c r="M93" s="34" t="s">
        <v>362</v>
      </c>
      <c r="N93" s="34" t="s">
        <v>121</v>
      </c>
      <c r="O93" s="34" t="s">
        <v>114</v>
      </c>
      <c r="P93" s="34" t="s">
        <v>134</v>
      </c>
      <c r="Q93" s="34" t="s">
        <v>84</v>
      </c>
    </row>
    <row r="94" spans="1:17" x14ac:dyDescent="0.3">
      <c r="A94" s="34" t="s">
        <v>840</v>
      </c>
      <c r="B94" s="34">
        <v>16</v>
      </c>
      <c r="C94" s="36" t="s">
        <v>710</v>
      </c>
      <c r="D94" s="34" t="s">
        <v>841</v>
      </c>
      <c r="E94" s="34" t="s">
        <v>842</v>
      </c>
      <c r="F94" s="36" t="s">
        <v>843</v>
      </c>
      <c r="G94" s="34" t="s">
        <v>844</v>
      </c>
      <c r="H94" s="36" t="s">
        <v>843</v>
      </c>
      <c r="I94" s="34" t="s">
        <v>845</v>
      </c>
      <c r="J94" s="34" t="s">
        <v>846</v>
      </c>
      <c r="K94" s="34" t="s">
        <v>847</v>
      </c>
      <c r="L94" s="34" t="s">
        <v>174</v>
      </c>
      <c r="M94" s="34" t="s">
        <v>184</v>
      </c>
      <c r="N94" s="34" t="s">
        <v>848</v>
      </c>
      <c r="O94" s="34" t="s">
        <v>849</v>
      </c>
      <c r="P94" s="34" t="s">
        <v>850</v>
      </c>
      <c r="Q94" s="34" t="s">
        <v>851</v>
      </c>
    </row>
    <row r="95" spans="1:17" x14ac:dyDescent="0.3">
      <c r="A95" s="34" t="s">
        <v>852</v>
      </c>
      <c r="B95" s="34">
        <v>17</v>
      </c>
      <c r="C95" s="36" t="s">
        <v>261</v>
      </c>
      <c r="D95" s="34" t="s">
        <v>853</v>
      </c>
      <c r="E95" s="34" t="s">
        <v>854</v>
      </c>
      <c r="F95" s="36" t="s">
        <v>227</v>
      </c>
      <c r="G95" s="34" t="s">
        <v>658</v>
      </c>
      <c r="H95" s="36" t="s">
        <v>176</v>
      </c>
      <c r="I95" s="34" t="s">
        <v>855</v>
      </c>
      <c r="J95" s="34" t="s">
        <v>856</v>
      </c>
      <c r="K95" s="34" t="s">
        <v>857</v>
      </c>
      <c r="L95" s="34" t="s">
        <v>248</v>
      </c>
      <c r="M95" s="34" t="s">
        <v>612</v>
      </c>
      <c r="N95" s="34" t="s">
        <v>147</v>
      </c>
      <c r="O95" s="34" t="s">
        <v>851</v>
      </c>
      <c r="P95" s="34" t="s">
        <v>173</v>
      </c>
      <c r="Q95" s="34" t="s">
        <v>492</v>
      </c>
    </row>
    <row r="96" spans="1:17" x14ac:dyDescent="0.3">
      <c r="A96" s="35" t="s">
        <v>858</v>
      </c>
      <c r="B96" s="35">
        <v>7053</v>
      </c>
      <c r="C96" s="39" t="s">
        <v>187</v>
      </c>
      <c r="D96" s="35" t="s">
        <v>859</v>
      </c>
      <c r="E96" s="35" t="s">
        <v>860</v>
      </c>
      <c r="F96" s="36" t="s">
        <v>441</v>
      </c>
      <c r="G96" s="35" t="s">
        <v>861</v>
      </c>
      <c r="H96" s="36" t="s">
        <v>90</v>
      </c>
      <c r="I96" s="35" t="s">
        <v>862</v>
      </c>
      <c r="J96" s="35" t="s">
        <v>856</v>
      </c>
      <c r="K96" s="35" t="s">
        <v>863</v>
      </c>
      <c r="L96" s="35" t="s">
        <v>210</v>
      </c>
      <c r="M96" s="35" t="s">
        <v>124</v>
      </c>
      <c r="N96" s="35" t="s">
        <v>216</v>
      </c>
      <c r="O96" s="35" t="s">
        <v>454</v>
      </c>
      <c r="P96" s="35" t="s">
        <v>128</v>
      </c>
      <c r="Q96" s="34" t="s">
        <v>91</v>
      </c>
    </row>
    <row r="97" spans="1:17" x14ac:dyDescent="0.3">
      <c r="A97" s="35" t="s">
        <v>864</v>
      </c>
      <c r="B97" s="35">
        <v>5878</v>
      </c>
      <c r="C97" s="39" t="s">
        <v>152</v>
      </c>
      <c r="D97" s="35" t="s">
        <v>865</v>
      </c>
      <c r="E97" s="35" t="s">
        <v>866</v>
      </c>
      <c r="F97" s="36" t="s">
        <v>206</v>
      </c>
      <c r="G97" s="35" t="s">
        <v>867</v>
      </c>
      <c r="H97" s="36" t="s">
        <v>243</v>
      </c>
      <c r="I97" s="35" t="s">
        <v>459</v>
      </c>
      <c r="J97" s="35" t="s">
        <v>868</v>
      </c>
      <c r="K97" s="35" t="s">
        <v>869</v>
      </c>
      <c r="L97" s="35" t="s">
        <v>94</v>
      </c>
      <c r="M97" s="35" t="s">
        <v>870</v>
      </c>
      <c r="N97" s="35" t="s">
        <v>120</v>
      </c>
      <c r="O97" s="35" t="s">
        <v>294</v>
      </c>
      <c r="P97" s="35" t="s">
        <v>163</v>
      </c>
      <c r="Q97" s="34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Tasas fijas</vt:lpstr>
      <vt:lpstr>Informacion</vt:lpstr>
      <vt:lpstr>Anualidades</vt:lpstr>
      <vt:lpstr>Amortización</vt:lpstr>
      <vt:lpstr>VPN y TIR</vt:lpstr>
      <vt:lpstr>WACC</vt:lpstr>
      <vt:lpstr>Riesgo de mercado</vt:lpstr>
      <vt:lpstr>Beta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Triana Gallo</dc:creator>
  <cp:lastModifiedBy>ACCOUNTER</cp:lastModifiedBy>
  <dcterms:created xsi:type="dcterms:W3CDTF">2020-06-04T00:37:21Z</dcterms:created>
  <dcterms:modified xsi:type="dcterms:W3CDTF">2020-06-09T12:45:47Z</dcterms:modified>
</cp:coreProperties>
</file>