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C:\Users\ACCOUNTER\Desktop\"/>
    </mc:Choice>
  </mc:AlternateContent>
  <xr:revisionPtr revIDLastSave="0" documentId="8_{A4F316E4-20E3-40FC-9A63-9F98A31BC306}" xr6:coauthVersionLast="40" xr6:coauthVersionMax="40" xr10:uidLastSave="{00000000-0000-0000-0000-000000000000}"/>
  <bookViews>
    <workbookView xWindow="0" yWindow="456" windowWidth="28800" windowHeight="16536" xr2:uid="{00000000-000D-0000-FFFF-FFFF00000000}"/>
  </bookViews>
  <sheets>
    <sheet name="2019" sheetId="17" r:id="rId1"/>
    <sheet name="2018" sheetId="16" r:id="rId2"/>
    <sheet name="2017" sheetId="15" r:id="rId3"/>
    <sheet name="2016" sheetId="13" r:id="rId4"/>
    <sheet name="2015" sheetId="14" r:id="rId5"/>
    <sheet name="2014" sheetId="9" r:id="rId6"/>
    <sheet name="2013" sheetId="12" r:id="rId7"/>
    <sheet name="2012" sheetId="7" r:id="rId8"/>
    <sheet name="2011" sheetId="8" r:id="rId9"/>
    <sheet name=" 2010" sheetId="1" r:id="rId10"/>
    <sheet name="2009" sheetId="6" r:id="rId11"/>
  </sheets>
  <definedNames>
    <definedName name="_xlnm.Print_Area" localSheetId="9">' 2010'!$B$1:$G$77</definedName>
    <definedName name="Z_005D785A_2C1A_7642_8E14_813F8ABC12DD_.wvu.PrintArea" localSheetId="9" hidden="1">' 2010'!$B$1:$G$77</definedName>
  </definedNames>
  <calcPr calcId="191029" concurrentCalc="0"/>
  <customWorkbookViews>
    <customWorkbookView name="Usuario de Microsoft Office - Vista personalizada" guid="{005D785A-2C1A-7642-8E14-813F8ABC12DD}" mergeInterval="0" personalView="1" windowWidth="1440" windowHeight="714" activeSheetId="16"/>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7" l="1"/>
  <c r="E59" i="17"/>
  <c r="E60" i="17"/>
  <c r="E87" i="17"/>
  <c r="C85" i="17"/>
  <c r="C86" i="17"/>
  <c r="C84" i="17"/>
  <c r="C83" i="17"/>
  <c r="C82" i="17"/>
  <c r="C81" i="17"/>
  <c r="G60" i="17"/>
  <c r="E63" i="17"/>
  <c r="G63" i="17"/>
  <c r="E20" i="17"/>
  <c r="E61" i="17"/>
  <c r="G61" i="17"/>
  <c r="E62" i="17"/>
  <c r="G62" i="17"/>
  <c r="E64" i="17"/>
  <c r="G64" i="17"/>
  <c r="E21" i="17"/>
  <c r="E65" i="17"/>
  <c r="G65" i="17"/>
  <c r="E66" i="17"/>
  <c r="G66" i="17"/>
  <c r="E67" i="17"/>
  <c r="G67" i="17"/>
  <c r="E68" i="17"/>
  <c r="G68" i="17"/>
  <c r="E22" i="17"/>
  <c r="E73" i="17"/>
  <c r="E74" i="17"/>
  <c r="D75" i="17"/>
  <c r="E75" i="17"/>
  <c r="D76" i="17"/>
  <c r="E76" i="17"/>
  <c r="E77" i="17"/>
  <c r="G69" i="17"/>
  <c r="E19" i="17"/>
  <c r="E23" i="17"/>
  <c r="E26" i="17"/>
  <c r="E27" i="17"/>
  <c r="E28" i="17"/>
  <c r="E29" i="17"/>
  <c r="E30" i="17"/>
  <c r="C33" i="17"/>
  <c r="E33" i="17"/>
  <c r="C34" i="17"/>
  <c r="E34" i="17"/>
  <c r="D35" i="17"/>
  <c r="E35" i="17"/>
  <c r="E36" i="17"/>
  <c r="E37" i="17"/>
  <c r="E38" i="17"/>
  <c r="E41" i="17"/>
  <c r="E42" i="17"/>
  <c r="E43" i="17"/>
  <c r="E46" i="17"/>
  <c r="E48" i="17"/>
  <c r="E52" i="17"/>
  <c r="E54" i="17"/>
  <c r="E55" i="17"/>
  <c r="G55" i="17"/>
  <c r="F18" i="17"/>
  <c r="F19" i="17"/>
  <c r="F20" i="17"/>
  <c r="F21" i="17"/>
  <c r="F22" i="17"/>
  <c r="F23" i="17"/>
  <c r="F26" i="17"/>
  <c r="F27" i="17"/>
  <c r="F28" i="17"/>
  <c r="F29" i="17"/>
  <c r="F30" i="17"/>
  <c r="F34" i="17"/>
  <c r="F35" i="17"/>
  <c r="F37" i="17"/>
  <c r="F38" i="17"/>
  <c r="F41" i="17"/>
  <c r="F42" i="17"/>
  <c r="F43" i="17"/>
  <c r="F46" i="17"/>
  <c r="F48" i="17"/>
  <c r="F52" i="17"/>
  <c r="F54" i="17"/>
  <c r="F55" i="17"/>
  <c r="G54" i="17"/>
  <c r="G52" i="17"/>
  <c r="F49" i="17"/>
  <c r="E49" i="17"/>
  <c r="G48" i="17"/>
  <c r="G46" i="17"/>
  <c r="G43" i="17"/>
  <c r="G42" i="17"/>
  <c r="G41" i="17"/>
  <c r="G38" i="17"/>
  <c r="G37" i="17"/>
  <c r="G36" i="17"/>
  <c r="G35" i="17"/>
  <c r="G34" i="17"/>
  <c r="G33" i="17"/>
  <c r="G30" i="17"/>
  <c r="G29" i="17"/>
  <c r="G28" i="17"/>
  <c r="G27" i="17"/>
  <c r="G26" i="17"/>
  <c r="G23" i="17"/>
  <c r="G22" i="17"/>
  <c r="G21" i="17"/>
  <c r="G20" i="17"/>
  <c r="G19" i="17"/>
  <c r="G18" i="17"/>
  <c r="E18" i="16"/>
  <c r="E59" i="16"/>
  <c r="E60" i="16"/>
  <c r="G60" i="16"/>
  <c r="E63" i="16"/>
  <c r="G63" i="16"/>
  <c r="E20" i="16"/>
  <c r="E61" i="16"/>
  <c r="G61" i="16"/>
  <c r="E62" i="16"/>
  <c r="G62" i="16"/>
  <c r="E64" i="16"/>
  <c r="G64" i="16"/>
  <c r="E21" i="16"/>
  <c r="E65" i="16"/>
  <c r="G65" i="16"/>
  <c r="E66" i="16"/>
  <c r="G66" i="16"/>
  <c r="E67" i="16"/>
  <c r="G67" i="16"/>
  <c r="E68" i="16"/>
  <c r="G68" i="16"/>
  <c r="E22" i="16"/>
  <c r="E19" i="16"/>
  <c r="I19" i="16"/>
  <c r="E5" i="16"/>
  <c r="E87" i="16"/>
  <c r="C85" i="16"/>
  <c r="C86" i="16"/>
  <c r="C84" i="16"/>
  <c r="C83" i="16"/>
  <c r="C82" i="16"/>
  <c r="C81" i="16"/>
  <c r="E73" i="16"/>
  <c r="E74" i="16"/>
  <c r="E75" i="16"/>
  <c r="D76" i="16"/>
  <c r="E76" i="16"/>
  <c r="E77" i="16"/>
  <c r="D75" i="16"/>
  <c r="G69" i="16"/>
  <c r="E23" i="16"/>
  <c r="E26" i="16"/>
  <c r="E27" i="16"/>
  <c r="E28" i="16"/>
  <c r="E29" i="16"/>
  <c r="E30" i="16"/>
  <c r="C33" i="16"/>
  <c r="E33" i="16"/>
  <c r="C34" i="16"/>
  <c r="E34" i="16"/>
  <c r="D35" i="16"/>
  <c r="E35" i="16"/>
  <c r="E36" i="16"/>
  <c r="E37" i="16"/>
  <c r="E38" i="16"/>
  <c r="E41" i="16"/>
  <c r="E42" i="16"/>
  <c r="E43" i="16"/>
  <c r="E46" i="16"/>
  <c r="E48" i="16"/>
  <c r="E52" i="16"/>
  <c r="E54" i="16"/>
  <c r="E55" i="16"/>
  <c r="G55" i="16"/>
  <c r="F18" i="16"/>
  <c r="F19" i="16"/>
  <c r="F20" i="16"/>
  <c r="F21" i="16"/>
  <c r="F22" i="16"/>
  <c r="F23" i="16"/>
  <c r="F26" i="16"/>
  <c r="F27" i="16"/>
  <c r="F28" i="16"/>
  <c r="F29" i="16"/>
  <c r="F30" i="16"/>
  <c r="F34" i="16"/>
  <c r="F35" i="16"/>
  <c r="F37" i="16"/>
  <c r="F38" i="16"/>
  <c r="F41" i="16"/>
  <c r="F42" i="16"/>
  <c r="F43" i="16"/>
  <c r="F46" i="16"/>
  <c r="F48" i="16"/>
  <c r="F52" i="16"/>
  <c r="F54" i="16"/>
  <c r="F55" i="16"/>
  <c r="G54" i="16"/>
  <c r="G52" i="16"/>
  <c r="F49" i="16"/>
  <c r="E49" i="16"/>
  <c r="G48" i="16"/>
  <c r="G46" i="16"/>
  <c r="G43" i="16"/>
  <c r="G42" i="16"/>
  <c r="G41" i="16"/>
  <c r="G38" i="16"/>
  <c r="G37" i="16"/>
  <c r="G36" i="16"/>
  <c r="G35" i="16"/>
  <c r="G34" i="16"/>
  <c r="G33" i="16"/>
  <c r="G30" i="16"/>
  <c r="G29" i="16"/>
  <c r="G28" i="16"/>
  <c r="G27" i="16"/>
  <c r="G26" i="16"/>
  <c r="G23" i="16"/>
  <c r="G22" i="16"/>
  <c r="G21" i="16"/>
  <c r="G20" i="16"/>
  <c r="G19" i="16"/>
  <c r="G18" i="16"/>
  <c r="E87" i="15"/>
  <c r="C85" i="15"/>
  <c r="C86" i="15"/>
  <c r="C84" i="15"/>
  <c r="C83" i="15"/>
  <c r="C82" i="15"/>
  <c r="C81" i="15"/>
  <c r="D35" i="15"/>
  <c r="E18" i="15"/>
  <c r="E87" i="14"/>
  <c r="C85" i="14"/>
  <c r="C84" i="14"/>
  <c r="C83" i="14"/>
  <c r="C82" i="14"/>
  <c r="C81" i="14"/>
  <c r="D35" i="14"/>
  <c r="E18" i="14"/>
  <c r="E87" i="13"/>
  <c r="C85" i="13"/>
  <c r="C86" i="13"/>
  <c r="C84" i="13"/>
  <c r="C83" i="13"/>
  <c r="C82" i="13"/>
  <c r="C81" i="13"/>
  <c r="D35" i="13"/>
  <c r="E18" i="13"/>
  <c r="E87" i="12"/>
  <c r="C85" i="12"/>
  <c r="C84" i="12"/>
  <c r="C83" i="12"/>
  <c r="C82" i="12"/>
  <c r="C81" i="12"/>
  <c r="D35" i="12"/>
  <c r="E18" i="12"/>
  <c r="E29" i="12"/>
  <c r="E37" i="12"/>
  <c r="E87" i="9"/>
  <c r="C85" i="9"/>
  <c r="C84" i="9"/>
  <c r="C83" i="9"/>
  <c r="C82" i="9"/>
  <c r="C81" i="9"/>
  <c r="D35" i="9"/>
  <c r="E18" i="9"/>
  <c r="E87" i="8"/>
  <c r="C85" i="8"/>
  <c r="C84" i="8"/>
  <c r="C83" i="8"/>
  <c r="C82" i="8"/>
  <c r="C81" i="8"/>
  <c r="D35" i="8"/>
  <c r="E18" i="8"/>
  <c r="E87" i="7"/>
  <c r="C85" i="7"/>
  <c r="C84" i="7"/>
  <c r="C83" i="7"/>
  <c r="C82" i="7"/>
  <c r="C81" i="7"/>
  <c r="E18" i="7"/>
  <c r="D76" i="7"/>
  <c r="D35" i="7"/>
  <c r="E29" i="7"/>
  <c r="E37" i="7"/>
  <c r="E53" i="1"/>
  <c r="E87" i="6"/>
  <c r="C85" i="6"/>
  <c r="C84" i="6"/>
  <c r="C83" i="6"/>
  <c r="C82" i="6"/>
  <c r="C81" i="6"/>
  <c r="E18" i="6"/>
  <c r="D35" i="6"/>
  <c r="E18" i="1"/>
  <c r="E19" i="1"/>
  <c r="E23" i="1"/>
  <c r="E87" i="1"/>
  <c r="D35" i="1"/>
  <c r="E35" i="1"/>
  <c r="C85" i="1"/>
  <c r="C84" i="1"/>
  <c r="C83" i="1"/>
  <c r="C82" i="1"/>
  <c r="C81" i="1"/>
  <c r="D75" i="1"/>
  <c r="E59" i="1"/>
  <c r="E63" i="1"/>
  <c r="G63" i="1"/>
  <c r="C34" i="1"/>
  <c r="E68" i="1"/>
  <c r="G68" i="1"/>
  <c r="E62" i="1"/>
  <c r="G62" i="1"/>
  <c r="E66" i="1"/>
  <c r="G66" i="1"/>
  <c r="E60" i="1"/>
  <c r="G60" i="1"/>
  <c r="E64" i="1"/>
  <c r="G64" i="1"/>
  <c r="E61" i="1"/>
  <c r="G61" i="1"/>
  <c r="E65" i="1"/>
  <c r="G65" i="1"/>
  <c r="E67" i="1"/>
  <c r="G67" i="1"/>
  <c r="G69" i="1"/>
  <c r="E41" i="8"/>
  <c r="E46" i="8"/>
  <c r="E73" i="8"/>
  <c r="D75" i="7"/>
  <c r="E46" i="7"/>
  <c r="E74" i="7"/>
  <c r="E35" i="7"/>
  <c r="E19" i="7"/>
  <c r="E23" i="7"/>
  <c r="E26" i="7"/>
  <c r="C33" i="7"/>
  <c r="E73" i="7"/>
  <c r="E33" i="7"/>
  <c r="C34" i="7"/>
  <c r="E34" i="7"/>
  <c r="E36" i="7"/>
  <c r="E38" i="7"/>
  <c r="E59" i="7"/>
  <c r="E76" i="7"/>
  <c r="E75" i="7"/>
  <c r="E41" i="7"/>
  <c r="E60" i="7"/>
  <c r="G60" i="7"/>
  <c r="E61" i="7"/>
  <c r="G61" i="7"/>
  <c r="E66" i="7"/>
  <c r="G66" i="7"/>
  <c r="E67" i="7"/>
  <c r="G67" i="7"/>
  <c r="E64" i="7"/>
  <c r="G64" i="7"/>
  <c r="E65" i="7"/>
  <c r="G65" i="7"/>
  <c r="E68" i="7"/>
  <c r="G68" i="7"/>
  <c r="E62" i="7"/>
  <c r="G62" i="7"/>
  <c r="E63" i="7"/>
  <c r="G63" i="7"/>
  <c r="E42" i="7"/>
  <c r="E43" i="7"/>
  <c r="D75" i="6"/>
  <c r="E29" i="1"/>
  <c r="E74" i="1"/>
  <c r="E34" i="1"/>
  <c r="D76" i="1"/>
  <c r="E76" i="1"/>
  <c r="E73" i="1"/>
  <c r="E46" i="1"/>
  <c r="E35" i="6"/>
  <c r="C33" i="1"/>
  <c r="E33" i="1"/>
  <c r="E41" i="1"/>
  <c r="E42" i="1"/>
  <c r="E43" i="1"/>
  <c r="E41" i="6"/>
  <c r="E37" i="1"/>
  <c r="E36" i="1"/>
  <c r="E38" i="1"/>
  <c r="F18" i="9"/>
  <c r="E26" i="1"/>
  <c r="E28" i="1"/>
  <c r="C33" i="8"/>
  <c r="E33" i="8"/>
  <c r="D75" i="8"/>
  <c r="E35" i="8"/>
  <c r="E75" i="8"/>
  <c r="C34" i="8"/>
  <c r="E74" i="8"/>
  <c r="E34" i="8"/>
  <c r="D76" i="8"/>
  <c r="E76" i="8"/>
  <c r="E77" i="8"/>
  <c r="E19" i="8"/>
  <c r="E23" i="8"/>
  <c r="E59" i="8"/>
  <c r="G18" i="9"/>
  <c r="E59" i="9"/>
  <c r="D76" i="12"/>
  <c r="E73" i="12"/>
  <c r="E59" i="12"/>
  <c r="E41" i="12"/>
  <c r="E75" i="12"/>
  <c r="E46" i="12"/>
  <c r="E19" i="12"/>
  <c r="E76" i="12"/>
  <c r="E74" i="12"/>
  <c r="E35" i="12"/>
  <c r="C33" i="12"/>
  <c r="E33" i="12"/>
  <c r="E23" i="12"/>
  <c r="E36" i="12"/>
  <c r="E42" i="12"/>
  <c r="E28" i="7"/>
  <c r="E73" i="6"/>
  <c r="E74" i="6"/>
  <c r="E75" i="6"/>
  <c r="D76" i="6"/>
  <c r="E76" i="6"/>
  <c r="E77" i="6"/>
  <c r="C33" i="6"/>
  <c r="E59" i="6"/>
  <c r="E29" i="6"/>
  <c r="E19" i="6"/>
  <c r="E23" i="6"/>
  <c r="C34" i="6"/>
  <c r="E34" i="6"/>
  <c r="E46" i="6"/>
  <c r="C34" i="12"/>
  <c r="E34" i="12"/>
  <c r="E27" i="7"/>
  <c r="E30" i="7"/>
  <c r="E48" i="7"/>
  <c r="G69" i="7"/>
  <c r="E77" i="7"/>
  <c r="E29" i="8"/>
  <c r="D75" i="12"/>
  <c r="E75" i="1"/>
  <c r="E77" i="1"/>
  <c r="E49" i="7"/>
  <c r="E52" i="7"/>
  <c r="E54" i="7"/>
  <c r="E55" i="7"/>
  <c r="E26" i="8"/>
  <c r="E28" i="8"/>
  <c r="E43" i="12"/>
  <c r="E36" i="8"/>
  <c r="E37" i="8"/>
  <c r="E38" i="8"/>
  <c r="E42" i="8"/>
  <c r="E43" i="8"/>
  <c r="E37" i="6"/>
  <c r="E42" i="6"/>
  <c r="E43" i="6"/>
  <c r="E36" i="6"/>
  <c r="E33" i="6"/>
  <c r="E61" i="9"/>
  <c r="G61" i="9"/>
  <c r="E65" i="9"/>
  <c r="G65" i="9"/>
  <c r="E62" i="9"/>
  <c r="G62" i="9"/>
  <c r="E67" i="9"/>
  <c r="G67" i="9"/>
  <c r="E60" i="9"/>
  <c r="G60" i="9"/>
  <c r="E64" i="9"/>
  <c r="G64" i="9"/>
  <c r="E68" i="9"/>
  <c r="G68" i="9"/>
  <c r="E63" i="9"/>
  <c r="G63" i="9"/>
  <c r="E66" i="9"/>
  <c r="G66" i="9"/>
  <c r="E26" i="12"/>
  <c r="E28" i="12"/>
  <c r="E38" i="12"/>
  <c r="E67" i="12"/>
  <c r="G67" i="12"/>
  <c r="E65" i="12"/>
  <c r="G65" i="12"/>
  <c r="E63" i="12"/>
  <c r="G63" i="12"/>
  <c r="E61" i="12"/>
  <c r="G61" i="12"/>
  <c r="E60" i="12"/>
  <c r="G60" i="12"/>
  <c r="E62" i="12"/>
  <c r="G62" i="12"/>
  <c r="E68" i="12"/>
  <c r="G68" i="12"/>
  <c r="E66" i="12"/>
  <c r="G66" i="12"/>
  <c r="E64" i="12"/>
  <c r="G64" i="12"/>
  <c r="E67" i="8"/>
  <c r="G67" i="8"/>
  <c r="E63" i="8"/>
  <c r="G63" i="8"/>
  <c r="E68" i="8"/>
  <c r="G68" i="8"/>
  <c r="E64" i="8"/>
  <c r="G64" i="8"/>
  <c r="E60" i="8"/>
  <c r="G60" i="8"/>
  <c r="E61" i="8"/>
  <c r="G61" i="8"/>
  <c r="E62" i="8"/>
  <c r="G62" i="8"/>
  <c r="E65" i="8"/>
  <c r="G65" i="8"/>
  <c r="E66" i="8"/>
  <c r="G66" i="8"/>
  <c r="G69" i="8"/>
  <c r="E26" i="6"/>
  <c r="E28" i="6"/>
  <c r="E64" i="6"/>
  <c r="G64" i="6"/>
  <c r="E67" i="6"/>
  <c r="G67" i="6"/>
  <c r="E66" i="6"/>
  <c r="G66" i="6"/>
  <c r="E65" i="6"/>
  <c r="G65" i="6"/>
  <c r="E60" i="6"/>
  <c r="G60" i="6"/>
  <c r="E63" i="6"/>
  <c r="G63" i="6"/>
  <c r="E62" i="6"/>
  <c r="G62" i="6"/>
  <c r="E61" i="6"/>
  <c r="G61" i="6"/>
  <c r="E68" i="6"/>
  <c r="G68" i="6"/>
  <c r="E77" i="12"/>
  <c r="E27" i="1"/>
  <c r="E30" i="1"/>
  <c r="E48" i="1"/>
  <c r="E27" i="8"/>
  <c r="E30" i="8"/>
  <c r="E48" i="8"/>
  <c r="E49" i="1"/>
  <c r="E52" i="1"/>
  <c r="E54" i="1"/>
  <c r="E55" i="1"/>
  <c r="E27" i="6"/>
  <c r="E30" i="6"/>
  <c r="E38" i="6"/>
  <c r="E48" i="6"/>
  <c r="G69" i="6"/>
  <c r="G69" i="12"/>
  <c r="E27" i="12"/>
  <c r="E30" i="12"/>
  <c r="E48" i="12"/>
  <c r="E22" i="9"/>
  <c r="G69" i="9"/>
  <c r="E20" i="9"/>
  <c r="E21" i="9"/>
  <c r="E49" i="6"/>
  <c r="E52" i="6"/>
  <c r="E54" i="6"/>
  <c r="E55" i="6"/>
  <c r="F22" i="9"/>
  <c r="G22" i="9"/>
  <c r="E52" i="8"/>
  <c r="E54" i="8"/>
  <c r="E55" i="8"/>
  <c r="E49" i="8"/>
  <c r="F20" i="9"/>
  <c r="G20" i="9"/>
  <c r="C33" i="9"/>
  <c r="E73" i="9"/>
  <c r="E74" i="9"/>
  <c r="E75" i="9"/>
  <c r="D76" i="9"/>
  <c r="E76" i="9"/>
  <c r="E77" i="9"/>
  <c r="D75" i="9"/>
  <c r="E46" i="9"/>
  <c r="E41" i="9"/>
  <c r="E29" i="9"/>
  <c r="C34" i="9"/>
  <c r="E19" i="9"/>
  <c r="F21" i="9"/>
  <c r="G21" i="9"/>
  <c r="E35" i="9"/>
  <c r="E52" i="12"/>
  <c r="E54" i="12"/>
  <c r="E55" i="12"/>
  <c r="E49" i="12"/>
  <c r="G41" i="9"/>
  <c r="G19" i="9"/>
  <c r="E23" i="9"/>
  <c r="F19" i="9"/>
  <c r="F23" i="9"/>
  <c r="F29" i="9"/>
  <c r="F42" i="9"/>
  <c r="E42" i="9"/>
  <c r="G42" i="9"/>
  <c r="E37" i="9"/>
  <c r="E36" i="9"/>
  <c r="G36" i="9"/>
  <c r="G29" i="9"/>
  <c r="F41" i="9"/>
  <c r="F43" i="9"/>
  <c r="F46" i="9"/>
  <c r="G46" i="9"/>
  <c r="E33" i="9"/>
  <c r="G35" i="9"/>
  <c r="F35" i="9"/>
  <c r="E34" i="9"/>
  <c r="G37" i="9"/>
  <c r="F37" i="9"/>
  <c r="E28" i="9"/>
  <c r="G23" i="9"/>
  <c r="E26" i="9"/>
  <c r="G33" i="9"/>
  <c r="E38" i="9"/>
  <c r="G38" i="9"/>
  <c r="E43" i="9"/>
  <c r="G43" i="9"/>
  <c r="G34" i="9"/>
  <c r="F34" i="9"/>
  <c r="F38" i="9"/>
  <c r="G28" i="9"/>
  <c r="F28" i="9"/>
  <c r="E27" i="9"/>
  <c r="F26" i="9"/>
  <c r="G26" i="9"/>
  <c r="G27" i="9"/>
  <c r="F27" i="9"/>
  <c r="F30" i="9"/>
  <c r="F48" i="9"/>
  <c r="E30" i="9"/>
  <c r="F52" i="9"/>
  <c r="F54" i="9"/>
  <c r="F55" i="9"/>
  <c r="F49" i="9"/>
  <c r="G30" i="9"/>
  <c r="E48" i="9"/>
  <c r="G48" i="9"/>
  <c r="E52" i="9"/>
  <c r="E49" i="9"/>
  <c r="G52" i="9"/>
  <c r="E54" i="9"/>
  <c r="G54" i="9"/>
  <c r="E55" i="9"/>
  <c r="G55" i="9"/>
  <c r="F18" i="14"/>
  <c r="G18" i="14"/>
  <c r="E59" i="14"/>
  <c r="E65" i="14"/>
  <c r="G65" i="14"/>
  <c r="E63" i="14"/>
  <c r="G63" i="14"/>
  <c r="E68" i="14"/>
  <c r="G68" i="14"/>
  <c r="E64" i="14"/>
  <c r="G64" i="14"/>
  <c r="E60" i="14"/>
  <c r="G60" i="14"/>
  <c r="E20" i="14"/>
  <c r="E67" i="14"/>
  <c r="G67" i="14"/>
  <c r="G20" i="14"/>
  <c r="F20" i="14"/>
  <c r="E29" i="14"/>
  <c r="E62" i="14"/>
  <c r="G62" i="14"/>
  <c r="E61" i="14"/>
  <c r="G61" i="14"/>
  <c r="E66" i="14"/>
  <c r="G66" i="14"/>
  <c r="G69" i="14"/>
  <c r="E22" i="14"/>
  <c r="G22" i="14"/>
  <c r="F22" i="14"/>
  <c r="G29" i="14"/>
  <c r="E37" i="14"/>
  <c r="E36" i="14"/>
  <c r="G36" i="14"/>
  <c r="E42" i="14"/>
  <c r="G42" i="14"/>
  <c r="F29" i="14"/>
  <c r="F42" i="14"/>
  <c r="E21" i="14"/>
  <c r="F37" i="14"/>
  <c r="G37" i="14"/>
  <c r="E35" i="14"/>
  <c r="F21" i="14"/>
  <c r="F41" i="14"/>
  <c r="F43" i="14"/>
  <c r="G21" i="14"/>
  <c r="E19" i="14"/>
  <c r="E73" i="14"/>
  <c r="C34" i="14"/>
  <c r="E74" i="14"/>
  <c r="E34" i="14"/>
  <c r="D75" i="14"/>
  <c r="D76" i="14"/>
  <c r="E46" i="14"/>
  <c r="E76" i="14"/>
  <c r="E75" i="14"/>
  <c r="E41" i="14"/>
  <c r="C33" i="14"/>
  <c r="E33" i="14"/>
  <c r="E38" i="14"/>
  <c r="G38" i="14"/>
  <c r="G33" i="14"/>
  <c r="G41" i="14"/>
  <c r="E43" i="14"/>
  <c r="G43" i="14"/>
  <c r="G46" i="14"/>
  <c r="F46" i="14"/>
  <c r="F19" i="14"/>
  <c r="F23" i="14"/>
  <c r="E23" i="14"/>
  <c r="G19" i="14"/>
  <c r="F34" i="14"/>
  <c r="F35" i="14"/>
  <c r="F38" i="14"/>
  <c r="G34" i="14"/>
  <c r="E77" i="14"/>
  <c r="G35" i="14"/>
  <c r="G23" i="14"/>
  <c r="E26" i="14"/>
  <c r="E28" i="14"/>
  <c r="F28" i="14"/>
  <c r="G28" i="14"/>
  <c r="F26" i="14"/>
  <c r="E27" i="14"/>
  <c r="G26" i="14"/>
  <c r="F27" i="14"/>
  <c r="F30" i="14"/>
  <c r="F48" i="14"/>
  <c r="G27" i="14"/>
  <c r="E30" i="14"/>
  <c r="F52" i="14"/>
  <c r="F54" i="14"/>
  <c r="F55" i="14"/>
  <c r="F49" i="14"/>
  <c r="G30" i="14"/>
  <c r="E48" i="14"/>
  <c r="E49" i="14"/>
  <c r="G48" i="14"/>
  <c r="E52" i="14"/>
  <c r="G52" i="14"/>
  <c r="E54" i="14"/>
  <c r="E55" i="14"/>
  <c r="G55" i="14"/>
  <c r="G54" i="14"/>
  <c r="F18" i="13"/>
  <c r="E59" i="13"/>
  <c r="G18" i="13"/>
  <c r="E67" i="13"/>
  <c r="G67" i="13"/>
  <c r="E65" i="13"/>
  <c r="G65" i="13"/>
  <c r="E68" i="13"/>
  <c r="G68" i="13"/>
  <c r="E63" i="13"/>
  <c r="G63" i="13"/>
  <c r="E64" i="13"/>
  <c r="G64" i="13"/>
  <c r="E60" i="13"/>
  <c r="G60" i="13"/>
  <c r="E62" i="13"/>
  <c r="G62" i="13"/>
  <c r="E66" i="13"/>
  <c r="G66" i="13"/>
  <c r="E61" i="13"/>
  <c r="G61" i="13"/>
  <c r="E21" i="13"/>
  <c r="E20" i="13"/>
  <c r="G69" i="13"/>
  <c r="E22" i="13"/>
  <c r="F21" i="13"/>
  <c r="G21" i="13"/>
  <c r="E35" i="13"/>
  <c r="G35" i="13"/>
  <c r="F35" i="13"/>
  <c r="F22" i="13"/>
  <c r="G22" i="13"/>
  <c r="G20" i="13"/>
  <c r="F20" i="13"/>
  <c r="F41" i="13"/>
  <c r="E46" i="13"/>
  <c r="E29" i="13"/>
  <c r="E75" i="13"/>
  <c r="E41" i="13"/>
  <c r="E74" i="13"/>
  <c r="C33" i="13"/>
  <c r="D76" i="13"/>
  <c r="E76" i="13"/>
  <c r="E19" i="13"/>
  <c r="D75" i="13"/>
  <c r="C34" i="13"/>
  <c r="E34" i="13"/>
  <c r="E73" i="13"/>
  <c r="E77" i="13"/>
  <c r="G41" i="13"/>
  <c r="G29" i="13"/>
  <c r="E42" i="13"/>
  <c r="G42" i="13"/>
  <c r="E37" i="13"/>
  <c r="E36" i="13"/>
  <c r="G36" i="13"/>
  <c r="F29" i="13"/>
  <c r="F42" i="13"/>
  <c r="F43" i="13"/>
  <c r="G34" i="13"/>
  <c r="F34" i="13"/>
  <c r="F19" i="13"/>
  <c r="F23" i="13"/>
  <c r="G19" i="13"/>
  <c r="E23" i="13"/>
  <c r="E33" i="13"/>
  <c r="F46" i="13"/>
  <c r="G46" i="13"/>
  <c r="E38" i="13"/>
  <c r="G38" i="13"/>
  <c r="G33" i="13"/>
  <c r="F37" i="13"/>
  <c r="F38" i="13"/>
  <c r="G37" i="13"/>
  <c r="G23" i="13"/>
  <c r="E28" i="13"/>
  <c r="E26" i="13"/>
  <c r="E43" i="13"/>
  <c r="G43" i="13"/>
  <c r="F26" i="13"/>
  <c r="G26" i="13"/>
  <c r="E27" i="13"/>
  <c r="E30" i="13"/>
  <c r="F28" i="13"/>
  <c r="G28" i="13"/>
  <c r="G27" i="13"/>
  <c r="F27" i="13"/>
  <c r="F30" i="13"/>
  <c r="F48" i="13"/>
  <c r="G30" i="13"/>
  <c r="E48" i="13"/>
  <c r="F52" i="13"/>
  <c r="F54" i="13"/>
  <c r="F55" i="13"/>
  <c r="F49" i="13"/>
  <c r="E52" i="13"/>
  <c r="E49" i="13"/>
  <c r="G48" i="13"/>
  <c r="G52" i="13"/>
  <c r="E54" i="13"/>
  <c r="E55" i="13"/>
  <c r="G55" i="13"/>
  <c r="G54" i="13"/>
  <c r="G18" i="15"/>
  <c r="E59" i="15"/>
  <c r="F18" i="15"/>
  <c r="E68" i="15"/>
  <c r="G68" i="15"/>
  <c r="E67" i="15"/>
  <c r="G67" i="15"/>
  <c r="E66" i="15"/>
  <c r="G66" i="15"/>
  <c r="E65" i="15"/>
  <c r="G65" i="15"/>
  <c r="E64" i="15"/>
  <c r="G64" i="15"/>
  <c r="E63" i="15"/>
  <c r="G63" i="15"/>
  <c r="E62" i="15"/>
  <c r="G62" i="15"/>
  <c r="E61" i="15"/>
  <c r="G61" i="15"/>
  <c r="E60" i="15"/>
  <c r="G60" i="15"/>
  <c r="E21" i="15"/>
  <c r="E22" i="15"/>
  <c r="G69" i="15"/>
  <c r="E20" i="15"/>
  <c r="G21" i="15"/>
  <c r="F21" i="15"/>
  <c r="E35" i="15"/>
  <c r="F20" i="15"/>
  <c r="G20" i="15"/>
  <c r="C34" i="15"/>
  <c r="D75" i="15"/>
  <c r="C33" i="15"/>
  <c r="E46" i="15"/>
  <c r="E41" i="15"/>
  <c r="E73" i="15"/>
  <c r="D76" i="15"/>
  <c r="E76" i="15"/>
  <c r="E19" i="15"/>
  <c r="E29" i="15"/>
  <c r="E74" i="15"/>
  <c r="E75" i="15"/>
  <c r="F22" i="15"/>
  <c r="G22" i="15"/>
  <c r="E33" i="15"/>
  <c r="E42" i="15"/>
  <c r="G42" i="15"/>
  <c r="G29" i="15"/>
  <c r="E37" i="15"/>
  <c r="E36" i="15"/>
  <c r="G36" i="15"/>
  <c r="F29" i="15"/>
  <c r="F42" i="15"/>
  <c r="G19" i="15"/>
  <c r="F19" i="15"/>
  <c r="F23" i="15"/>
  <c r="E23" i="15"/>
  <c r="E77" i="15"/>
  <c r="G46" i="15"/>
  <c r="F46" i="15"/>
  <c r="F41" i="15"/>
  <c r="E43" i="15"/>
  <c r="G43" i="15"/>
  <c r="G41" i="15"/>
  <c r="G33" i="15"/>
  <c r="E34" i="15"/>
  <c r="G35" i="15"/>
  <c r="F35" i="15"/>
  <c r="G34" i="15"/>
  <c r="F34" i="15"/>
  <c r="F43" i="15"/>
  <c r="G23" i="15"/>
  <c r="E28" i="15"/>
  <c r="E26" i="15"/>
  <c r="E38" i="15"/>
  <c r="G38" i="15"/>
  <c r="F37" i="15"/>
  <c r="G37" i="15"/>
  <c r="E27" i="15"/>
  <c r="E30" i="15"/>
  <c r="F26" i="15"/>
  <c r="G26" i="15"/>
  <c r="F38" i="15"/>
  <c r="F28" i="15"/>
  <c r="G28" i="15"/>
  <c r="G30" i="15"/>
  <c r="E48" i="15"/>
  <c r="G27" i="15"/>
  <c r="F27" i="15"/>
  <c r="F30" i="15"/>
  <c r="F48" i="15"/>
  <c r="F52" i="15"/>
  <c r="F54" i="15"/>
  <c r="F55" i="15"/>
  <c r="F49" i="15"/>
  <c r="E52" i="15"/>
  <c r="E49" i="15"/>
  <c r="G48" i="15"/>
  <c r="G52" i="15"/>
  <c r="E54" i="15"/>
  <c r="E55" i="15"/>
  <c r="G55" i="15"/>
  <c r="G5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Servicios</author>
    <author>temp</author>
    <author>Familia Duque</author>
    <author>ADMON</author>
  </authors>
  <commentList>
    <comment ref="C10" authorId="0" shapeId="0" xr:uid="{00000000-0006-0000-0000-000001000000}">
      <text>
        <r>
          <rPr>
            <sz val="11"/>
            <color indexed="81"/>
            <rFont val="Tahoma"/>
            <family val="2"/>
          </rPr>
          <t>Este calculo solo aplica para contratos  que no son de salario integral</t>
        </r>
      </text>
    </comment>
    <comment ref="C11" authorId="0" shapeId="0" xr:uid="{00000000-0006-0000-0000-000002000000}">
      <text>
        <r>
          <rPr>
            <sz val="12"/>
            <color indexed="81"/>
            <rFont val="Tahoma"/>
            <family val="2"/>
          </rPr>
          <t xml:space="preserve">RIESGO         %
Minimo   Riesgo I        </t>
        </r>
        <r>
          <rPr>
            <b/>
            <sz val="12"/>
            <color indexed="81"/>
            <rFont val="Tahoma"/>
            <family val="2"/>
          </rPr>
          <t>0,522%</t>
        </r>
        <r>
          <rPr>
            <sz val="12"/>
            <color indexed="81"/>
            <rFont val="Tahoma"/>
            <family val="2"/>
          </rPr>
          <t xml:space="preserve">
Bajo       Riesgo II       </t>
        </r>
        <r>
          <rPr>
            <b/>
            <sz val="12"/>
            <color indexed="81"/>
            <rFont val="Tahoma"/>
            <family val="2"/>
          </rPr>
          <t>1.044%</t>
        </r>
        <r>
          <rPr>
            <sz val="12"/>
            <color indexed="81"/>
            <rFont val="Tahoma"/>
            <family val="2"/>
          </rPr>
          <t xml:space="preserve">
Medio     Riesgo III      </t>
        </r>
        <r>
          <rPr>
            <b/>
            <sz val="12"/>
            <color indexed="81"/>
            <rFont val="Tahoma"/>
            <family val="2"/>
          </rPr>
          <t>2,436%</t>
        </r>
        <r>
          <rPr>
            <sz val="12"/>
            <color indexed="81"/>
            <rFont val="Tahoma"/>
            <family val="2"/>
          </rPr>
          <t xml:space="preserve">
Alto        Riesgo IV      </t>
        </r>
        <r>
          <rPr>
            <b/>
            <sz val="12"/>
            <color indexed="81"/>
            <rFont val="Tahoma"/>
            <family val="2"/>
          </rPr>
          <t>4,350%</t>
        </r>
        <r>
          <rPr>
            <sz val="12"/>
            <color indexed="81"/>
            <rFont val="Tahoma"/>
            <family val="2"/>
          </rPr>
          <t xml:space="preserve">
Maximo    Riesgo V      </t>
        </r>
        <r>
          <rPr>
            <b/>
            <sz val="12"/>
            <color indexed="81"/>
            <rFont val="Tahoma"/>
            <family val="2"/>
          </rPr>
          <t>6,960%</t>
        </r>
        <r>
          <rPr>
            <sz val="12"/>
            <color indexed="81"/>
            <rFont val="Tahoma"/>
            <family val="2"/>
          </rPr>
          <t xml:space="preserve">
Colocar el % segun el riesgo que corresponda.
</t>
        </r>
      </text>
    </comment>
    <comment ref="C12" authorId="0" shapeId="0" xr:uid="{00000000-0006-0000-0000-000003000000}">
      <text>
        <r>
          <rPr>
            <sz val="11"/>
            <color indexed="81"/>
            <rFont val="Tahoma"/>
            <family val="2"/>
          </rPr>
          <t>NOTA: Solo colocar si el salario es hasta $1.656.232
Solo es obligacion de entregar dotación a quienes devenguen hasta 2 salarios minimos legales mensuales.Ley 11 de 1984 art 7          
Una dotacion esta compuesta por:
Un par de zapatos            $ 
y un vestido de labor        $       
Coloque la suma de los dos valores</t>
        </r>
      </text>
    </comment>
    <comment ref="C13" authorId="0" shapeId="0" xr:uid="{00000000-0006-0000-0000-000004000000}">
      <text>
        <r>
          <rPr>
            <sz val="11"/>
            <color indexed="81"/>
            <rFont val="Tahoma"/>
            <family val="2"/>
          </rPr>
          <t>Se debe colocar lo que cuesta adquirir una unidad de la moneda extranjera a la cual se desea convertir, por ejemplo lo que cuesta comprar un dolar</t>
        </r>
      </text>
    </comment>
    <comment ref="E15" authorId="1" shapeId="0" xr:uid="{00000000-0006-0000-0000-000005000000}">
      <text>
        <r>
          <rPr>
            <b/>
            <sz val="10"/>
            <color indexed="81"/>
            <rFont val="Tahoma"/>
            <family val="2"/>
          </rPr>
          <t xml:space="preserve">Calculo de un trabajador para un empleador persona natural que solo tiene un trabajador en su nómina, 
Tampoco aplica para sus trabajadores que devenguen 10 SMLMV o mas.
</t>
        </r>
      </text>
    </comment>
    <comment ref="F15" authorId="1" shapeId="0" xr:uid="{00000000-0006-0000-0000-000006000000}">
      <text>
        <r>
          <rPr>
            <b/>
            <sz val="10"/>
            <color indexed="81"/>
            <rFont val="Tahoma"/>
            <family val="2"/>
          </rPr>
          <t>EXONERADOS DE PAGAR SALUD. SENA, ICBF</t>
        </r>
        <r>
          <rPr>
            <sz val="10"/>
            <color indexed="81"/>
            <rFont val="Tahoma"/>
            <family val="2"/>
          </rPr>
          <t xml:space="preserve">
</t>
        </r>
        <r>
          <rPr>
            <b/>
            <sz val="10"/>
            <color indexed="81"/>
            <rFont val="Tahoma"/>
            <family val="2"/>
          </rPr>
          <t>Para las sociedades y personas jurídicas y asimiladas</t>
        </r>
        <r>
          <rPr>
            <sz val="10"/>
            <color indexed="81"/>
            <rFont val="Tahoma"/>
            <family val="2"/>
          </rPr>
          <t xml:space="preserve"> contribuyentes declarantes del impuesto sobre la renta y complementarios, correspondientes a los trabajadores que devenguen, individualmente considerados, hasta diez (10) salarios mínimos mensuales legales vigentes.
 Así mismo</t>
        </r>
        <r>
          <rPr>
            <b/>
            <sz val="10"/>
            <color indexed="81"/>
            <rFont val="Tahoma"/>
            <family val="2"/>
          </rPr>
          <t xml:space="preserve"> las personas naturales</t>
        </r>
        <r>
          <rPr>
            <sz val="10"/>
            <color indexed="81"/>
            <rFont val="Tahoma"/>
            <family val="2"/>
          </rPr>
          <t xml:space="preserve"> empleadoras con empleados que devenguen menos de diez (10) salarios mínimos legales mensuales vigentes. 
Lo anterior no aplicará para personas naturales que empleen menos de dos trabajadores, los cuales seguirán obligados a efectuar los aportes de salud, Sena, Icbf.
</t>
        </r>
      </text>
    </comment>
    <comment ref="G15" authorId="1" shapeId="0" xr:uid="{00000000-0006-0000-0000-000007000000}">
      <text>
        <r>
          <rPr>
            <sz val="10"/>
            <color indexed="81"/>
            <rFont val="Tahoma"/>
            <family val="2"/>
          </rPr>
          <t xml:space="preserve">Conversion para el caso de un solo trabajador donde no existe exencion de salud y SENA , ICBF
</t>
        </r>
      </text>
    </comment>
    <comment ref="C18" authorId="0" shapeId="0" xr:uid="{00000000-0006-0000-0000-000008000000}">
      <text>
        <r>
          <rPr>
            <sz val="11"/>
            <color indexed="81"/>
            <rFont val="Tahoma"/>
            <family val="2"/>
          </rPr>
          <t>No puede ser inferior al minimo legal, o sea $ 828.116</t>
        </r>
      </text>
    </comment>
    <comment ref="E18" authorId="0" shapeId="0" xr:uid="{00000000-0006-0000-0000-000009000000}">
      <text>
        <r>
          <rPr>
            <sz val="11"/>
            <color indexed="81"/>
            <rFont val="Tahoma"/>
            <family val="2"/>
          </rPr>
          <t>Si sale la palabra FALSO es porque esta colocando un valor inferior al minimo legal, y no calcula.</t>
        </r>
      </text>
    </comment>
    <comment ref="B19" authorId="2" shapeId="0" xr:uid="{00000000-0006-0000-0000-00000A000000}">
      <text>
        <r>
          <rPr>
            <sz val="11"/>
            <color indexed="81"/>
            <rFont val="Tahoma"/>
            <family val="2"/>
          </rPr>
          <t>Si bien el auxilio de transporte no es salario, se entiende incorporado al salario para todos los efectos de liquidacion de prestaciones sociales.  Art 7 ley 1 de 1963</t>
        </r>
      </text>
    </comment>
    <comment ref="C20" authorId="0" shapeId="0" xr:uid="{00000000-0006-0000-0000-00000B000000}">
      <text>
        <r>
          <rPr>
            <sz val="11"/>
            <color indexed="81"/>
            <rFont val="Tahoma"/>
            <family val="2"/>
          </rPr>
          <t>A quien trabaje entre las 9 p.m y las 6 a.m
Si el recargo nocturno es en domingo se le suma un 75%</t>
        </r>
      </text>
    </comment>
    <comment ref="C21" authorId="0" shapeId="0" xr:uid="{00000000-0006-0000-0000-00000C000000}">
      <text>
        <r>
          <rPr>
            <sz val="11"/>
            <color indexed="81"/>
            <rFont val="Tahoma"/>
            <family val="2"/>
          </rPr>
          <t>El trabajar en dominical o festivo genera un recargo del 75%
Cuando no se toma el descanso compensatorio  habiendo trabajado el dominical se paga una vez mas.</t>
        </r>
      </text>
    </comment>
    <comment ref="B22" authorId="1" shapeId="0" xr:uid="{00000000-0006-0000-0000-00000D000000}">
      <text>
        <r>
          <rPr>
            <sz val="11"/>
            <color indexed="81"/>
            <rFont val="Tahoma"/>
            <family val="2"/>
          </rPr>
          <t xml:space="preserve">Para que se pueda trabajar horas extras se requiere  autorización del Mintrabajo, salvo por razón de fuerza mayor, caso fortuito, de amenazar u ocurrir al gún accidente o cuando sean indispensabless trabajos de urgencia que deban efectuarse en las maquinas o en la dotación de la empresa Decreto 13 de 1967 Art 1 y 2.
</t>
        </r>
      </text>
    </comment>
    <comment ref="C26" authorId="0" shapeId="0" xr:uid="{00000000-0006-0000-0000-00000E000000}">
      <text>
        <r>
          <rPr>
            <sz val="12"/>
            <color indexed="81"/>
            <rFont val="Tahoma"/>
            <family val="2"/>
          </rPr>
          <t xml:space="preserve">Se paga un mes de salario al año.
Dentro de salario se tiene en cuenta el salario basico mas recargos y horas extras.
Ley 1 de 1963 Art 7, establece que el auxilio de transporte se tiene en cuenta para liquidar prestaciones sociales
Cesantìa= salario x No dias trabajados 
             -----------------------------------------
                             360
</t>
        </r>
      </text>
    </comment>
    <comment ref="C27" authorId="0" shapeId="0" xr:uid="{00000000-0006-0000-0000-00000F000000}">
      <text>
        <r>
          <rPr>
            <sz val="12"/>
            <color indexed="81"/>
            <rFont val="Tahoma"/>
            <family val="2"/>
          </rPr>
          <t>Equivale al uno por ciento de la cesantía por cada mes trabajado.Lo que significa el 12% al año.
Intereses=   salario x No dias trabajados X 0.12
                  -----------------------------------------------
                                         360</t>
        </r>
      </text>
    </comment>
    <comment ref="C28" authorId="0" shapeId="0" xr:uid="{00000000-0006-0000-0000-000010000000}">
      <text>
        <r>
          <rPr>
            <sz val="11"/>
            <color indexed="81"/>
            <rFont val="Tahoma"/>
            <family val="2"/>
          </rPr>
          <t xml:space="preserve">Equivale a un mes de salario al año+ subsidio de transporte, pagadero asi:
15 dias el ultimo dia de junio
y 15 dias en los primeros 20 dias de diciembre.
El salario comprende el salario basico mas recargos y horas extras.
Se calcula sobre el promedio obtenido en el respectivo semestre o en el período trabajado si este fuere menor
Prima= salario x No dias trabajados en el semestre
            -----------------------------------------------
                                         360 </t>
        </r>
      </text>
    </comment>
    <comment ref="C29" authorId="0" shapeId="0" xr:uid="{00000000-0006-0000-0000-000011000000}">
      <text>
        <r>
          <rPr>
            <sz val="11"/>
            <color indexed="81"/>
            <rFont val="Tahoma"/>
            <family val="2"/>
          </rPr>
          <t xml:space="preserve">Se reconocen por cada año de servicios 15 dias hábiles de vacaciones y  la provisión se ha hecho con 15 días.
Sin embargo en la practica por tratarse de dias habiles se convierten en 17 días calendario si desea utilizar los 17 dias debe diividir 17 entre 360  lo que significa un porcentaje del 4.72% el cual multiplica por el salario.
En su calculo NO se incluye por disposicion legal:
1- el auxilio de transporte.
2- Las horas extras 
3-y el valor del trabajo en dias de descanso obligatorio.
</t>
        </r>
      </text>
    </comment>
    <comment ref="B33" authorId="2" shapeId="0" xr:uid="{00000000-0006-0000-0000-000012000000}">
      <text>
        <r>
          <rPr>
            <sz val="11"/>
            <color indexed="81"/>
            <rFont val="Tahoma"/>
            <family val="2"/>
          </rPr>
          <t xml:space="preserve">Protege al trabajador contra contingencias de enfermedad general y maternidad
</t>
        </r>
      </text>
    </comment>
    <comment ref="C33" authorId="0" shapeId="0" xr:uid="{00000000-0006-0000-0000-000013000000}">
      <text>
        <r>
          <rPr>
            <sz val="11"/>
            <color indexed="81"/>
            <rFont val="Tahoma"/>
            <family val="2"/>
          </rPr>
          <t>Este valor equivale al aporte de empleador y trabajador.
El decreto 1406 de 1999 establece la forma de aproximar las cifras asi:
1- El monto del ingreso base de cotizacion correspondiente a cada afiliado se aproxima al multiplo de mil mas cercano.
2. El valor de los aportes liquidados por cada afiliado, al multiplo de cien mas cercano. La fraccion igual o menor a 500 y 50  se deducira
Para el calculo no se suma el auxilio de transporte.</t>
        </r>
      </text>
    </comment>
    <comment ref="D33" authorId="0" shapeId="0" xr:uid="{00000000-0006-0000-0000-000014000000}">
      <text>
        <r>
          <rPr>
            <sz val="11"/>
            <color indexed="81"/>
            <rFont val="Tahoma"/>
            <family val="2"/>
          </rPr>
          <t>El aporte total  se debe discriminar asi:
El empleador:   8,5%
Trabajador:     4.0%
Tope Minimo: 1 SMLMV--    $ 828.116
Tope maximo 25 SMLMV - $ 20.702.900</t>
        </r>
      </text>
    </comment>
    <comment ref="F33" authorId="1" shapeId="0" xr:uid="{00000000-0006-0000-0000-000015000000}">
      <text>
        <r>
          <rPr>
            <sz val="12"/>
            <color indexed="81"/>
            <rFont val="Tahoma"/>
            <family val="2"/>
          </rPr>
          <t>El empleador esta exonerado de realizar su aporte siempre y cuando reuna dos requisitos
1- Tenga el empleador dos o mas trabajadores
2. El trabajador devengue menos de 10 SMLMV</t>
        </r>
      </text>
    </comment>
    <comment ref="B34" authorId="2" shapeId="0" xr:uid="{00000000-0006-0000-0000-000016000000}">
      <text>
        <r>
          <rPr>
            <sz val="11"/>
            <color indexed="81"/>
            <rFont val="Tahoma"/>
            <family val="2"/>
          </rPr>
          <t>Ampara al trabajador contra contingencias de vejez, invalidez y muerte, mediante el reconocimiento de pensiones y prestaciones.</t>
        </r>
      </text>
    </comment>
    <comment ref="C34" authorId="0" shapeId="0" xr:uid="{00000000-0006-0000-0000-000017000000}">
      <text>
        <r>
          <rPr>
            <sz val="11"/>
            <color indexed="81"/>
            <rFont val="Tahoma"/>
            <family val="2"/>
          </rPr>
          <t>Este valor es la suma del aporte de la empresa y el trabajador
Para el calculo no se  suma el auxilio de transporte</t>
        </r>
      </text>
    </comment>
    <comment ref="D34" authorId="0" shapeId="0" xr:uid="{00000000-0006-0000-0000-000018000000}">
      <text>
        <r>
          <rPr>
            <sz val="11"/>
            <color indexed="81"/>
            <rFont val="Tahoma"/>
            <family val="2"/>
          </rPr>
          <t>El aporte total  se debe discriminar asi:
El empleador:  12%
Trabajador:     4.0%
Tope Minimo: 1 SMLMV--       $ 822.116
Tope maximo 25 SMLMV - $ 20.702.900</t>
        </r>
      </text>
    </comment>
    <comment ref="B35" authorId="2" shapeId="0" xr:uid="{00000000-0006-0000-0000-000019000000}">
      <text>
        <r>
          <rPr>
            <sz val="11"/>
            <color indexed="81"/>
            <rFont val="Tahoma"/>
            <family val="2"/>
          </rPr>
          <t>Protege al trabajador contra accidentes de trabajo y enfermedades laborales</t>
        </r>
      </text>
    </comment>
    <comment ref="C35" authorId="0" shapeId="0" xr:uid="{00000000-0006-0000-0000-00001A000000}">
      <text>
        <r>
          <rPr>
            <sz val="11"/>
            <color indexed="81"/>
            <rFont val="Tahoma"/>
            <family val="2"/>
          </rPr>
          <t>Decreto 1772 de 1994, Art 13
Tope Minimo: 1 SMLMV -      $ 781.242
Tope maximo 25 SMLMV - $19.531.050   
Para el calculo no se suma el auxilio de transporte.
Esta aporte esta a cargo exclusivo del empleador</t>
        </r>
      </text>
    </comment>
    <comment ref="B41" authorId="2" shapeId="0" xr:uid="{00000000-0006-0000-0000-00001B000000}">
      <text>
        <r>
          <rPr>
            <b/>
            <sz val="11"/>
            <color indexed="81"/>
            <rFont val="Tahoma"/>
            <family val="2"/>
          </rPr>
          <t xml:space="preserve">Cajas de compensacion Familiar </t>
        </r>
        <r>
          <rPr>
            <sz val="11"/>
            <color indexed="81"/>
            <rFont val="Tahoma"/>
            <family val="2"/>
          </rPr>
          <t xml:space="preserve">:Paga el subsidio Familiar y brinda recreación y bienestar social a los trabajadores.
</t>
        </r>
        <r>
          <rPr>
            <b/>
            <sz val="11"/>
            <color indexed="81"/>
            <rFont val="Tahoma"/>
            <family val="2"/>
          </rPr>
          <t xml:space="preserve">Sena: </t>
        </r>
        <r>
          <rPr>
            <sz val="11"/>
            <color indexed="81"/>
            <rFont val="Tahoma"/>
            <family val="2"/>
          </rPr>
          <t xml:space="preserve">Realiza formacion profesional a los aprendices que deben contratar las empresas.
</t>
        </r>
        <r>
          <rPr>
            <b/>
            <sz val="11"/>
            <color indexed="81"/>
            <rFont val="Tahoma"/>
            <family val="2"/>
          </rPr>
          <t>ICBF</t>
        </r>
        <r>
          <rPr>
            <sz val="11"/>
            <color indexed="81"/>
            <rFont val="Tahoma"/>
            <family val="2"/>
          </rPr>
          <t>: Atiende especialmente la niñez desamparada  pre-escolar menor de 7 años</t>
        </r>
      </text>
    </comment>
    <comment ref="C41" authorId="0" shapeId="0" xr:uid="{00000000-0006-0000-0000-00001C000000}">
      <text>
        <r>
          <rPr>
            <sz val="11"/>
            <color indexed="81"/>
            <rFont val="Tahoma"/>
            <family val="2"/>
          </rPr>
          <t>El auxilio de transporte no se tiene en cuenta para este calculo. Art 17 ley 344/96
El trabajador que devengue en el mes hasta 4 veces el salario minimos ($3.312.464 ) tiene derecho al pago del subsidio en diner</t>
        </r>
      </text>
    </comment>
    <comment ref="D41" authorId="3" shapeId="0" xr:uid="{00000000-0006-0000-0000-00001D000000}">
      <text>
        <r>
          <rPr>
            <sz val="10"/>
            <color indexed="81"/>
            <rFont val="Tahoma"/>
            <family val="2"/>
          </rPr>
          <t>A partir del 1 de julio de 2013 solo se cotiza el 4% de las cajas de compensación según la ley 1607 de 2012, art 25, así:
Artículo 25°. Exoneración de aportes. A partir del momento en que el Gobierno Nacional implemente el sistema de retenciones en la fuente para el recaudo del impuesto sobre la renta para la equidad -CREE, Y en todo caso antes del 1° de julio de 2013, estarán exoneradas del pago de los aportes parafiscales a favor del Servicio Nacional del Aprendizaje -SENA Y de Instituto Colombiano de Bienestar Familiar -ICBF,</t>
        </r>
        <r>
          <rPr>
            <b/>
            <sz val="10"/>
            <color indexed="81"/>
            <rFont val="Tahoma"/>
            <family val="2"/>
          </rPr>
          <t xml:space="preserve"> las sociedades y personas jurídicas y asimiladas</t>
        </r>
        <r>
          <rPr>
            <sz val="10"/>
            <color indexed="81"/>
            <rFont val="Tahoma"/>
            <family val="2"/>
          </rPr>
          <t xml:space="preserve"> contribuyentes declarantes del impuesto sobre la renta y complementarios, correspondientes a los trabajadores que devenguen, individualmente considerados, hasta diez (10) salarios mínimos mensuales legales vigentes.
 Así mismo las </t>
        </r>
        <r>
          <rPr>
            <b/>
            <sz val="10"/>
            <color indexed="81"/>
            <rFont val="Tahoma"/>
            <family val="2"/>
          </rPr>
          <t>personas naturales empleadoras</t>
        </r>
        <r>
          <rPr>
            <sz val="10"/>
            <color indexed="81"/>
            <rFont val="Tahoma"/>
            <family val="2"/>
          </rPr>
          <t xml:space="preserve"> estarán exoneradas de la obligación de pago de los aportes parafiscales al SENA, al ICBF y al Sistema de Seguridad Social en Salud por los empleados que devenguen menos de diez (10) salarios mínimos legales mensuales vigentes. Lo anterior no aplicará para personas naturales que empleen menos de dos trabajadores, los cuales seguirán obligados a efectuar los aportes de que trata este inciso</t>
        </r>
      </text>
    </comment>
    <comment ref="C46" authorId="0" shapeId="0" xr:uid="{00000000-0006-0000-0000-00001E000000}">
      <text>
        <r>
          <rPr>
            <sz val="11"/>
            <color indexed="81"/>
            <rFont val="Tahoma"/>
            <family val="2"/>
          </rPr>
          <t>Fecha de entrega
30 abril 
31 de agosto
20 de diciembre
Es obligacion entregarla solo a partir del tercer mes de vinculación laboral.
Se entrega a quienes devengan hasta 2 salarios minimos legales $1.56.232</t>
        </r>
      </text>
    </comment>
    <comment ref="F58" authorId="0" shapeId="0" xr:uid="{00000000-0006-0000-0000-00001F000000}">
      <text>
        <r>
          <rPr>
            <sz val="11"/>
            <color indexed="81"/>
            <rFont val="Tahoma"/>
            <family val="2"/>
          </rPr>
          <t>Aquí se puede colocar el numero de horas por recargos y horas extras que se van a dar todos los meses, para calcular el costo mes.</t>
        </r>
      </text>
    </comment>
    <comment ref="E60" authorId="0" shapeId="0" xr:uid="{00000000-0006-0000-0000-000020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1" authorId="0" shapeId="0" xr:uid="{00000000-0006-0000-0000-000021000000}">
      <text>
        <r>
          <rPr>
            <sz val="12"/>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C62" authorId="0" shapeId="0" xr:uid="{00000000-0006-0000-0000-000022000000}">
      <text>
        <r>
          <rPr>
            <sz val="11"/>
            <color indexed="81"/>
            <rFont val="Tahoma"/>
            <family val="2"/>
          </rPr>
          <t>Por trabajar el domingo el trabajador tiene derecho a un descanso compensatorio, pero sino lo toma tiene derecho a que se le pague en dinero un dia, ademas del recargo del 75% por haber trabajado el domingo.
Esto para el trabajador que ocasionalmente trabaja en domingo, pues el que lo hace habitualmente necesariamente debe descansar</t>
        </r>
      </text>
    </comment>
    <comment ref="E62" authorId="0" shapeId="0" xr:uid="{00000000-0006-0000-0000-000023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3" authorId="0" shapeId="0" xr:uid="{00000000-0006-0000-0000-000024000000}">
      <text>
        <r>
          <rPr>
            <sz val="11"/>
            <color indexed="81"/>
            <rFont val="Tahoma"/>
            <family val="2"/>
          </rPr>
          <t>Este es el valor adicional que se paga a la hora basica la cual ya esta incluida en el  salario basico.
Para tener el costo total de esa hora sume el recargo mas el valor de la hora basica</t>
        </r>
        <r>
          <rPr>
            <b/>
            <sz val="8"/>
            <color indexed="81"/>
            <rFont val="Tahoma"/>
            <family val="2"/>
          </rPr>
          <t xml:space="preserve">
</t>
        </r>
      </text>
    </comment>
    <comment ref="E73" authorId="0" shapeId="0" xr:uid="{00000000-0006-0000-0000-000025000000}">
      <text>
        <r>
          <rPr>
            <sz val="11"/>
            <color indexed="81"/>
            <rFont val="Tahoma"/>
            <family val="2"/>
          </rPr>
          <t>Trabajador:     4.0%
Base Tope Minimo: 1 SMLMV--       $ 828.116
Base Tope maximo 25 SMLMV - $ 20.702.900</t>
        </r>
      </text>
    </comment>
    <comment ref="E74" authorId="0" shapeId="0" xr:uid="{00000000-0006-0000-0000-000026000000}">
      <text>
        <r>
          <rPr>
            <sz val="11"/>
            <color indexed="81"/>
            <rFont val="Tahoma"/>
            <family val="2"/>
          </rPr>
          <t>Trabajador:     4.0%
Tope Minimo: 1 SMLMV--       $ 828.116
Tope maximo 25 SMLMV - $ 20.702.900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Servicios</author>
    <author>Familia Duque</author>
  </authors>
  <commentList>
    <comment ref="C5" authorId="0" shapeId="0" xr:uid="{00000000-0006-0000-0900-000001000000}">
      <text>
        <r>
          <rPr>
            <sz val="11"/>
            <color indexed="81"/>
            <rFont val="Tahoma"/>
            <family val="2"/>
          </rPr>
          <t>Decreto 5053 de 2009</t>
        </r>
      </text>
    </comment>
    <comment ref="C6" authorId="0" shapeId="0" xr:uid="{00000000-0006-0000-0900-000002000000}">
      <text>
        <r>
          <rPr>
            <sz val="11"/>
            <color indexed="81"/>
            <rFont val="Tahoma"/>
            <family val="2"/>
          </rPr>
          <t xml:space="preserve">Decreto 5054 de 2009
                    </t>
        </r>
      </text>
    </comment>
    <comment ref="C10" authorId="0" shapeId="0" xr:uid="{00000000-0006-0000-0900-000003000000}">
      <text>
        <r>
          <rPr>
            <sz val="11"/>
            <color indexed="81"/>
            <rFont val="Tahoma"/>
            <family val="2"/>
          </rPr>
          <t>Este calculo solo aplica para contratos  que no son de salario integral</t>
        </r>
      </text>
    </comment>
    <comment ref="C11" authorId="0" shapeId="0" xr:uid="{00000000-0006-0000-0900-000004000000}">
      <text>
        <r>
          <rPr>
            <sz val="12"/>
            <color indexed="81"/>
            <rFont val="Tahoma"/>
            <family val="2"/>
          </rPr>
          <t xml:space="preserve">RIESGO         %
Minimo   Riesgo I        </t>
        </r>
        <r>
          <rPr>
            <b/>
            <sz val="12"/>
            <color indexed="81"/>
            <rFont val="Tahoma"/>
            <family val="2"/>
          </rPr>
          <t>0,522%</t>
        </r>
        <r>
          <rPr>
            <sz val="12"/>
            <color indexed="81"/>
            <rFont val="Tahoma"/>
            <family val="2"/>
          </rPr>
          <t xml:space="preserve">
Bajo       Riesgo II      </t>
        </r>
        <r>
          <rPr>
            <b/>
            <sz val="12"/>
            <color indexed="81"/>
            <rFont val="Tahoma"/>
            <family val="2"/>
          </rPr>
          <t>1.044%</t>
        </r>
        <r>
          <rPr>
            <sz val="12"/>
            <color indexed="81"/>
            <rFont val="Tahoma"/>
            <family val="2"/>
          </rPr>
          <t xml:space="preserve">
Medio     Riesgo III     </t>
        </r>
        <r>
          <rPr>
            <b/>
            <sz val="12"/>
            <color indexed="81"/>
            <rFont val="Tahoma"/>
            <family val="2"/>
          </rPr>
          <t>2,436%</t>
        </r>
        <r>
          <rPr>
            <sz val="12"/>
            <color indexed="81"/>
            <rFont val="Tahoma"/>
            <family val="2"/>
          </rPr>
          <t xml:space="preserve">
Alto        Riesgo IV    </t>
        </r>
        <r>
          <rPr>
            <b/>
            <sz val="12"/>
            <color indexed="81"/>
            <rFont val="Tahoma"/>
            <family val="2"/>
          </rPr>
          <t>4,350%</t>
        </r>
        <r>
          <rPr>
            <sz val="12"/>
            <color indexed="81"/>
            <rFont val="Tahoma"/>
            <family val="2"/>
          </rPr>
          <t xml:space="preserve">
Maximo    Riesgo V     </t>
        </r>
        <r>
          <rPr>
            <b/>
            <sz val="12"/>
            <color indexed="81"/>
            <rFont val="Tahoma"/>
            <family val="2"/>
          </rPr>
          <t>6,960%</t>
        </r>
        <r>
          <rPr>
            <sz val="12"/>
            <color indexed="81"/>
            <rFont val="Tahoma"/>
            <family val="2"/>
          </rPr>
          <t xml:space="preserve">
Colocar el % segun el riesgo que corresponda.
</t>
        </r>
      </text>
    </comment>
    <comment ref="C12" authorId="0" shapeId="0" xr:uid="{00000000-0006-0000-0900-000005000000}">
      <text>
        <r>
          <rPr>
            <sz val="11"/>
            <color indexed="81"/>
            <rFont val="Tahoma"/>
            <family val="2"/>
          </rPr>
          <t>NOTA: Solo colocar si el salario es hasta $1.030.000.
Solo es obligacion de entregar dotación a quienes devenguen hasta 2 salarios minimos legales mensuales.Ley 11 de 1984 art 7          
Una dotacion esta compuesta por:
Un par de zapatos            $
y un vestido de labor        $       
Coloque la suma de los dos valores.
En promedio la suma de los dos puede costar $85.000, obviamente puede ser mayor o menor dependiendo de la calidad de la dotación.</t>
        </r>
      </text>
    </comment>
    <comment ref="C18" authorId="0" shapeId="0" xr:uid="{00000000-0006-0000-0900-000006000000}">
      <text>
        <r>
          <rPr>
            <sz val="11"/>
            <color indexed="81"/>
            <rFont val="Tahoma"/>
            <family val="2"/>
          </rPr>
          <t>No puede ser inferior al minimo legal, o sea $515.000</t>
        </r>
      </text>
    </comment>
    <comment ref="E18" authorId="0" shapeId="0" xr:uid="{00000000-0006-0000-0900-000007000000}">
      <text>
        <r>
          <rPr>
            <sz val="11"/>
            <color indexed="81"/>
            <rFont val="Tahoma"/>
            <family val="2"/>
          </rPr>
          <t>Si sale la palabra FALSO es porque esta colocando un valor inferior al minimo legal, y no calcula.</t>
        </r>
      </text>
    </comment>
    <comment ref="B19" authorId="1" shapeId="0" xr:uid="{00000000-0006-0000-0900-000008000000}">
      <text>
        <r>
          <rPr>
            <sz val="11"/>
            <color indexed="81"/>
            <rFont val="Tahoma"/>
            <family val="2"/>
          </rPr>
          <t>Si bien el auxilio de transporte no es salario, se entiende incorporado al salario para todos los efectos de liquidacion de prestaciones sociales.  Art 7 ley 1 de 1963</t>
        </r>
      </text>
    </comment>
    <comment ref="C20" authorId="0" shapeId="0" xr:uid="{00000000-0006-0000-0900-000009000000}">
      <text>
        <r>
          <rPr>
            <sz val="11"/>
            <color indexed="81"/>
            <rFont val="Tahoma"/>
            <family val="2"/>
          </rPr>
          <t>A quien trabaje entre las 10 p.m y las 6 a.m</t>
        </r>
      </text>
    </comment>
    <comment ref="C21" authorId="0" shapeId="0" xr:uid="{00000000-0006-0000-0900-00000A000000}">
      <text>
        <r>
          <rPr>
            <sz val="11"/>
            <color indexed="81"/>
            <rFont val="Tahoma"/>
            <family val="2"/>
          </rPr>
          <t>Ademas del recargo del 75% por trabajar un domingo,si se trabajo nocturno se recarga con el 35%.
Si no se toma el descanso compensatorio  por haber trabajado el dominical se paga una vez mas.</t>
        </r>
      </text>
    </comment>
    <comment ref="C26" authorId="0" shapeId="0" xr:uid="{00000000-0006-0000-0900-00000B000000}">
      <text>
        <r>
          <rPr>
            <sz val="12"/>
            <color indexed="81"/>
            <rFont val="Tahoma"/>
            <family val="2"/>
          </rPr>
          <t xml:space="preserve">Se paga un mes de salario al año.
Dentro de salario se tiene en cuenta el salario basico mas recargos y horas extras.
Ley 1 de 1963 Art 7, establece que el auxilio de transporte se tiene en cuenta para liquidar prestaciones sociales
</t>
        </r>
      </text>
    </comment>
    <comment ref="C27" authorId="0" shapeId="0" xr:uid="{00000000-0006-0000-0900-00000C000000}">
      <text>
        <r>
          <rPr>
            <sz val="12"/>
            <color indexed="81"/>
            <rFont val="Tahoma"/>
            <family val="2"/>
          </rPr>
          <t>Equivale al uno por ciento por cada mes trabajado.Lo que significa el 12% al año.
Intereses= salario x No dias trabajados X 0.12
                  -------------------------------------------
                                         360</t>
        </r>
      </text>
    </comment>
    <comment ref="C28" authorId="0" shapeId="0" xr:uid="{00000000-0006-0000-0900-00000D000000}">
      <text>
        <r>
          <rPr>
            <sz val="11"/>
            <color indexed="81"/>
            <rFont val="Tahoma"/>
            <family val="2"/>
          </rPr>
          <t>Equivale a un mes de salario+ subsidio de transporte, pagadero asi:
15 dias el ultimo dia de junio
y 15 dias en los primeros 20 dias de diciembre.
El salario comprende el salario basico mas recargos y horas extras.
Se calcula sobre el promedio obtenido en el respectivo semestre o en el período trabajado si este fuere menor</t>
        </r>
      </text>
    </comment>
    <comment ref="C29" authorId="0" shapeId="0" xr:uid="{00000000-0006-0000-0900-00000E000000}">
      <text>
        <r>
          <rPr>
            <sz val="11"/>
            <color indexed="81"/>
            <rFont val="Tahoma"/>
            <family val="2"/>
          </rPr>
          <t xml:space="preserve">Se reconocen por cada año de servicios 15 dias hábiles de vacaciones y  la provisión se ha hecho con 15 días.
Sin embargo en la practica por tratarse de dias habiles se convierten en 17 días calendario si desea utilizar los 17 dias debe dividir 17 entre 360  lo que significa un porcentaje del 4.72% el cual multiplica por el salario.
En su calculo NO se incluye por disposicion legal:
1- el auxilio de transporte.
2- Las horas extras 
3-y el valor del trabajo en dias de descanso obligatorio.
</t>
        </r>
      </text>
    </comment>
    <comment ref="B33" authorId="1" shapeId="0" xr:uid="{00000000-0006-0000-0900-00000F000000}">
      <text>
        <r>
          <rPr>
            <sz val="11"/>
            <color indexed="81"/>
            <rFont val="Tahoma"/>
            <family val="2"/>
          </rPr>
          <t xml:space="preserve">Protege al trabajador contra contingencias de enfermedad general y maternidad
</t>
        </r>
      </text>
    </comment>
    <comment ref="C33" authorId="0" shapeId="0" xr:uid="{00000000-0006-0000-0900-000010000000}">
      <text>
        <r>
          <rPr>
            <sz val="11"/>
            <color indexed="81"/>
            <rFont val="Tahoma"/>
            <family val="2"/>
          </rPr>
          <t>El decreto 1406 de 1999 establece la forma de aproximar las cifras asi:
1- El monto del ingreso base de cotizacion correspondiente a cada afiliado se aproxima al multiplo de mil mas cercano.
2. El valor de los aportes liquidados por cada afiliado, al multiplo de cien mas cercano. La fraccion igual o menor a 500 y 50  se deducira
Para el calculo no se suma el auxilio de transporte.</t>
        </r>
      </text>
    </comment>
    <comment ref="D33" authorId="0" shapeId="0" xr:uid="{00000000-0006-0000-0900-000011000000}">
      <text>
        <r>
          <rPr>
            <sz val="11"/>
            <color indexed="81"/>
            <rFont val="Tahoma"/>
            <family val="2"/>
          </rPr>
          <t>El aporte total  se debe discriminar asi:
El empleador:  8,5%
Trabajador:     4.0%
Tope Minimo: 1 SMLMV--        $515.000
Tope maximo 25 SMLMV - $12.875.000</t>
        </r>
      </text>
    </comment>
    <comment ref="B34" authorId="1" shapeId="0" xr:uid="{00000000-0006-0000-0900-000012000000}">
      <text>
        <r>
          <rPr>
            <sz val="11"/>
            <color indexed="81"/>
            <rFont val="Tahoma"/>
            <family val="2"/>
          </rPr>
          <t>Ampara al trabajador contra contingencias de vejez, invalidez y muerte, mediante el reconocimiento de pensiones y prestaciones.</t>
        </r>
      </text>
    </comment>
    <comment ref="C34" authorId="0" shapeId="0" xr:uid="{00000000-0006-0000-0900-000013000000}">
      <text>
        <r>
          <rPr>
            <sz val="11"/>
            <color indexed="81"/>
            <rFont val="Tahoma"/>
            <family val="2"/>
          </rPr>
          <t>Para el calculo no se  suma el auxilio de transporte</t>
        </r>
      </text>
    </comment>
    <comment ref="D34" authorId="0" shapeId="0" xr:uid="{00000000-0006-0000-0900-000014000000}">
      <text>
        <r>
          <rPr>
            <sz val="11"/>
            <color indexed="81"/>
            <rFont val="Tahoma"/>
            <family val="2"/>
          </rPr>
          <t>El aporte total  se debe discriminar asi:
El empleador:  12%
Trabajador:     4.0%
Tope Minimo: 1 SMLMV--        $515.000
Tope maximo 25 SMLMV - $12.875.000</t>
        </r>
      </text>
    </comment>
    <comment ref="B35" authorId="1" shapeId="0" xr:uid="{00000000-0006-0000-0900-000015000000}">
      <text>
        <r>
          <rPr>
            <sz val="11"/>
            <color indexed="81"/>
            <rFont val="Tahoma"/>
            <family val="2"/>
          </rPr>
          <t>Protege al trabajador contra accidentes de trabajo y enfermedades profesionales</t>
        </r>
        <r>
          <rPr>
            <sz val="8"/>
            <color indexed="81"/>
            <rFont val="Tahoma"/>
            <family val="2"/>
          </rPr>
          <t xml:space="preserve">
</t>
        </r>
      </text>
    </comment>
    <comment ref="C35" authorId="0" shapeId="0" xr:uid="{00000000-0006-0000-0900-000016000000}">
      <text>
        <r>
          <rPr>
            <sz val="11"/>
            <color indexed="81"/>
            <rFont val="Tahoma"/>
            <family val="2"/>
          </rPr>
          <t>Decreto 1772 de 1994, Art 13
Tope Minimo: 1 SMLMV -      $ 515.000
Tope maximo 20 SMLMV - $10.300.000-     
Para el calculo no se suma el auxilio de transporte.
Esta a cargo exclusivo del empleador.</t>
        </r>
      </text>
    </comment>
    <comment ref="B41" authorId="1" shapeId="0" xr:uid="{00000000-0006-0000-0900-000017000000}">
      <text>
        <r>
          <rPr>
            <b/>
            <sz val="11"/>
            <color indexed="81"/>
            <rFont val="Tahoma"/>
            <family val="2"/>
          </rPr>
          <t xml:space="preserve">Cajas de compensacion Familiar </t>
        </r>
        <r>
          <rPr>
            <sz val="11"/>
            <color indexed="81"/>
            <rFont val="Tahoma"/>
            <family val="2"/>
          </rPr>
          <t xml:space="preserve">:Paga el subsidio Familiar y brinda recreación y bienestar social a los trabajadores.
</t>
        </r>
        <r>
          <rPr>
            <b/>
            <sz val="11"/>
            <color indexed="81"/>
            <rFont val="Tahoma"/>
            <family val="2"/>
          </rPr>
          <t xml:space="preserve">Sena: </t>
        </r>
        <r>
          <rPr>
            <sz val="11"/>
            <color indexed="81"/>
            <rFont val="Tahoma"/>
            <family val="2"/>
          </rPr>
          <t xml:space="preserve">Realiza formacion profesional a los aprendices que deben contratar las empresas.
</t>
        </r>
        <r>
          <rPr>
            <b/>
            <sz val="11"/>
            <color indexed="81"/>
            <rFont val="Tahoma"/>
            <family val="2"/>
          </rPr>
          <t>ICBF</t>
        </r>
        <r>
          <rPr>
            <sz val="11"/>
            <color indexed="81"/>
            <rFont val="Tahoma"/>
            <family val="2"/>
          </rPr>
          <t>: Atiende especialmente la niñez desamparada  pre-escolar menor de 7 años</t>
        </r>
      </text>
    </comment>
    <comment ref="C41" authorId="0" shapeId="0" xr:uid="{00000000-0006-0000-0900-000018000000}">
      <text>
        <r>
          <rPr>
            <sz val="11"/>
            <color indexed="81"/>
            <rFont val="Tahoma"/>
            <family val="2"/>
          </rPr>
          <t>El auxilio de transporte no se tiene en cuenta para este calculo. Art 17 ley 344/96
El trabajador que devengue en el mes hasta 4 veces el salario minimos ($2.060.000) tiene derecho al pago del subsidio en dinero.</t>
        </r>
      </text>
    </comment>
    <comment ref="C46" authorId="0" shapeId="0" xr:uid="{00000000-0006-0000-0900-000019000000}">
      <text>
        <r>
          <rPr>
            <sz val="11"/>
            <color indexed="81"/>
            <rFont val="Tahoma"/>
            <family val="2"/>
          </rPr>
          <t>Fecha de entrega
30 abril 
31 de agosto
20 de diciembre
Es obligacion entregarla solo a partir del tercer mes de vinculación laboral</t>
        </r>
      </text>
    </comment>
    <comment ref="F58" authorId="0" shapeId="0" xr:uid="{00000000-0006-0000-0900-00001A000000}">
      <text>
        <r>
          <rPr>
            <sz val="11"/>
            <color indexed="81"/>
            <rFont val="Tahoma"/>
            <family val="2"/>
          </rPr>
          <t>Aquí se puede colocar el numero de horas por recargos y horas extras que se van a dar todos los meses, para calcular el costo mes.</t>
        </r>
      </text>
    </comment>
    <comment ref="E60" authorId="0" shapeId="0" xr:uid="{00000000-0006-0000-0900-00001B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1" authorId="0" shapeId="0" xr:uid="{00000000-0006-0000-0900-00001C000000}">
      <text>
        <r>
          <rPr>
            <sz val="12"/>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C62" authorId="0" shapeId="0" xr:uid="{00000000-0006-0000-0900-00001D000000}">
      <text>
        <r>
          <rPr>
            <sz val="11"/>
            <color indexed="81"/>
            <rFont val="Tahoma"/>
            <family val="2"/>
          </rPr>
          <t>Por trabajar el domingo el trabajador tiene derecho a un descanso compensatorio, pero sino lo toma tiene derecho a que se le pague en dinero un dia, ademas del recargo del 75% por haber trabajado el domingo.</t>
        </r>
      </text>
    </comment>
    <comment ref="E62" authorId="0" shapeId="0" xr:uid="{00000000-0006-0000-0900-00001E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3" authorId="0" shapeId="0" xr:uid="{00000000-0006-0000-0900-00001F000000}">
      <text>
        <r>
          <rPr>
            <sz val="11"/>
            <color indexed="81"/>
            <rFont val="Tahoma"/>
            <family val="2"/>
          </rPr>
          <t>Este es el valor adicional que se paga a la hora basica la cual ya esta incluida en el  salario basico.
Para tener el costo total de esa hora sume el recargo mas el valor de la hora basica</t>
        </r>
        <r>
          <rPr>
            <b/>
            <sz val="8"/>
            <color indexed="81"/>
            <rFont val="Tahoma"/>
            <family val="2"/>
          </rPr>
          <t xml:space="preserve">
</t>
        </r>
      </text>
    </comment>
    <comment ref="D72" authorId="0" shapeId="0" xr:uid="{00000000-0006-0000-0900-000020000000}">
      <text>
        <r>
          <rPr>
            <sz val="11"/>
            <color indexed="81"/>
            <rFont val="Tahoma"/>
            <family val="2"/>
          </rPr>
          <t>Para el 2010 solo tendran retefuente quienes devenguen $3.463.000 mensuales o más.
A ese monto se le resta los descuentos a que tienen derecho (aportes, pensiones, salud prepagada e intereses que se paguen por vivienda) mas la deduccion del 25%. Si despues de esto da como resultado igual o menos de $2.332.725 no debera haber retefuente.</t>
        </r>
      </text>
    </comment>
    <comment ref="E73" authorId="0" shapeId="0" xr:uid="{00000000-0006-0000-0900-000021000000}">
      <text>
        <r>
          <rPr>
            <sz val="11"/>
            <color indexed="81"/>
            <rFont val="Tahoma"/>
            <family val="2"/>
          </rPr>
          <t>El aporte total  se debe discriminar asi:
El empleador:  8,5%
Trabajador:     4.0%
Tope Minimo: 1 SMLMV--        $ 515.000
Tope maximo 25 SMLMV - $ 12.875.000</t>
        </r>
      </text>
    </comment>
    <comment ref="E74" authorId="0" shapeId="0" xr:uid="{00000000-0006-0000-0900-000022000000}">
      <text>
        <r>
          <rPr>
            <sz val="11"/>
            <color indexed="81"/>
            <rFont val="Tahoma"/>
            <family val="2"/>
          </rPr>
          <t>El aporte total  se debe discriminar asi:
El empleador:  8,5%
Trabajador:     4.0%
Tope Minimo: 1 SMLMV--        $ 515.000
Tope maximo 25 SMLMV - $ 12.875.000</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Servicios</author>
    <author>Familia Duque</author>
  </authors>
  <commentList>
    <comment ref="C5" authorId="0" shapeId="0" xr:uid="{00000000-0006-0000-0A00-000001000000}">
      <text>
        <r>
          <rPr>
            <sz val="11"/>
            <color indexed="81"/>
            <rFont val="Tahoma"/>
            <family val="2"/>
          </rPr>
          <t>Decreto 4868 de 2008</t>
        </r>
      </text>
    </comment>
    <comment ref="C6" authorId="0" shapeId="0" xr:uid="{00000000-0006-0000-0A00-000002000000}">
      <text>
        <r>
          <rPr>
            <sz val="11"/>
            <color indexed="81"/>
            <rFont val="Tahoma"/>
            <family val="2"/>
          </rPr>
          <t xml:space="preserve">Decreto 4869 de 2008
                    </t>
        </r>
      </text>
    </comment>
    <comment ref="C10" authorId="0" shapeId="0" xr:uid="{00000000-0006-0000-0A00-000003000000}">
      <text>
        <r>
          <rPr>
            <sz val="11"/>
            <color indexed="81"/>
            <rFont val="Tahoma"/>
            <family val="2"/>
          </rPr>
          <t>Este calculo solo aplica para contratos  que no son de salario integral</t>
        </r>
      </text>
    </comment>
    <comment ref="C11" authorId="0" shapeId="0" xr:uid="{00000000-0006-0000-0A00-000004000000}">
      <text>
        <r>
          <rPr>
            <sz val="12"/>
            <color indexed="81"/>
            <rFont val="Tahoma"/>
            <family val="2"/>
          </rPr>
          <t xml:space="preserve">RIESGO         %
Minimo   Riesgo I        </t>
        </r>
        <r>
          <rPr>
            <b/>
            <sz val="12"/>
            <color indexed="81"/>
            <rFont val="Tahoma"/>
            <family val="2"/>
          </rPr>
          <t>0,522%</t>
        </r>
        <r>
          <rPr>
            <sz val="12"/>
            <color indexed="81"/>
            <rFont val="Tahoma"/>
            <family val="2"/>
          </rPr>
          <t xml:space="preserve">
Bajo       Riesgo II      </t>
        </r>
        <r>
          <rPr>
            <b/>
            <sz val="12"/>
            <color indexed="81"/>
            <rFont val="Tahoma"/>
            <family val="2"/>
          </rPr>
          <t>1.044%</t>
        </r>
        <r>
          <rPr>
            <sz val="12"/>
            <color indexed="81"/>
            <rFont val="Tahoma"/>
            <family val="2"/>
          </rPr>
          <t xml:space="preserve">
Medio     Riesgo III     </t>
        </r>
        <r>
          <rPr>
            <b/>
            <sz val="12"/>
            <color indexed="81"/>
            <rFont val="Tahoma"/>
            <family val="2"/>
          </rPr>
          <t>2,436%</t>
        </r>
        <r>
          <rPr>
            <sz val="12"/>
            <color indexed="81"/>
            <rFont val="Tahoma"/>
            <family val="2"/>
          </rPr>
          <t xml:space="preserve">
Alto        Riesgo IV    </t>
        </r>
        <r>
          <rPr>
            <b/>
            <sz val="12"/>
            <color indexed="81"/>
            <rFont val="Tahoma"/>
            <family val="2"/>
          </rPr>
          <t>4,350%</t>
        </r>
        <r>
          <rPr>
            <sz val="12"/>
            <color indexed="81"/>
            <rFont val="Tahoma"/>
            <family val="2"/>
          </rPr>
          <t xml:space="preserve">
Maximo    Riesgo V     </t>
        </r>
        <r>
          <rPr>
            <b/>
            <sz val="12"/>
            <color indexed="81"/>
            <rFont val="Tahoma"/>
            <family val="2"/>
          </rPr>
          <t>6,960%</t>
        </r>
        <r>
          <rPr>
            <sz val="12"/>
            <color indexed="81"/>
            <rFont val="Tahoma"/>
            <family val="2"/>
          </rPr>
          <t xml:space="preserve">
Colocar el % segun el riesgo que corresponda.
</t>
        </r>
      </text>
    </comment>
    <comment ref="C12" authorId="0" shapeId="0" xr:uid="{00000000-0006-0000-0A00-000005000000}">
      <text>
        <r>
          <rPr>
            <sz val="11"/>
            <color indexed="81"/>
            <rFont val="Tahoma"/>
            <family val="2"/>
          </rPr>
          <t>NOTA: Solo colocar si el salario es hasta $993.800.
Solo es obligacion de entregar dotación a quienes devenguen hasta 2 salarios minimos legales mensuales.Ley 11 de 1984 art 7          
Una dotacion esta compuesta por:
Un par de zapatos            $
y un vestido de labor        $       
Coloque la suma de los dos valores.
En promedio la suma de los dos puede costar $80.000, obviamente puede ser mayor dependiendo de la calidad de la dotación.</t>
        </r>
      </text>
    </comment>
    <comment ref="C18" authorId="0" shapeId="0" xr:uid="{00000000-0006-0000-0A00-000006000000}">
      <text>
        <r>
          <rPr>
            <sz val="11"/>
            <color indexed="81"/>
            <rFont val="Tahoma"/>
            <family val="2"/>
          </rPr>
          <t>No puede ser inferior al minimo legal, o sea $496.900</t>
        </r>
      </text>
    </comment>
    <comment ref="E18" authorId="0" shapeId="0" xr:uid="{00000000-0006-0000-0A00-000007000000}">
      <text>
        <r>
          <rPr>
            <sz val="11"/>
            <color indexed="81"/>
            <rFont val="Tahoma"/>
            <family val="2"/>
          </rPr>
          <t>Si sale la palabra FALSO es porque esta colocando un valor inferior al minimo legal, y no calcula.</t>
        </r>
      </text>
    </comment>
    <comment ref="B19" authorId="1" shapeId="0" xr:uid="{00000000-0006-0000-0A00-000008000000}">
      <text>
        <r>
          <rPr>
            <sz val="11"/>
            <color indexed="81"/>
            <rFont val="Tahoma"/>
            <family val="2"/>
          </rPr>
          <t>Si bien el auxilio de transporte no es salario, se entiende incorporado al salario para todos los efectos de liquidacion de prestaciones sociales.  Art 7 ley 1 de 1963</t>
        </r>
      </text>
    </comment>
    <comment ref="C20" authorId="0" shapeId="0" xr:uid="{00000000-0006-0000-0A00-000009000000}">
      <text>
        <r>
          <rPr>
            <sz val="11"/>
            <color indexed="81"/>
            <rFont val="Tahoma"/>
            <family val="2"/>
          </rPr>
          <t>A quien trabaje entre las 10 p.m y las 6 a.m</t>
        </r>
      </text>
    </comment>
    <comment ref="C21" authorId="0" shapeId="0" xr:uid="{00000000-0006-0000-0A00-00000A000000}">
      <text>
        <r>
          <rPr>
            <sz val="11"/>
            <color indexed="81"/>
            <rFont val="Tahoma"/>
            <family val="2"/>
          </rPr>
          <t>Ademas del recargo del 75% por trabajar un domingo,si se trabajo nocturno se recarga con el 35%.
Si no se toma el descanso compensatorio en la semana se paga una vez mas.</t>
        </r>
      </text>
    </comment>
    <comment ref="C26" authorId="0" shapeId="0" xr:uid="{00000000-0006-0000-0A00-00000B000000}">
      <text>
        <r>
          <rPr>
            <sz val="12"/>
            <color indexed="81"/>
            <rFont val="Tahoma"/>
            <family val="2"/>
          </rPr>
          <t xml:space="preserve">Se paga un mes de salario al año.
Dentro de salario se tiene en cuenta el salario basico mas recargos y horas extras
Ley 1 de 1963 Art 7, establece que el auxilio de transporte se tiene en cuenta para liquidar prestaciones sociales
</t>
        </r>
      </text>
    </comment>
    <comment ref="C27" authorId="0" shapeId="0" xr:uid="{00000000-0006-0000-0A00-00000C000000}">
      <text>
        <r>
          <rPr>
            <sz val="12"/>
            <color indexed="81"/>
            <rFont val="Tahoma"/>
            <family val="2"/>
          </rPr>
          <t>Equivale al uno por ciento por cada mes trabajado.Lo que significa el 12% al año</t>
        </r>
      </text>
    </comment>
    <comment ref="C28" authorId="0" shapeId="0" xr:uid="{00000000-0006-0000-0A00-00000D000000}">
      <text>
        <r>
          <rPr>
            <sz val="11"/>
            <color indexed="81"/>
            <rFont val="Tahoma"/>
            <family val="2"/>
          </rPr>
          <t>Equivale a un mes de salario+ subsidio de transporte, pagadero asi:
15 dias el ultimo dia de junio
y 15 dias en los primeros 20 dias de diciembre.
El salario comprende el salario basico mas recargos y horas extras.</t>
        </r>
      </text>
    </comment>
    <comment ref="C29" authorId="0" shapeId="0" xr:uid="{00000000-0006-0000-0A00-00000E000000}">
      <text>
        <r>
          <rPr>
            <sz val="11"/>
            <color indexed="81"/>
            <rFont val="Tahoma"/>
            <family val="2"/>
          </rPr>
          <t xml:space="preserve">Se reconocen por cada año de servicios 15 dias hábiles de vacaciones y asi se ha hecho la provisión.
Sin embargo en la practica por tratarse de dias habiles se convierten en 17 días calendario si desea utilizar los 17 dias debe dividir 17 entre 360 y multiplicar por el valor del salario, o sea 4.72%.
En su calculo NO se incluye por disposicion legal:
1- el auxilio de transporte.
2- Las horas extras 
3-y el valor del trabajo en dias de descanso obligatorio.
</t>
        </r>
      </text>
    </comment>
    <comment ref="B33" authorId="1" shapeId="0" xr:uid="{00000000-0006-0000-0A00-00000F000000}">
      <text>
        <r>
          <rPr>
            <sz val="11"/>
            <color indexed="81"/>
            <rFont val="Tahoma"/>
            <family val="2"/>
          </rPr>
          <t xml:space="preserve">Protege al trabajador contra contingencias de enfermedad general y maternidad
</t>
        </r>
      </text>
    </comment>
    <comment ref="C33" authorId="0" shapeId="0" xr:uid="{00000000-0006-0000-0A00-000010000000}">
      <text>
        <r>
          <rPr>
            <sz val="11"/>
            <color indexed="81"/>
            <rFont val="Tahoma"/>
            <family val="2"/>
          </rPr>
          <t>El decreto 1406 de 1999 establece la forma de aproximar las cifras asi:
1- El monto del ingreso base de cotizacion correspondiente a cada afiliado se aproxima al multiplo de mil mas cercano.
2. El valor de los aportes liquidados por cada afiliado, al multiplo de cien mas cercano. La fraccion igual o menor a 500 y 50  se deducira
Para el calculo no se suma el auxilio de transporte.</t>
        </r>
      </text>
    </comment>
    <comment ref="D33" authorId="0" shapeId="0" xr:uid="{00000000-0006-0000-0A00-000011000000}">
      <text>
        <r>
          <rPr>
            <sz val="11"/>
            <color indexed="81"/>
            <rFont val="Tahoma"/>
            <family val="2"/>
          </rPr>
          <t>El aporte total  se debe discriminar asi:
El empleador:  8,5%
Trabajador:     4.0%
Tope Minimo: 1 SMLMV--        $496.900
Tope maximo 25 SMLMV - $12.422.500</t>
        </r>
      </text>
    </comment>
    <comment ref="B34" authorId="1" shapeId="0" xr:uid="{00000000-0006-0000-0A00-000012000000}">
      <text>
        <r>
          <rPr>
            <sz val="11"/>
            <color indexed="81"/>
            <rFont val="Tahoma"/>
            <family val="2"/>
          </rPr>
          <t>Ampara al trabajador contra contingencias de vejez, invalidez y muerte, mediante el reconocimiento de pensiones y prestaciones.</t>
        </r>
      </text>
    </comment>
    <comment ref="C34" authorId="0" shapeId="0" xr:uid="{00000000-0006-0000-0A00-000013000000}">
      <text>
        <r>
          <rPr>
            <sz val="11"/>
            <color indexed="81"/>
            <rFont val="Tahoma"/>
            <family val="2"/>
          </rPr>
          <t>Para el calculo no se  suma el auxilio de transporte</t>
        </r>
      </text>
    </comment>
    <comment ref="D34" authorId="0" shapeId="0" xr:uid="{00000000-0006-0000-0A00-000014000000}">
      <text>
        <r>
          <rPr>
            <sz val="11"/>
            <color indexed="81"/>
            <rFont val="Tahoma"/>
            <family val="2"/>
          </rPr>
          <t>El aporte total  se debe discriminar asi:
El empleador:  12%
Trabajador:     4.0%
Tope Minimo: 1 SMLMV--        $496.900
Tope maximo 25 SMLMV - $12.422.500</t>
        </r>
      </text>
    </comment>
    <comment ref="B35" authorId="1" shapeId="0" xr:uid="{00000000-0006-0000-0A00-000015000000}">
      <text>
        <r>
          <rPr>
            <sz val="11"/>
            <color indexed="81"/>
            <rFont val="Tahoma"/>
            <family val="2"/>
          </rPr>
          <t>Protege al trabajador contra accidentes de trabajo y enfermedades profesionales</t>
        </r>
        <r>
          <rPr>
            <sz val="8"/>
            <color indexed="81"/>
            <rFont val="Tahoma"/>
            <family val="2"/>
          </rPr>
          <t xml:space="preserve">
</t>
        </r>
      </text>
    </comment>
    <comment ref="C35" authorId="0" shapeId="0" xr:uid="{00000000-0006-0000-0A00-000016000000}">
      <text>
        <r>
          <rPr>
            <sz val="11"/>
            <color indexed="81"/>
            <rFont val="Tahoma"/>
            <family val="2"/>
          </rPr>
          <t>Decreto 1772 de 1994, Art 13
Tope Minimo: 1 SMLMV -      $ 496.900
Tope maximo 20 SMLMV - $9.938.000 -     
Para el calculo no se suma el auxilio de transporte.
Esta a cargo exclusivo del empleador.</t>
        </r>
      </text>
    </comment>
    <comment ref="B41" authorId="1" shapeId="0" xr:uid="{00000000-0006-0000-0A00-000017000000}">
      <text>
        <r>
          <rPr>
            <b/>
            <sz val="11"/>
            <color indexed="81"/>
            <rFont val="Tahoma"/>
            <family val="2"/>
          </rPr>
          <t xml:space="preserve">Cajas de compensacion Familiar </t>
        </r>
        <r>
          <rPr>
            <sz val="11"/>
            <color indexed="81"/>
            <rFont val="Tahoma"/>
            <family val="2"/>
          </rPr>
          <t xml:space="preserve">:Paga el subsidio Familiar y brinda recreación y bienestar social a los trabajadores.
</t>
        </r>
        <r>
          <rPr>
            <b/>
            <sz val="11"/>
            <color indexed="81"/>
            <rFont val="Tahoma"/>
            <family val="2"/>
          </rPr>
          <t xml:space="preserve">Sena: </t>
        </r>
        <r>
          <rPr>
            <sz val="11"/>
            <color indexed="81"/>
            <rFont val="Tahoma"/>
            <family val="2"/>
          </rPr>
          <t xml:space="preserve">Realiza formacion profesional a los aprendices que deben contratar las empresas.
</t>
        </r>
        <r>
          <rPr>
            <b/>
            <sz val="11"/>
            <color indexed="81"/>
            <rFont val="Tahoma"/>
            <family val="2"/>
          </rPr>
          <t>ICBF</t>
        </r>
        <r>
          <rPr>
            <sz val="11"/>
            <color indexed="81"/>
            <rFont val="Tahoma"/>
            <family val="2"/>
          </rPr>
          <t>: Atiende especialmente la niñez desamparada  pre-escolar menor de 7 años</t>
        </r>
      </text>
    </comment>
    <comment ref="C41" authorId="0" shapeId="0" xr:uid="{00000000-0006-0000-0A00-000018000000}">
      <text>
        <r>
          <rPr>
            <sz val="11"/>
            <color indexed="81"/>
            <rFont val="Tahoma"/>
            <family val="2"/>
          </rPr>
          <t>El auxilio de transporte no se tiene en cuenta para este calculo. Art 17 ley 344/96
El trabajador que devengue en el mes hasta 4 veces el salario minimos ($1.987.600) tiene derecho al pago del subsidio en dinero.</t>
        </r>
      </text>
    </comment>
    <comment ref="C46" authorId="0" shapeId="0" xr:uid="{00000000-0006-0000-0A00-000019000000}">
      <text>
        <r>
          <rPr>
            <sz val="11"/>
            <color indexed="81"/>
            <rFont val="Tahoma"/>
            <family val="2"/>
          </rPr>
          <t>Fecha de entrega
30 abril 
31 de agosto
20 de diciembre
Es obligacion entregarla solo a partir del tercer mes de vinculación laboral</t>
        </r>
      </text>
    </comment>
    <comment ref="F58" authorId="0" shapeId="0" xr:uid="{00000000-0006-0000-0A00-00001A000000}">
      <text>
        <r>
          <rPr>
            <sz val="11"/>
            <color indexed="81"/>
            <rFont val="Tahoma"/>
            <family val="2"/>
          </rPr>
          <t>Aquí se puede colocar el numero de horas por recargos y horas extras que se van a dar todos los meses, para calcular el costo mes.</t>
        </r>
      </text>
    </comment>
    <comment ref="E60" authorId="0" shapeId="0" xr:uid="{00000000-0006-0000-0A00-00001B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1" authorId="0" shapeId="0" xr:uid="{00000000-0006-0000-0A00-00001C000000}">
      <text>
        <r>
          <rPr>
            <sz val="12"/>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C62" authorId="0" shapeId="0" xr:uid="{00000000-0006-0000-0A00-00001D000000}">
      <text>
        <r>
          <rPr>
            <sz val="11"/>
            <color indexed="81"/>
            <rFont val="Tahoma"/>
            <family val="2"/>
          </rPr>
          <t>Por trabajar el domingo el trabajador tiene derecho a un descanso compensatorio, pero sino lo toma tiene derecho a que se le pague en dinero un dia, ademas del recargo del 75% por haber trabajado el domingo.</t>
        </r>
      </text>
    </comment>
    <comment ref="E62" authorId="0" shapeId="0" xr:uid="{00000000-0006-0000-0A00-00001E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3" authorId="0" shapeId="0" xr:uid="{00000000-0006-0000-0A00-00001F000000}">
      <text>
        <r>
          <rPr>
            <sz val="11"/>
            <color indexed="81"/>
            <rFont val="Tahoma"/>
            <family val="2"/>
          </rPr>
          <t>Este es el valor adicional que se paga a la hora basica la cual ya esta incluida en el  salario basico.
Para tener el costo total de esa hora sume el recargo mas el valor de la hora basica</t>
        </r>
        <r>
          <rPr>
            <b/>
            <sz val="8"/>
            <color indexed="81"/>
            <rFont val="Tahoma"/>
            <family val="2"/>
          </rPr>
          <t xml:space="preserve">
</t>
        </r>
      </text>
    </comment>
    <comment ref="D72" authorId="0" shapeId="0" xr:uid="{00000000-0006-0000-0A00-000020000000}">
      <text>
        <r>
          <rPr>
            <sz val="11"/>
            <color indexed="81"/>
            <rFont val="Tahoma"/>
            <family val="2"/>
          </rPr>
          <t>Para el 2009 solo tendran retefuente quienes devenguen mas $3.352.169.
A ese monto se le resta los descuentos a que tienen derecho (aportes, pensiones, salud prepagada e intereses que se paguen por vivienda) mas la deduccion del 25%. Si despues de esto da como resultado menos de $2.095.130 no debera haber retefuente</t>
        </r>
      </text>
    </comment>
    <comment ref="E73" authorId="0" shapeId="0" xr:uid="{00000000-0006-0000-0A00-000021000000}">
      <text>
        <r>
          <rPr>
            <sz val="11"/>
            <color indexed="81"/>
            <rFont val="Tahoma"/>
            <family val="2"/>
          </rPr>
          <t>El aporte total  se debe discriminar asi:
El empleador:  8,5%
Trabajador:     4.0%
Tope Minimo: 1 SMLMV--        $ 496.900
Tope maximo 25 SMLMV - $ 12.422.500</t>
        </r>
      </text>
    </comment>
    <comment ref="E74" authorId="0" shapeId="0" xr:uid="{00000000-0006-0000-0A00-000022000000}">
      <text>
        <r>
          <rPr>
            <sz val="11"/>
            <color indexed="81"/>
            <rFont val="Tahoma"/>
            <family val="2"/>
          </rPr>
          <t>El aporte total  se debe discriminar asi:
El empleador:  8,5%
Trabajador:     4.0%
Tope Minimo: 1 SMLMV--        $ 496.900
Tope maximo 25 SMLMV - $ 12.422.500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Servicios</author>
    <author>temp</author>
    <author>Familia Duque</author>
    <author>ADMON</author>
  </authors>
  <commentList>
    <comment ref="C10" authorId="0" shapeId="0" xr:uid="{00000000-0006-0000-0100-000001000000}">
      <text>
        <r>
          <rPr>
            <sz val="11"/>
            <color indexed="81"/>
            <rFont val="Tahoma"/>
            <family val="2"/>
          </rPr>
          <t>Este calculo solo aplica para contratos  que no son de salario integral</t>
        </r>
      </text>
    </comment>
    <comment ref="C11" authorId="0" shapeId="0" xr:uid="{00000000-0006-0000-0100-000002000000}">
      <text>
        <r>
          <rPr>
            <sz val="12"/>
            <color indexed="81"/>
            <rFont val="Tahoma"/>
            <family val="2"/>
          </rPr>
          <t xml:space="preserve">RIESGO         %
Minimo   Riesgo I        </t>
        </r>
        <r>
          <rPr>
            <b/>
            <sz val="12"/>
            <color indexed="81"/>
            <rFont val="Tahoma"/>
            <family val="2"/>
          </rPr>
          <t>0,522%</t>
        </r>
        <r>
          <rPr>
            <sz val="12"/>
            <color indexed="81"/>
            <rFont val="Tahoma"/>
            <family val="2"/>
          </rPr>
          <t xml:space="preserve">
Bajo       Riesgo II       </t>
        </r>
        <r>
          <rPr>
            <b/>
            <sz val="12"/>
            <color indexed="81"/>
            <rFont val="Tahoma"/>
            <family val="2"/>
          </rPr>
          <t>1.044%</t>
        </r>
        <r>
          <rPr>
            <sz val="12"/>
            <color indexed="81"/>
            <rFont val="Tahoma"/>
            <family val="2"/>
          </rPr>
          <t xml:space="preserve">
Medio     Riesgo III      </t>
        </r>
        <r>
          <rPr>
            <b/>
            <sz val="12"/>
            <color indexed="81"/>
            <rFont val="Tahoma"/>
            <family val="2"/>
          </rPr>
          <t>2,436%</t>
        </r>
        <r>
          <rPr>
            <sz val="12"/>
            <color indexed="81"/>
            <rFont val="Tahoma"/>
            <family val="2"/>
          </rPr>
          <t xml:space="preserve">
Alto        Riesgo IV      </t>
        </r>
        <r>
          <rPr>
            <b/>
            <sz val="12"/>
            <color indexed="81"/>
            <rFont val="Tahoma"/>
            <family val="2"/>
          </rPr>
          <t>4,350%</t>
        </r>
        <r>
          <rPr>
            <sz val="12"/>
            <color indexed="81"/>
            <rFont val="Tahoma"/>
            <family val="2"/>
          </rPr>
          <t xml:space="preserve">
Maximo    Riesgo V      </t>
        </r>
        <r>
          <rPr>
            <b/>
            <sz val="12"/>
            <color indexed="81"/>
            <rFont val="Tahoma"/>
            <family val="2"/>
          </rPr>
          <t>6,960%</t>
        </r>
        <r>
          <rPr>
            <sz val="12"/>
            <color indexed="81"/>
            <rFont val="Tahoma"/>
            <family val="2"/>
          </rPr>
          <t xml:space="preserve">
Colocar el % segun el riesgo que corresponda.
</t>
        </r>
      </text>
    </comment>
    <comment ref="C12" authorId="0" shapeId="0" xr:uid="{00000000-0006-0000-0100-000003000000}">
      <text>
        <r>
          <rPr>
            <sz val="11"/>
            <color indexed="81"/>
            <rFont val="Tahoma"/>
            <family val="2"/>
          </rPr>
          <t>NOTA: Solo colocar si el salario es hasta $1.562.484
Solo es obligacion de entregar dotación a quienes devenguen hasta 2 salarios minimos legales mensuales.Ley 11 de 1984 art 7          
Una dotacion esta compuesta por:
Un par de zapatos            $ 
y un vestido de labor        $       
Coloque la suma de los dos valores</t>
        </r>
      </text>
    </comment>
    <comment ref="C13" authorId="0" shapeId="0" xr:uid="{00000000-0006-0000-0100-000004000000}">
      <text>
        <r>
          <rPr>
            <sz val="11"/>
            <color indexed="81"/>
            <rFont val="Tahoma"/>
            <family val="2"/>
          </rPr>
          <t>Se debe colocar lo que cuesta adquirir una unidad de la moneda extranjera a la cual se desea convertir, por ejemplo lo que cuesta comprar un dolar</t>
        </r>
      </text>
    </comment>
    <comment ref="E15" authorId="1" shapeId="0" xr:uid="{00000000-0006-0000-0100-000005000000}">
      <text>
        <r>
          <rPr>
            <b/>
            <sz val="10"/>
            <color indexed="81"/>
            <rFont val="Tahoma"/>
            <family val="2"/>
          </rPr>
          <t xml:space="preserve">Calculo de un trabajador para un empleador persona natural que solo tiene un trabajador en su nómina, 
Tampoco aplica para sus trabajadores que devenguen 10 SMLMV o mas.
</t>
        </r>
      </text>
    </comment>
    <comment ref="F15" authorId="1" shapeId="0" xr:uid="{00000000-0006-0000-0100-000006000000}">
      <text>
        <r>
          <rPr>
            <b/>
            <sz val="10"/>
            <color indexed="81"/>
            <rFont val="Tahoma"/>
            <family val="2"/>
          </rPr>
          <t>EXONERADOS DE PAGAR SALUD. SENA, ICBF</t>
        </r>
        <r>
          <rPr>
            <sz val="10"/>
            <color indexed="81"/>
            <rFont val="Tahoma"/>
            <family val="2"/>
          </rPr>
          <t xml:space="preserve">
</t>
        </r>
        <r>
          <rPr>
            <b/>
            <sz val="10"/>
            <color indexed="81"/>
            <rFont val="Tahoma"/>
            <family val="2"/>
          </rPr>
          <t>Para las sociedades y personas jurídicas y asimiladas</t>
        </r>
        <r>
          <rPr>
            <sz val="10"/>
            <color indexed="81"/>
            <rFont val="Tahoma"/>
            <family val="2"/>
          </rPr>
          <t xml:space="preserve"> contribuyentes declarantes del impuesto sobre la renta y complementarios, correspondientes a los trabajadores que devenguen, individualmente considerados, hasta diez (10) salarios mínimos mensuales legales vigentes.
 Así mismo</t>
        </r>
        <r>
          <rPr>
            <b/>
            <sz val="10"/>
            <color indexed="81"/>
            <rFont val="Tahoma"/>
            <family val="2"/>
          </rPr>
          <t xml:space="preserve"> las personas naturales</t>
        </r>
        <r>
          <rPr>
            <sz val="10"/>
            <color indexed="81"/>
            <rFont val="Tahoma"/>
            <family val="2"/>
          </rPr>
          <t xml:space="preserve"> empleadoras con empleados que devenguen menos de diez (10) salarios mínimos legales mensuales vigentes. 
Lo anterior no aplicará para personas naturales que empleen menos de dos trabajadores, los cuales seguirán obligados a efectuar los aportes de salud, Sena, Icbf.
</t>
        </r>
      </text>
    </comment>
    <comment ref="G15" authorId="1" shapeId="0" xr:uid="{00000000-0006-0000-0100-000007000000}">
      <text>
        <r>
          <rPr>
            <sz val="10"/>
            <color indexed="81"/>
            <rFont val="Tahoma"/>
            <family val="2"/>
          </rPr>
          <t xml:space="preserve">Conversion para el caso de un solo trabajador donde no existe exencion de salud y SENA , ICBF
</t>
        </r>
      </text>
    </comment>
    <comment ref="C18" authorId="0" shapeId="0" xr:uid="{00000000-0006-0000-0100-000008000000}">
      <text>
        <r>
          <rPr>
            <sz val="11"/>
            <color indexed="81"/>
            <rFont val="Tahoma"/>
            <family val="2"/>
          </rPr>
          <t>No puede ser inferior al minimo legal, o sea $ 781.242</t>
        </r>
      </text>
    </comment>
    <comment ref="E18" authorId="0" shapeId="0" xr:uid="{00000000-0006-0000-0100-000009000000}">
      <text>
        <r>
          <rPr>
            <sz val="11"/>
            <color indexed="81"/>
            <rFont val="Tahoma"/>
            <family val="2"/>
          </rPr>
          <t>Si sale la palabra FALSO es porque esta colocando un valor inferior al minimo legal, y no calcula.</t>
        </r>
      </text>
    </comment>
    <comment ref="B19" authorId="2" shapeId="0" xr:uid="{00000000-0006-0000-0100-00000A000000}">
      <text>
        <r>
          <rPr>
            <sz val="11"/>
            <color indexed="81"/>
            <rFont val="Tahoma"/>
            <family val="2"/>
          </rPr>
          <t>Si bien el auxilio de transporte no es salario, se entiende incorporado al salario para todos los efectos de liquidacion de prestaciones sociales.  Art 7 ley 1 de 1963</t>
        </r>
      </text>
    </comment>
    <comment ref="C20" authorId="0" shapeId="0" xr:uid="{00000000-0006-0000-0100-00000B000000}">
      <text>
        <r>
          <rPr>
            <sz val="11"/>
            <color indexed="81"/>
            <rFont val="Tahoma"/>
            <family val="2"/>
          </rPr>
          <t>A quien trabaje entre las 9 p.m y las 6 a.m
Si el recargo nocturno es en domingo se le suma un 75%</t>
        </r>
      </text>
    </comment>
    <comment ref="C21" authorId="0" shapeId="0" xr:uid="{00000000-0006-0000-0100-00000C000000}">
      <text>
        <r>
          <rPr>
            <sz val="11"/>
            <color indexed="81"/>
            <rFont val="Tahoma"/>
            <family val="2"/>
          </rPr>
          <t>El trabajar en dominical o festivo genera un recargo del 75%
Cuando no se toma el descanso compensatorio  habiendo trabajado el dominical se paga una vez mas.</t>
        </r>
      </text>
    </comment>
    <comment ref="B22" authorId="1" shapeId="0" xr:uid="{00000000-0006-0000-0100-00000D000000}">
      <text>
        <r>
          <rPr>
            <sz val="11"/>
            <color indexed="81"/>
            <rFont val="Tahoma"/>
            <family val="2"/>
          </rPr>
          <t xml:space="preserve">Para que se pueda trabajar horas extras se requiere  autorización del Mintrabajo, salvo por razón de fuerza mayor, caso fortuito, de amenazar u ocurrir al gún accidente o cuando sean indispensabless trabajos de urgencia que deban efectuarse en las maquinas o en la dotación de la empresa Decreto 13 de 1967 Art 1 y 2.
</t>
        </r>
      </text>
    </comment>
    <comment ref="C26" authorId="0" shapeId="0" xr:uid="{00000000-0006-0000-0100-00000E000000}">
      <text>
        <r>
          <rPr>
            <sz val="12"/>
            <color indexed="81"/>
            <rFont val="Tahoma"/>
            <family val="2"/>
          </rPr>
          <t xml:space="preserve">Se paga un mes de salario al año.
Dentro de salario se tiene en cuenta el salario basico mas recargos y horas extras.
Ley 1 de 1963 Art 7, establece que el auxilio de transporte se tiene en cuenta para liquidar prestaciones sociales
Cesantìa= salario x No dias trabajados 
             -----------------------------------------
                             360
</t>
        </r>
      </text>
    </comment>
    <comment ref="C27" authorId="0" shapeId="0" xr:uid="{00000000-0006-0000-0100-00000F000000}">
      <text>
        <r>
          <rPr>
            <sz val="12"/>
            <color indexed="81"/>
            <rFont val="Tahoma"/>
            <family val="2"/>
          </rPr>
          <t>Equivale al uno por ciento de la cesantía por cada mes trabajado.Lo que significa el 12% al año.
Intereses=   salario x No dias trabajados X 0.12
                  -----------------------------------------------
                                         360</t>
        </r>
      </text>
    </comment>
    <comment ref="C28" authorId="0" shapeId="0" xr:uid="{00000000-0006-0000-0100-000010000000}">
      <text>
        <r>
          <rPr>
            <sz val="11"/>
            <color indexed="81"/>
            <rFont val="Tahoma"/>
            <family val="2"/>
          </rPr>
          <t xml:space="preserve">Equivale a un mes de salario al año+ subsidio de transporte, pagadero asi:
15 dias el ultimo dia de junio
y 15 dias en los primeros 20 dias de diciembre.
El salario comprende el salario basico mas recargos y horas extras.
Se calcula sobre el promedio obtenido en el respectivo semestre o en el período trabajado si este fuere menor
Prima= salario x No dias trabajados en el semestre
            -----------------------------------------------
                                         360 </t>
        </r>
      </text>
    </comment>
    <comment ref="C29" authorId="0" shapeId="0" xr:uid="{00000000-0006-0000-0100-000011000000}">
      <text>
        <r>
          <rPr>
            <sz val="11"/>
            <color indexed="81"/>
            <rFont val="Tahoma"/>
            <family val="2"/>
          </rPr>
          <t xml:space="preserve">Se reconocen por cada año de servicios 15 dias hábiles de vacaciones y  la provisión se ha hecho con 15 días.
Sin embargo en la practica por tratarse de dias habiles se convierten en 17 días calendario si desea utilizar los 17 dias debe diividir 17 entre 360  lo que significa un porcentaje del 4.72% el cual multiplica por el salario.
En su calculo NO se incluye por disposicion legal:
1- el auxilio de transporte.
2- Las horas extras 
3-y el valor del trabajo en dias de descanso obligatorio.
</t>
        </r>
      </text>
    </comment>
    <comment ref="B33" authorId="2" shapeId="0" xr:uid="{00000000-0006-0000-0100-000012000000}">
      <text>
        <r>
          <rPr>
            <sz val="11"/>
            <color indexed="81"/>
            <rFont val="Tahoma"/>
            <family val="2"/>
          </rPr>
          <t xml:space="preserve">Protege al trabajador contra contingencias de enfermedad general y maternidad
</t>
        </r>
      </text>
    </comment>
    <comment ref="C33" authorId="0" shapeId="0" xr:uid="{00000000-0006-0000-0100-000013000000}">
      <text>
        <r>
          <rPr>
            <sz val="11"/>
            <color indexed="81"/>
            <rFont val="Tahoma"/>
            <family val="2"/>
          </rPr>
          <t>Este valor equivale al aporte de empleador y trabajador.
El decreto 1406 de 1999 establece la forma de aproximar las cifras asi:
1- El monto del ingreso base de cotizacion correspondiente a cada afiliado se aproxima al multiplo de mil mas cercano.
2. El valor de los aportes liquidados por cada afiliado, al multiplo de cien mas cercano. La fraccion igual o menor a 500 y 50  se deducira
Para el calculo no se suma el auxilio de transporte.</t>
        </r>
      </text>
    </comment>
    <comment ref="D33" authorId="0" shapeId="0" xr:uid="{00000000-0006-0000-0100-000014000000}">
      <text>
        <r>
          <rPr>
            <sz val="11"/>
            <color indexed="81"/>
            <rFont val="Tahoma"/>
            <family val="2"/>
          </rPr>
          <t>El aporte total  se debe discriminar asi:
El empleador:   8,5%
Trabajador:     4.0%
Tope Minimo: 1 SMLMV--    $ 781.242
Tope maximo 25 SMLMV - $19.531.050</t>
        </r>
      </text>
    </comment>
    <comment ref="F33" authorId="1" shapeId="0" xr:uid="{00000000-0006-0000-0100-000015000000}">
      <text>
        <r>
          <rPr>
            <sz val="12"/>
            <color indexed="81"/>
            <rFont val="Tahoma"/>
            <family val="2"/>
          </rPr>
          <t>El empleador esta exonerado de realizar su aporte siempre y cuando reuna dos requisitos
1- Tenga el empleador dos o mas trabajadores
2. El trabajador devengue menos de 10 SMLMV</t>
        </r>
      </text>
    </comment>
    <comment ref="B34" authorId="2" shapeId="0" xr:uid="{00000000-0006-0000-0100-000016000000}">
      <text>
        <r>
          <rPr>
            <sz val="11"/>
            <color indexed="81"/>
            <rFont val="Tahoma"/>
            <family val="2"/>
          </rPr>
          <t>Ampara al trabajador contra contingencias de vejez, invalidez y muerte, mediante el reconocimiento de pensiones y prestaciones.</t>
        </r>
      </text>
    </comment>
    <comment ref="C34" authorId="0" shapeId="0" xr:uid="{00000000-0006-0000-0100-000017000000}">
      <text>
        <r>
          <rPr>
            <sz val="11"/>
            <color indexed="81"/>
            <rFont val="Tahoma"/>
            <family val="2"/>
          </rPr>
          <t>Este valor es la suma del aporte de la empresa y el trabajador
Para el calculo no se  suma el auxilio de transporte</t>
        </r>
      </text>
    </comment>
    <comment ref="D34" authorId="0" shapeId="0" xr:uid="{00000000-0006-0000-0100-000018000000}">
      <text>
        <r>
          <rPr>
            <sz val="11"/>
            <color indexed="81"/>
            <rFont val="Tahoma"/>
            <family val="2"/>
          </rPr>
          <t>El aporte total  se debe discriminar asi:
El empleador:  12%
Trabajador:     4.0%
Tope Minimo: 1 SMLMV--       $ 781.242
Tope maximo 25 SMLMV - $19.531.050</t>
        </r>
      </text>
    </comment>
    <comment ref="B35" authorId="2" shapeId="0" xr:uid="{00000000-0006-0000-0100-000019000000}">
      <text>
        <r>
          <rPr>
            <sz val="11"/>
            <color indexed="81"/>
            <rFont val="Tahoma"/>
            <family val="2"/>
          </rPr>
          <t>Protege al trabajador contra accidentes de trabajo y enfermedades laborales</t>
        </r>
      </text>
    </comment>
    <comment ref="C35" authorId="0" shapeId="0" xr:uid="{00000000-0006-0000-0100-00001A000000}">
      <text>
        <r>
          <rPr>
            <sz val="11"/>
            <color indexed="81"/>
            <rFont val="Tahoma"/>
            <family val="2"/>
          </rPr>
          <t>Decreto 1772 de 1994, Art 13
Tope Minimo: 1 SMLMV -      $ 781.242
Tope maximo 25 SMLMV - $19.531.050   
Para el calculo no se suma el auxilio de transporte.
Esta aporte esta a cargo exclusivo del empleador</t>
        </r>
      </text>
    </comment>
    <comment ref="B41" authorId="2" shapeId="0" xr:uid="{00000000-0006-0000-0100-00001B000000}">
      <text>
        <r>
          <rPr>
            <b/>
            <sz val="11"/>
            <color indexed="81"/>
            <rFont val="Tahoma"/>
            <family val="2"/>
          </rPr>
          <t xml:space="preserve">Cajas de compensacion Familiar </t>
        </r>
        <r>
          <rPr>
            <sz val="11"/>
            <color indexed="81"/>
            <rFont val="Tahoma"/>
            <family val="2"/>
          </rPr>
          <t xml:space="preserve">:Paga el subsidio Familiar y brinda recreación y bienestar social a los trabajadores.
</t>
        </r>
        <r>
          <rPr>
            <b/>
            <sz val="11"/>
            <color indexed="81"/>
            <rFont val="Tahoma"/>
            <family val="2"/>
          </rPr>
          <t xml:space="preserve">Sena: </t>
        </r>
        <r>
          <rPr>
            <sz val="11"/>
            <color indexed="81"/>
            <rFont val="Tahoma"/>
            <family val="2"/>
          </rPr>
          <t xml:space="preserve">Realiza formacion profesional a los aprendices que deben contratar las empresas.
</t>
        </r>
        <r>
          <rPr>
            <b/>
            <sz val="11"/>
            <color indexed="81"/>
            <rFont val="Tahoma"/>
            <family val="2"/>
          </rPr>
          <t>ICBF</t>
        </r>
        <r>
          <rPr>
            <sz val="11"/>
            <color indexed="81"/>
            <rFont val="Tahoma"/>
            <family val="2"/>
          </rPr>
          <t>: Atiende especialmente la niñez desamparada  pre-escolar menor de 7 años</t>
        </r>
      </text>
    </comment>
    <comment ref="C41" authorId="0" shapeId="0" xr:uid="{00000000-0006-0000-0100-00001C000000}">
      <text>
        <r>
          <rPr>
            <sz val="11"/>
            <color indexed="81"/>
            <rFont val="Tahoma"/>
            <family val="2"/>
          </rPr>
          <t>El auxilio de transporte no se tiene en cuenta para este calculo. Art 17 ley 344/96
El trabajador que devengue en el mes hasta 4 veces el salario minimos ($3.124.968 ) tiene derecho al pago del subsidio en dnero.</t>
        </r>
      </text>
    </comment>
    <comment ref="D41" authorId="3" shapeId="0" xr:uid="{00000000-0006-0000-0100-00001D000000}">
      <text>
        <r>
          <rPr>
            <sz val="10"/>
            <color indexed="81"/>
            <rFont val="Tahoma"/>
            <family val="2"/>
          </rPr>
          <t>A partir del 1 de julio de 2013 solo se cotiza el 4% de las cajas de compensación según la ley 1607 de 2012, art 25, así:
Artículo 25°. Exoneración de aportes. A partir del momento en que el Gobierno Nacional implemente el sistema de retenciones en la fuente para el recaudo del impuesto sobre la renta para la equidad -CREE, Y en todo caso antes del 1° de julio de 2013, estarán exoneradas del pago de los aportes parafiscales a favor del Servicio Nacional del Aprendizaje -SENA Y de Instituto Colombiano de Bienestar Familiar -ICBF,</t>
        </r>
        <r>
          <rPr>
            <b/>
            <sz val="10"/>
            <color indexed="81"/>
            <rFont val="Tahoma"/>
            <family val="2"/>
          </rPr>
          <t xml:space="preserve"> las sociedades y personas jurídicas y asimiladas</t>
        </r>
        <r>
          <rPr>
            <sz val="10"/>
            <color indexed="81"/>
            <rFont val="Tahoma"/>
            <family val="2"/>
          </rPr>
          <t xml:space="preserve"> contribuyentes declarantes del impuesto sobre la renta y complementarios, correspondientes a los trabajadores que devenguen, individualmente considerados, hasta diez (10) salarios mínimos mensuales legales vigentes.
 Así mismo las </t>
        </r>
        <r>
          <rPr>
            <b/>
            <sz val="10"/>
            <color indexed="81"/>
            <rFont val="Tahoma"/>
            <family val="2"/>
          </rPr>
          <t>personas naturales empleadoras</t>
        </r>
        <r>
          <rPr>
            <sz val="10"/>
            <color indexed="81"/>
            <rFont val="Tahoma"/>
            <family val="2"/>
          </rPr>
          <t xml:space="preserve"> estarán exoneradas de la obligación de pago de los aportes parafiscales al SENA, al ICBF y al Sistema de Seguridad Social en Salud por los empleados que devenguen menos de diez (10) salarios mínimos legales mensuales vigentes. Lo anterior no aplicará para personas naturales que empleen menos de dos trabajadores, los cuales seguirán obligados a efectuar los aportes de que trata este inciso</t>
        </r>
      </text>
    </comment>
    <comment ref="C46" authorId="0" shapeId="0" xr:uid="{00000000-0006-0000-0100-00001E000000}">
      <text>
        <r>
          <rPr>
            <sz val="11"/>
            <color indexed="81"/>
            <rFont val="Tahoma"/>
            <family val="2"/>
          </rPr>
          <t>Fecha de entrega
30 abril 
31 de agosto
20 de diciembre
Es obligacion entregarla solo a partir del tercer mes de vinculación laboral.
Se entrega a quienes devengan hasta 2 salarios minimos legales $1.562.484</t>
        </r>
      </text>
    </comment>
    <comment ref="F58" authorId="0" shapeId="0" xr:uid="{00000000-0006-0000-0100-00001F000000}">
      <text>
        <r>
          <rPr>
            <sz val="11"/>
            <color indexed="81"/>
            <rFont val="Tahoma"/>
            <family val="2"/>
          </rPr>
          <t>Aquí se puede colocar el numero de horas por recargos y horas extras que se van a dar todos los meses, para calcular el costo mes.</t>
        </r>
      </text>
    </comment>
    <comment ref="E60" authorId="0" shapeId="0" xr:uid="{00000000-0006-0000-0100-000020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1" authorId="0" shapeId="0" xr:uid="{00000000-0006-0000-0100-000021000000}">
      <text>
        <r>
          <rPr>
            <sz val="12"/>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C62" authorId="0" shapeId="0" xr:uid="{00000000-0006-0000-0100-000022000000}">
      <text>
        <r>
          <rPr>
            <sz val="11"/>
            <color indexed="81"/>
            <rFont val="Tahoma"/>
            <family val="2"/>
          </rPr>
          <t>Por trabajar el domingo el trabajador tiene derecho a un descanso compensatorio, pero sino lo toma tiene derecho a que se le pague en dinero un dia, ademas del recargo del 75% por haber trabajado el domingo.
Esto para el trabajador que ocasionalmente trabaja en domingo, pues el que lo hace habitualmente necesariamente debe descansar</t>
        </r>
      </text>
    </comment>
    <comment ref="E62" authorId="0" shapeId="0" xr:uid="{00000000-0006-0000-0100-000023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3" authorId="0" shapeId="0" xr:uid="{00000000-0006-0000-0100-000024000000}">
      <text>
        <r>
          <rPr>
            <sz val="11"/>
            <color indexed="81"/>
            <rFont val="Tahoma"/>
            <family val="2"/>
          </rPr>
          <t>Este es el valor adicional que se paga a la hora basica la cual ya esta incluida en el  salario basico.
Para tener el costo total de esa hora sume el recargo mas el valor de la hora basica</t>
        </r>
        <r>
          <rPr>
            <b/>
            <sz val="8"/>
            <color indexed="81"/>
            <rFont val="Tahoma"/>
            <family val="2"/>
          </rPr>
          <t xml:space="preserve">
</t>
        </r>
      </text>
    </comment>
    <comment ref="E73" authorId="0" shapeId="0" xr:uid="{00000000-0006-0000-0100-000025000000}">
      <text>
        <r>
          <rPr>
            <sz val="11"/>
            <color indexed="81"/>
            <rFont val="Tahoma"/>
            <family val="2"/>
          </rPr>
          <t>Trabajador:     4.0%
Base Tope Minimo: 1 SMLMV--       $ 781.242
Base Tope maximo 25 SMLMV - $ 19.531.050</t>
        </r>
      </text>
    </comment>
    <comment ref="E74" authorId="0" shapeId="0" xr:uid="{00000000-0006-0000-0100-000026000000}">
      <text>
        <r>
          <rPr>
            <sz val="11"/>
            <color indexed="81"/>
            <rFont val="Tahoma"/>
            <family val="2"/>
          </rPr>
          <t>Trabajador:     4.0%
Tope Minimo: 1 SMLMV--       $ 737.717
Tope maximo 25 SMLMV - $ 18.442.925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Duque, Cesar Augusto</author>
    <author>Servicios</author>
    <author>temp</author>
    <author>Familia Duque</author>
    <author>ADMON</author>
  </authors>
  <commentList>
    <comment ref="C5" authorId="0" shapeId="0" xr:uid="{00000000-0006-0000-0200-000001000000}">
      <text>
        <r>
          <rPr>
            <b/>
            <sz val="11"/>
            <color indexed="81"/>
            <rFont val="Tahoma"/>
            <family val="2"/>
          </rPr>
          <t xml:space="preserve">Decreto 2209 de 2016
</t>
        </r>
      </text>
    </comment>
    <comment ref="C6" authorId="0" shapeId="0" xr:uid="{00000000-0006-0000-0200-000002000000}">
      <text>
        <r>
          <rPr>
            <b/>
            <sz val="12"/>
            <color indexed="81"/>
            <rFont val="Tahoma"/>
            <family val="2"/>
          </rPr>
          <t>Decreto 2210 de 2016</t>
        </r>
      </text>
    </comment>
    <comment ref="C10" authorId="1" shapeId="0" xr:uid="{00000000-0006-0000-0200-000003000000}">
      <text>
        <r>
          <rPr>
            <sz val="11"/>
            <color indexed="81"/>
            <rFont val="Tahoma"/>
            <family val="2"/>
          </rPr>
          <t>Este calculo solo aplica para contratos  que no son de salario integral</t>
        </r>
      </text>
    </comment>
    <comment ref="C11" authorId="1" shapeId="0" xr:uid="{00000000-0006-0000-0200-000004000000}">
      <text>
        <r>
          <rPr>
            <sz val="12"/>
            <color indexed="81"/>
            <rFont val="Tahoma"/>
            <family val="2"/>
          </rPr>
          <t xml:space="preserve">RIESGO         %
Minimo   Riesgo I        </t>
        </r>
        <r>
          <rPr>
            <b/>
            <sz val="12"/>
            <color indexed="81"/>
            <rFont val="Tahoma"/>
            <family val="2"/>
          </rPr>
          <t>0,522%</t>
        </r>
        <r>
          <rPr>
            <sz val="12"/>
            <color indexed="81"/>
            <rFont val="Tahoma"/>
            <family val="2"/>
          </rPr>
          <t xml:space="preserve">
Bajo       Riesgo II       </t>
        </r>
        <r>
          <rPr>
            <b/>
            <sz val="12"/>
            <color indexed="81"/>
            <rFont val="Tahoma"/>
            <family val="2"/>
          </rPr>
          <t>1.044%</t>
        </r>
        <r>
          <rPr>
            <sz val="12"/>
            <color indexed="81"/>
            <rFont val="Tahoma"/>
            <family val="2"/>
          </rPr>
          <t xml:space="preserve">
Medio     Riesgo III      </t>
        </r>
        <r>
          <rPr>
            <b/>
            <sz val="12"/>
            <color indexed="81"/>
            <rFont val="Tahoma"/>
            <family val="2"/>
          </rPr>
          <t>2,436%</t>
        </r>
        <r>
          <rPr>
            <sz val="12"/>
            <color indexed="81"/>
            <rFont val="Tahoma"/>
            <family val="2"/>
          </rPr>
          <t xml:space="preserve">
Alto        Riesgo IV      </t>
        </r>
        <r>
          <rPr>
            <b/>
            <sz val="12"/>
            <color indexed="81"/>
            <rFont val="Tahoma"/>
            <family val="2"/>
          </rPr>
          <t>4,350%</t>
        </r>
        <r>
          <rPr>
            <sz val="12"/>
            <color indexed="81"/>
            <rFont val="Tahoma"/>
            <family val="2"/>
          </rPr>
          <t xml:space="preserve">
Maximo    Riesgo V      </t>
        </r>
        <r>
          <rPr>
            <b/>
            <sz val="12"/>
            <color indexed="81"/>
            <rFont val="Tahoma"/>
            <family val="2"/>
          </rPr>
          <t>6,960%</t>
        </r>
        <r>
          <rPr>
            <sz val="12"/>
            <color indexed="81"/>
            <rFont val="Tahoma"/>
            <family val="2"/>
          </rPr>
          <t xml:space="preserve">
Colocar el % segun el riesgo que corresponda.
</t>
        </r>
      </text>
    </comment>
    <comment ref="C12" authorId="1" shapeId="0" xr:uid="{00000000-0006-0000-0200-000005000000}">
      <text>
        <r>
          <rPr>
            <sz val="11"/>
            <color indexed="81"/>
            <rFont val="Tahoma"/>
            <family val="2"/>
          </rPr>
          <t>NOTA: Solo colocar si el salario es hasta $1.475.434
Solo es obligacion de entregar dotación a quienes devenguen hasta 2 salarios minimos legales mensuales.Ley 11 de 1984 art 7          
Una dotacion esta compuesta por:
Un par de zapatos            $ 
y un vestido de labor        $       
Coloque la suma de los dos valores.
En promedio la suma de los dos puede costar $ 145.000, obviamente puede ser mayor o menor dependiendo de la calidad de la dotación.</t>
        </r>
      </text>
    </comment>
    <comment ref="C13" authorId="1" shapeId="0" xr:uid="{00000000-0006-0000-0200-000006000000}">
      <text>
        <r>
          <rPr>
            <sz val="11"/>
            <color indexed="81"/>
            <rFont val="Tahoma"/>
            <family val="2"/>
          </rPr>
          <t>Se debe colocar lo que cuesta adquirir una unidad de la moneda extranjera a la cual se desea convertir, por ejemplo lo que cuesta comprar un dolar</t>
        </r>
      </text>
    </comment>
    <comment ref="E15" authorId="2" shapeId="0" xr:uid="{00000000-0006-0000-0200-000007000000}">
      <text>
        <r>
          <rPr>
            <b/>
            <sz val="10"/>
            <color indexed="81"/>
            <rFont val="Tahoma"/>
            <family val="2"/>
          </rPr>
          <t xml:space="preserve">Calculo de un trabajador para un empleador persona natural que solo tiene un trabajador en su nómina, 
Tampoco aplica para sus trabajadores que devenguen 10 SMLMV o mas.
</t>
        </r>
      </text>
    </comment>
    <comment ref="F15" authorId="2" shapeId="0" xr:uid="{00000000-0006-0000-0200-000008000000}">
      <text>
        <r>
          <rPr>
            <b/>
            <sz val="10"/>
            <color indexed="81"/>
            <rFont val="Tahoma"/>
            <family val="2"/>
          </rPr>
          <t>EXONERADOS DE PAGAR SALUD. SENA, ICBF</t>
        </r>
        <r>
          <rPr>
            <sz val="10"/>
            <color indexed="81"/>
            <rFont val="Tahoma"/>
            <family val="2"/>
          </rPr>
          <t xml:space="preserve">
</t>
        </r>
        <r>
          <rPr>
            <b/>
            <sz val="10"/>
            <color indexed="81"/>
            <rFont val="Tahoma"/>
            <family val="2"/>
          </rPr>
          <t>Para las sociedades y personas jurídicas y asimiladas</t>
        </r>
        <r>
          <rPr>
            <sz val="10"/>
            <color indexed="81"/>
            <rFont val="Tahoma"/>
            <family val="2"/>
          </rPr>
          <t xml:space="preserve"> contribuyentes declarantes del impuesto sobre la renta y complementarios, correspondientes a los trabajadores que devenguen, individualmente considerados, hasta diez (10) salarios mínimos mensuales legales vigentes.
 Así mismo</t>
        </r>
        <r>
          <rPr>
            <b/>
            <sz val="10"/>
            <color indexed="81"/>
            <rFont val="Tahoma"/>
            <family val="2"/>
          </rPr>
          <t xml:space="preserve"> las personas naturales</t>
        </r>
        <r>
          <rPr>
            <sz val="10"/>
            <color indexed="81"/>
            <rFont val="Tahoma"/>
            <family val="2"/>
          </rPr>
          <t xml:space="preserve"> empleadoras con empleados que devenguen menos de diez (10) salarios mínimos legales mensuales vigentes. 
Lo anterior no aplicará para personas naturales que empleen menos de dos trabajadores, los cuales seguirán obligados a efectuar los aportes de salud, Sena, Icbf.
</t>
        </r>
      </text>
    </comment>
    <comment ref="G15" authorId="2" shapeId="0" xr:uid="{00000000-0006-0000-0200-000009000000}">
      <text>
        <r>
          <rPr>
            <sz val="10"/>
            <color indexed="81"/>
            <rFont val="Tahoma"/>
            <family val="2"/>
          </rPr>
          <t xml:space="preserve">Conversion para el caso de un solo trabajador donde no existe exencion de salud y SENA , ICBF
</t>
        </r>
      </text>
    </comment>
    <comment ref="C18" authorId="1" shapeId="0" xr:uid="{00000000-0006-0000-0200-00000A000000}">
      <text>
        <r>
          <rPr>
            <sz val="11"/>
            <color indexed="81"/>
            <rFont val="Tahoma"/>
            <family val="2"/>
          </rPr>
          <t>No puede ser inferior al minimo legal, o sea $ 737.717</t>
        </r>
      </text>
    </comment>
    <comment ref="E18" authorId="1" shapeId="0" xr:uid="{00000000-0006-0000-0200-00000B000000}">
      <text>
        <r>
          <rPr>
            <sz val="11"/>
            <color indexed="81"/>
            <rFont val="Tahoma"/>
            <family val="2"/>
          </rPr>
          <t>Si sale la palabra FALSO es porque esta colocando un valor inferior al minimo legal, y no calcula.</t>
        </r>
      </text>
    </comment>
    <comment ref="B19" authorId="3" shapeId="0" xr:uid="{00000000-0006-0000-0200-00000C000000}">
      <text>
        <r>
          <rPr>
            <sz val="11"/>
            <color indexed="81"/>
            <rFont val="Tahoma"/>
            <family val="2"/>
          </rPr>
          <t>Si bien el auxilio de transporte no es salario, se entiende incorporado al salario para todos los efectos de liquidacion de prestaciones sociales.  Art 7 ley 1 de 1963</t>
        </r>
      </text>
    </comment>
    <comment ref="C20" authorId="1" shapeId="0" xr:uid="{00000000-0006-0000-0200-00000D000000}">
      <text>
        <r>
          <rPr>
            <sz val="11"/>
            <color indexed="81"/>
            <rFont val="Tahoma"/>
            <family val="2"/>
          </rPr>
          <t>A quien trabaje entre las 10 p.m y las 6 a.m
Si el recargo nocturno es en domingo se le suma un 75%</t>
        </r>
      </text>
    </comment>
    <comment ref="C21" authorId="1" shapeId="0" xr:uid="{00000000-0006-0000-0200-00000E000000}">
      <text>
        <r>
          <rPr>
            <sz val="11"/>
            <color indexed="81"/>
            <rFont val="Tahoma"/>
            <family val="2"/>
          </rPr>
          <t>El trabajar en dominical o festivo genera un recargo del 75%
Cuando no se toma el descanso compensatorio  habiendo trabajado el dominical se paga una vez mas.</t>
        </r>
      </text>
    </comment>
    <comment ref="B22" authorId="2" shapeId="0" xr:uid="{00000000-0006-0000-0200-00000F000000}">
      <text>
        <r>
          <rPr>
            <sz val="11"/>
            <color indexed="81"/>
            <rFont val="Tahoma"/>
            <family val="2"/>
          </rPr>
          <t xml:space="preserve">Para que se pueda trabajar horas extras se requiere  autorización del Mintrabajo, salvo por razón de fuerza mayor, caso fortuito, de amenazar u ocurrir al gún accidente o cuando sean indispensabless trabajos de urgencia que deban efectuarse en las maquinas o en la dotación de la empresa Decreto 13 de 1967 Art 1 y 2.
</t>
        </r>
      </text>
    </comment>
    <comment ref="C26" authorId="1" shapeId="0" xr:uid="{00000000-0006-0000-0200-000010000000}">
      <text>
        <r>
          <rPr>
            <sz val="12"/>
            <color indexed="81"/>
            <rFont val="Tahoma"/>
            <family val="2"/>
          </rPr>
          <t xml:space="preserve">Se paga un mes de salario al año.
Dentro de salario se tiene en cuenta el salario basico mas recargos y horas extras.
Ley 1 de 1963 Art 7, establece que el auxilio de transporte se tiene en cuenta para liquidar prestaciones sociales
Cesantìa= salario x No dias trabajados 
             -----------------------------------------
                             360
</t>
        </r>
      </text>
    </comment>
    <comment ref="C27" authorId="1" shapeId="0" xr:uid="{00000000-0006-0000-0200-000011000000}">
      <text>
        <r>
          <rPr>
            <sz val="12"/>
            <color indexed="81"/>
            <rFont val="Tahoma"/>
            <family val="2"/>
          </rPr>
          <t>Equivale al uno por ciento de la cesantía por cada mes trabajado.Lo que significa el 12% al año.
Intereses=   salario x No dias trabajados X 0.12
                  -----------------------------------------------
                                         360</t>
        </r>
      </text>
    </comment>
    <comment ref="C28" authorId="1" shapeId="0" xr:uid="{00000000-0006-0000-0200-000012000000}">
      <text>
        <r>
          <rPr>
            <sz val="11"/>
            <color indexed="81"/>
            <rFont val="Tahoma"/>
            <family val="2"/>
          </rPr>
          <t xml:space="preserve">Equivale a un mes de salario al año+ subsidio de transporte, pagadero asi:
15 dias el ultimo dia de junio
y 15 dias en los primeros 20 dias de diciembre.
El salario comprende el salario basico mas recargos y horas extras.
Se calcula sobre el promedio obtenido en el respectivo semestre o en el período trabajado si este fuere menor
Prima= salario x No dias trabajados en el semestre
            -----------------------------------------------
                                         360 </t>
        </r>
      </text>
    </comment>
    <comment ref="C29" authorId="1" shapeId="0" xr:uid="{00000000-0006-0000-0200-000013000000}">
      <text>
        <r>
          <rPr>
            <sz val="11"/>
            <color indexed="81"/>
            <rFont val="Tahoma"/>
            <family val="2"/>
          </rPr>
          <t xml:space="preserve">Se reconocen por cada año de servicios 15 dias hábiles de vacaciones y  la provisión se ha hecho con 15 días.
Sin embargo en la practica por tratarse de dias habiles se convierten en 17 días calendario si desea utilizar los 17 dias debe diividir 17 entre 360  lo que significa un porcentaje del 4.72% el cual multiplica por el salario.
En su calculo NO se incluye por disposicion legal:
1- el auxilio de transporte.
2- Las horas extras 
3-y el valor del trabajo en dias de descanso obligatorio.
</t>
        </r>
      </text>
    </comment>
    <comment ref="B33" authorId="3" shapeId="0" xr:uid="{00000000-0006-0000-0200-000014000000}">
      <text>
        <r>
          <rPr>
            <sz val="11"/>
            <color indexed="81"/>
            <rFont val="Tahoma"/>
            <family val="2"/>
          </rPr>
          <t xml:space="preserve">Protege al trabajador contra contingencias de enfermedad general y maternidad
</t>
        </r>
      </text>
    </comment>
    <comment ref="C33" authorId="1" shapeId="0" xr:uid="{00000000-0006-0000-0200-000015000000}">
      <text>
        <r>
          <rPr>
            <sz val="11"/>
            <color indexed="81"/>
            <rFont val="Tahoma"/>
            <family val="2"/>
          </rPr>
          <t>Este valor equivale al aporte de empleador y trabajador.
El decreto 1406 de 1999 establece la forma de aproximar las cifras asi:
1- El monto del ingreso base de cotizacion correspondiente a cada afiliado se aproxima al multiplo de mil mas cercano.
2. El valor de los aportes liquidados por cada afiliado, al multiplo de cien mas cercano. La fraccion igual o menor a 500 y 50  se deducira
Para el calculo no se suma el auxilio de transporte.</t>
        </r>
      </text>
    </comment>
    <comment ref="D33" authorId="1" shapeId="0" xr:uid="{00000000-0006-0000-0200-000016000000}">
      <text>
        <r>
          <rPr>
            <sz val="11"/>
            <color indexed="81"/>
            <rFont val="Tahoma"/>
            <family val="2"/>
          </rPr>
          <t>El aporte total  se debe discriminar asi:
El empleador:   8,5%
Trabajador:     4.0%
Tope Minimo: 1 SMLMV--    $ 737.717
Tope maximo 25 SMLMV - $18.442.925</t>
        </r>
      </text>
    </comment>
    <comment ref="F33" authorId="2" shapeId="0" xr:uid="{00000000-0006-0000-0200-000017000000}">
      <text>
        <r>
          <rPr>
            <sz val="12"/>
            <color indexed="81"/>
            <rFont val="Tahoma"/>
            <family val="2"/>
          </rPr>
          <t>El empleador esta exonerado de realizar su aporte siempre y cuando reuna dos requisitos
1- Tenga el empleador dos o mas trabajadores
2. El trabajador devengue menos de 10 SMLMV</t>
        </r>
      </text>
    </comment>
    <comment ref="B34" authorId="3" shapeId="0" xr:uid="{00000000-0006-0000-0200-000018000000}">
      <text>
        <r>
          <rPr>
            <sz val="11"/>
            <color indexed="81"/>
            <rFont val="Tahoma"/>
            <family val="2"/>
          </rPr>
          <t>Ampara al trabajador contra contingencias de vejez, invalidez y muerte, mediante el reconocimiento de pensiones y prestaciones.</t>
        </r>
      </text>
    </comment>
    <comment ref="C34" authorId="1" shapeId="0" xr:uid="{00000000-0006-0000-0200-000019000000}">
      <text>
        <r>
          <rPr>
            <sz val="11"/>
            <color indexed="81"/>
            <rFont val="Tahoma"/>
            <family val="2"/>
          </rPr>
          <t>Este valor es la suma del aporte de la empresa y el trabajador
Para el calculo no se  suma el auxilio de transporte</t>
        </r>
      </text>
    </comment>
    <comment ref="D34" authorId="1" shapeId="0" xr:uid="{00000000-0006-0000-0200-00001A000000}">
      <text>
        <r>
          <rPr>
            <sz val="11"/>
            <color indexed="81"/>
            <rFont val="Tahoma"/>
            <family val="2"/>
          </rPr>
          <t>El aporte total  se debe discriminar asi:
El empleador:  12%
Trabajador:     4.0%
Tope Minimo: 1 SMLMV--       $ 737.717
Tope maximo 25 SMLMV - $18.442.925</t>
        </r>
      </text>
    </comment>
    <comment ref="B35" authorId="3" shapeId="0" xr:uid="{00000000-0006-0000-0200-00001B000000}">
      <text>
        <r>
          <rPr>
            <sz val="11"/>
            <color indexed="81"/>
            <rFont val="Tahoma"/>
            <family val="2"/>
          </rPr>
          <t>Protege al trabajador contra accidentes de trabajo y enfermedades profesionales</t>
        </r>
        <r>
          <rPr>
            <sz val="8"/>
            <color indexed="81"/>
            <rFont val="Tahoma"/>
            <family val="2"/>
          </rPr>
          <t xml:space="preserve">
</t>
        </r>
      </text>
    </comment>
    <comment ref="C35" authorId="1" shapeId="0" xr:uid="{00000000-0006-0000-0200-00001C000000}">
      <text>
        <r>
          <rPr>
            <sz val="11"/>
            <color indexed="81"/>
            <rFont val="Tahoma"/>
            <family val="2"/>
          </rPr>
          <t>Decreto 1772 de 1994, Art 13
Tope Minimo: 1 SMLMV -      $ 737.717
Tope maximo 25 SMLMV - $18.442.925     
Para el calculo no se suma el auxilio de transporte.
Esta a cargo exclusivo del empleador.</t>
        </r>
      </text>
    </comment>
    <comment ref="B41" authorId="3" shapeId="0" xr:uid="{00000000-0006-0000-0200-00001D000000}">
      <text>
        <r>
          <rPr>
            <b/>
            <sz val="11"/>
            <color indexed="81"/>
            <rFont val="Tahoma"/>
            <family val="2"/>
          </rPr>
          <t xml:space="preserve">Cajas de compensacion Familiar </t>
        </r>
        <r>
          <rPr>
            <sz val="11"/>
            <color indexed="81"/>
            <rFont val="Tahoma"/>
            <family val="2"/>
          </rPr>
          <t xml:space="preserve">:Paga el subsidio Familiar y brinda recreación y bienestar social a los trabajadores.
</t>
        </r>
        <r>
          <rPr>
            <b/>
            <sz val="11"/>
            <color indexed="81"/>
            <rFont val="Tahoma"/>
            <family val="2"/>
          </rPr>
          <t xml:space="preserve">Sena: </t>
        </r>
        <r>
          <rPr>
            <sz val="11"/>
            <color indexed="81"/>
            <rFont val="Tahoma"/>
            <family val="2"/>
          </rPr>
          <t xml:space="preserve">Realiza formacion profesional a los aprendices que deben contratar las empresas.
</t>
        </r>
        <r>
          <rPr>
            <b/>
            <sz val="11"/>
            <color indexed="81"/>
            <rFont val="Tahoma"/>
            <family val="2"/>
          </rPr>
          <t>ICBF</t>
        </r>
        <r>
          <rPr>
            <sz val="11"/>
            <color indexed="81"/>
            <rFont val="Tahoma"/>
            <family val="2"/>
          </rPr>
          <t>: Atiende especialmente la niñez desamparada  pre-escolar menor de 7 años</t>
        </r>
      </text>
    </comment>
    <comment ref="C41" authorId="1" shapeId="0" xr:uid="{00000000-0006-0000-0200-00001E000000}">
      <text>
        <r>
          <rPr>
            <sz val="11"/>
            <color indexed="81"/>
            <rFont val="Tahoma"/>
            <family val="2"/>
          </rPr>
          <t>El auxilio de transporte no se tiene en cuenta para este calculo. Art 17 ley 344/96
El trabajador que devengue en el mes hasta 4 veces el salario minimos ($2.950.868) tiene derecho al pago del subsidio en dinero.</t>
        </r>
      </text>
    </comment>
    <comment ref="D41" authorId="4" shapeId="0" xr:uid="{00000000-0006-0000-0200-00001F000000}">
      <text>
        <r>
          <rPr>
            <sz val="10"/>
            <color indexed="81"/>
            <rFont val="Tahoma"/>
            <family val="2"/>
          </rPr>
          <t>A partir del 1 de julio de 2013 solo se cotiza el 4% de las cajas de compensación según la ley 1607 de 2012, art 25, así:
Artículo 25°. Exoneración de aportes. A partir del momento en que el Gobierno Nacional implemente el sistema de retenciones en la fuente para el recaudo del impuesto sobre la renta para la equidad -CREE, Y en todo caso antes del 1° de julio de 2013, estarán exoneradas del pago de los aportes parafiscales a favor del Servicio Nacional del Aprendizaje -SENA Y de Instituto Colombiano de Bienestar Familiar -ICBF,</t>
        </r>
        <r>
          <rPr>
            <b/>
            <sz val="10"/>
            <color indexed="81"/>
            <rFont val="Tahoma"/>
            <family val="2"/>
          </rPr>
          <t xml:space="preserve"> las sociedades y personas jurídicas y asimiladas</t>
        </r>
        <r>
          <rPr>
            <sz val="10"/>
            <color indexed="81"/>
            <rFont val="Tahoma"/>
            <family val="2"/>
          </rPr>
          <t xml:space="preserve"> contribuyentes declarantes del impuesto sobre la renta y complementarios, correspondientes a los trabajadores que devenguen, individualmente considerados, hasta diez (10) salarios mínimos mensuales legales vigentes.
 Así mismo las </t>
        </r>
        <r>
          <rPr>
            <b/>
            <sz val="10"/>
            <color indexed="81"/>
            <rFont val="Tahoma"/>
            <family val="2"/>
          </rPr>
          <t>personas naturales empleadoras</t>
        </r>
        <r>
          <rPr>
            <sz val="10"/>
            <color indexed="81"/>
            <rFont val="Tahoma"/>
            <family val="2"/>
          </rPr>
          <t xml:space="preserve"> estarán exoneradas de la obligación de pago de los aportes parafiscales al SENA, al ICBF y al Sistema de Seguridad Social en Salud por los empleados que devenguen menos de diez (10) salarios mínimos legales mensuales vigentes. Lo anterior no aplicará para personas naturales que empleen menos de dos trabajadores, los cuales seguirán obligados a efectuar los aportes de que trata este inciso</t>
        </r>
      </text>
    </comment>
    <comment ref="C46" authorId="1" shapeId="0" xr:uid="{00000000-0006-0000-0200-000020000000}">
      <text>
        <r>
          <rPr>
            <sz val="11"/>
            <color indexed="81"/>
            <rFont val="Tahoma"/>
            <family val="2"/>
          </rPr>
          <t>Fecha de entrega
30 abril 
31 de agosto
20 de diciembre
Es obligacion entregarla solo a partir del tercer mes de vinculación laboral.
Se entrega a quienes devengan hasta 2 salarios minimos legales $1.475.234</t>
        </r>
      </text>
    </comment>
    <comment ref="F58" authorId="1" shapeId="0" xr:uid="{00000000-0006-0000-0200-000021000000}">
      <text>
        <r>
          <rPr>
            <sz val="11"/>
            <color indexed="81"/>
            <rFont val="Tahoma"/>
            <family val="2"/>
          </rPr>
          <t>Aquí se puede colocar el numero de horas por recargos y horas extras que se van a dar todos los meses, para calcular el costo mes.</t>
        </r>
      </text>
    </comment>
    <comment ref="E60" authorId="1" shapeId="0" xr:uid="{00000000-0006-0000-0200-000022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1" authorId="1" shapeId="0" xr:uid="{00000000-0006-0000-0200-000023000000}">
      <text>
        <r>
          <rPr>
            <sz val="12"/>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C62" authorId="1" shapeId="0" xr:uid="{00000000-0006-0000-0200-000024000000}">
      <text>
        <r>
          <rPr>
            <sz val="11"/>
            <color indexed="81"/>
            <rFont val="Tahoma"/>
            <family val="2"/>
          </rPr>
          <t>Por trabajar el domingo el trabajador tiene derecho a un descanso compensatorio, pero sino lo toma tiene derecho a que se le pague en dinero un dia, ademas del recargo del 75% por haber trabajado el domingo.</t>
        </r>
      </text>
    </comment>
    <comment ref="E62" authorId="1" shapeId="0" xr:uid="{00000000-0006-0000-0200-000025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3" authorId="1" shapeId="0" xr:uid="{00000000-0006-0000-0200-000026000000}">
      <text>
        <r>
          <rPr>
            <sz val="11"/>
            <color indexed="81"/>
            <rFont val="Tahoma"/>
            <family val="2"/>
          </rPr>
          <t>Este es el valor adicional que se paga a la hora basica la cual ya esta incluida en el  salario basico.
Para tener el costo total de esa hora sume el recargo mas el valor de la hora basica</t>
        </r>
        <r>
          <rPr>
            <b/>
            <sz val="8"/>
            <color indexed="81"/>
            <rFont val="Tahoma"/>
            <family val="2"/>
          </rPr>
          <t xml:space="preserve">
</t>
        </r>
      </text>
    </comment>
    <comment ref="E73" authorId="1" shapeId="0" xr:uid="{00000000-0006-0000-0200-000027000000}">
      <text>
        <r>
          <rPr>
            <sz val="11"/>
            <color indexed="81"/>
            <rFont val="Tahoma"/>
            <family val="2"/>
          </rPr>
          <t>Trabajador:     4.0%
Base Tope Minimo: 1 SMLMV--       $ 737.717
Base Tope maximo 25 SMLMV - $ 18.442.925</t>
        </r>
      </text>
    </comment>
    <comment ref="E74" authorId="1" shapeId="0" xr:uid="{00000000-0006-0000-0200-000028000000}">
      <text>
        <r>
          <rPr>
            <sz val="11"/>
            <color indexed="81"/>
            <rFont val="Tahoma"/>
            <family val="2"/>
          </rPr>
          <t>Trabajador:     4.0%
Tope Minimo: 1 SMLMV--       $ 737.717
Tope maximo 25 SMLMV - $ 18.442.925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Duque, Cesar Augusto</author>
    <author>Servicios</author>
    <author>temp</author>
    <author>Familia Duque</author>
    <author>ADMON</author>
  </authors>
  <commentList>
    <comment ref="C5" authorId="0" shapeId="0" xr:uid="{00000000-0006-0000-0300-000001000000}">
      <text>
        <r>
          <rPr>
            <sz val="12"/>
            <color indexed="81"/>
            <rFont val="Tahoma"/>
            <family val="2"/>
          </rPr>
          <t xml:space="preserve">Decreto 2552 de 2015
</t>
        </r>
      </text>
    </comment>
    <comment ref="C6" authorId="0" shapeId="0" xr:uid="{00000000-0006-0000-0300-000002000000}">
      <text>
        <r>
          <rPr>
            <b/>
            <sz val="12"/>
            <color indexed="81"/>
            <rFont val="Tahoma"/>
            <family val="2"/>
          </rPr>
          <t>Decreto 2553 de 2015</t>
        </r>
      </text>
    </comment>
    <comment ref="C10" authorId="1" shapeId="0" xr:uid="{00000000-0006-0000-0300-000003000000}">
      <text>
        <r>
          <rPr>
            <sz val="11"/>
            <color indexed="81"/>
            <rFont val="Tahoma"/>
            <family val="2"/>
          </rPr>
          <t>Este calculo solo aplica para contratos  que no son de salario integral</t>
        </r>
      </text>
    </comment>
    <comment ref="C11" authorId="1" shapeId="0" xr:uid="{00000000-0006-0000-0300-000004000000}">
      <text>
        <r>
          <rPr>
            <sz val="12"/>
            <color indexed="81"/>
            <rFont val="Tahoma"/>
            <family val="2"/>
          </rPr>
          <t xml:space="preserve">RIESGO         %
Minimo   Riesgo I        </t>
        </r>
        <r>
          <rPr>
            <b/>
            <sz val="12"/>
            <color indexed="81"/>
            <rFont val="Tahoma"/>
            <family val="2"/>
          </rPr>
          <t>0,522%</t>
        </r>
        <r>
          <rPr>
            <sz val="12"/>
            <color indexed="81"/>
            <rFont val="Tahoma"/>
            <family val="2"/>
          </rPr>
          <t xml:space="preserve">
Bajo       Riesgo II       </t>
        </r>
        <r>
          <rPr>
            <b/>
            <sz val="12"/>
            <color indexed="81"/>
            <rFont val="Tahoma"/>
            <family val="2"/>
          </rPr>
          <t>1.044%</t>
        </r>
        <r>
          <rPr>
            <sz val="12"/>
            <color indexed="81"/>
            <rFont val="Tahoma"/>
            <family val="2"/>
          </rPr>
          <t xml:space="preserve">
Medio     Riesgo III      </t>
        </r>
        <r>
          <rPr>
            <b/>
            <sz val="12"/>
            <color indexed="81"/>
            <rFont val="Tahoma"/>
            <family val="2"/>
          </rPr>
          <t>2,436%</t>
        </r>
        <r>
          <rPr>
            <sz val="12"/>
            <color indexed="81"/>
            <rFont val="Tahoma"/>
            <family val="2"/>
          </rPr>
          <t xml:space="preserve">
Alto        Riesgo IV      </t>
        </r>
        <r>
          <rPr>
            <b/>
            <sz val="12"/>
            <color indexed="81"/>
            <rFont val="Tahoma"/>
            <family val="2"/>
          </rPr>
          <t>4,350%</t>
        </r>
        <r>
          <rPr>
            <sz val="12"/>
            <color indexed="81"/>
            <rFont val="Tahoma"/>
            <family val="2"/>
          </rPr>
          <t xml:space="preserve">
Maximo    Riesgo V      </t>
        </r>
        <r>
          <rPr>
            <b/>
            <sz val="12"/>
            <color indexed="81"/>
            <rFont val="Tahoma"/>
            <family val="2"/>
          </rPr>
          <t>6,960%</t>
        </r>
        <r>
          <rPr>
            <sz val="12"/>
            <color indexed="81"/>
            <rFont val="Tahoma"/>
            <family val="2"/>
          </rPr>
          <t xml:space="preserve">
Colocar el % segun el riesgo que corresponda.
</t>
        </r>
      </text>
    </comment>
    <comment ref="C12" authorId="1" shapeId="0" xr:uid="{00000000-0006-0000-0300-000005000000}">
      <text>
        <r>
          <rPr>
            <sz val="11"/>
            <color indexed="81"/>
            <rFont val="Tahoma"/>
            <family val="2"/>
          </rPr>
          <t>NOTA: Solo colocar si el salario es hasta $1.378.910
Solo es obligacion de entregar dotación a quienes devenguen hasta 2 salarios minimos legales mensuales.Ley 11 de 1984 art 7          
Una dotacion esta compuesta por:
Un par de zapatos            $ 
y un vestido de labor        $       
Coloque la suma de los dos valores.
En promedio la suma de los dos puede costar $ 135.000, obviamente puede ser mayor o menor dependiendo de la calidad de la dotación.</t>
        </r>
      </text>
    </comment>
    <comment ref="C13" authorId="1" shapeId="0" xr:uid="{00000000-0006-0000-0300-000006000000}">
      <text>
        <r>
          <rPr>
            <sz val="11"/>
            <color indexed="81"/>
            <rFont val="Tahoma"/>
            <family val="2"/>
          </rPr>
          <t>Se debe colocar lo que cuesta adquirir una unidad de la moneda extranjera a la cual se desea convertir, por ejemplo lo que cuesta comprar un dolar</t>
        </r>
      </text>
    </comment>
    <comment ref="E15" authorId="2" shapeId="0" xr:uid="{00000000-0006-0000-0300-000007000000}">
      <text>
        <r>
          <rPr>
            <b/>
            <sz val="10"/>
            <color indexed="81"/>
            <rFont val="Tahoma"/>
            <family val="2"/>
          </rPr>
          <t xml:space="preserve">Calculo de un trabajador para un empleador que solo tiene un trabajador en su nómina.
</t>
        </r>
      </text>
    </comment>
    <comment ref="F15" authorId="2" shapeId="0" xr:uid="{00000000-0006-0000-0300-000008000000}">
      <text>
        <r>
          <rPr>
            <sz val="10"/>
            <color indexed="81"/>
            <rFont val="Tahoma"/>
            <family val="2"/>
          </rPr>
          <t>Calculo para un empleador que tiene dos o mas trabajadores, el cual esta exento de pagar el aporte de salud del empleador y tambien exonerado de pagar SENA, ICBF
Ley 1607 de 2012.
Es requisito devengar menos de 10 SMMLV</t>
        </r>
      </text>
    </comment>
    <comment ref="G15" authorId="2" shapeId="0" xr:uid="{00000000-0006-0000-0300-000009000000}">
      <text>
        <r>
          <rPr>
            <sz val="10"/>
            <color indexed="81"/>
            <rFont val="Tahoma"/>
            <family val="2"/>
          </rPr>
          <t xml:space="preserve">Conversion para el caso de un solo trabajador donde no existe exencion de salud y SENA , ICBF
</t>
        </r>
      </text>
    </comment>
    <comment ref="C18" authorId="1" shapeId="0" xr:uid="{00000000-0006-0000-0300-00000A000000}">
      <text>
        <r>
          <rPr>
            <sz val="11"/>
            <color indexed="81"/>
            <rFont val="Tahoma"/>
            <family val="2"/>
          </rPr>
          <t>No puede ser inferior al minimo legal, o sea $ 689.455</t>
        </r>
      </text>
    </comment>
    <comment ref="E18" authorId="1" shapeId="0" xr:uid="{00000000-0006-0000-0300-00000B000000}">
      <text>
        <r>
          <rPr>
            <sz val="11"/>
            <color indexed="81"/>
            <rFont val="Tahoma"/>
            <family val="2"/>
          </rPr>
          <t>Si sale la palabra FALSO es porque esta colocando un valor inferior al minimo legal, y no calcula.</t>
        </r>
      </text>
    </comment>
    <comment ref="B19" authorId="3" shapeId="0" xr:uid="{00000000-0006-0000-0300-00000C000000}">
      <text>
        <r>
          <rPr>
            <sz val="11"/>
            <color indexed="81"/>
            <rFont val="Tahoma"/>
            <family val="2"/>
          </rPr>
          <t>Si bien el auxilio de transporte no es salario, se entiende incorporado al salario para todos los efectos de liquidacion de prestaciones sociales.  Art 7 ley 1 de 1963</t>
        </r>
      </text>
    </comment>
    <comment ref="C20" authorId="1" shapeId="0" xr:uid="{00000000-0006-0000-0300-00000D000000}">
      <text>
        <r>
          <rPr>
            <sz val="11"/>
            <color indexed="81"/>
            <rFont val="Tahoma"/>
            <family val="2"/>
          </rPr>
          <t>A quien trabaje entre las 10 p.m y las 6 a.m
Si el recargo nocturno es en domingo se le suma un 75%</t>
        </r>
      </text>
    </comment>
    <comment ref="C21" authorId="1" shapeId="0" xr:uid="{00000000-0006-0000-0300-00000E000000}">
      <text>
        <r>
          <rPr>
            <sz val="11"/>
            <color indexed="81"/>
            <rFont val="Tahoma"/>
            <family val="2"/>
          </rPr>
          <t>El trabajar en dominical o festivo genra un recargo del 75%
Cuando no se toma el descanso compensatorio  habiendo trabajado el dominical se paga una vez mas.</t>
        </r>
      </text>
    </comment>
    <comment ref="B22" authorId="2" shapeId="0" xr:uid="{00000000-0006-0000-0300-00000F000000}">
      <text>
        <r>
          <rPr>
            <sz val="11"/>
            <color indexed="81"/>
            <rFont val="Tahoma"/>
            <family val="2"/>
          </rPr>
          <t xml:space="preserve">Para que se pueda trabajar horas extras se requiere  autorización del Mintrabajo, salvo por razón de fuerza mayor, caso fortuito, de amenazar u ocurrir al gún accidente o cuando sean indispensabless trabajos de urgencia que deban efectuarse en las maquinas o en la dotación de la empresa Decreto 13 de 1967 Art 1 y 2.
</t>
        </r>
      </text>
    </comment>
    <comment ref="C26" authorId="1" shapeId="0" xr:uid="{00000000-0006-0000-0300-000010000000}">
      <text>
        <r>
          <rPr>
            <sz val="12"/>
            <color indexed="81"/>
            <rFont val="Tahoma"/>
            <family val="2"/>
          </rPr>
          <t xml:space="preserve">Se paga un mes de salario al año.
Dentro de salario se tiene en cuenta el salario basico mas recargos y horas extras.
Ley 1 de 1963 Art 7, establece que el auxilio de transporte se tiene en cuenta para liquidar prestaciones sociales
</t>
        </r>
      </text>
    </comment>
    <comment ref="C27" authorId="1" shapeId="0" xr:uid="{00000000-0006-0000-0300-000011000000}">
      <text>
        <r>
          <rPr>
            <sz val="12"/>
            <color indexed="81"/>
            <rFont val="Tahoma"/>
            <family val="2"/>
          </rPr>
          <t>Equivale al uno por ciento de la cesantía por cada mes trabajado.Lo que significa el 12% al año.
Intereses=   salario x No dias trabajados X 0.12
                  -----------------------------------------------
                                         360</t>
        </r>
      </text>
    </comment>
    <comment ref="C28" authorId="1" shapeId="0" xr:uid="{00000000-0006-0000-0300-000012000000}">
      <text>
        <r>
          <rPr>
            <sz val="11"/>
            <color indexed="81"/>
            <rFont val="Tahoma"/>
            <family val="2"/>
          </rPr>
          <t>Equivale a un mes de salario al año+ subsidio de transporte, pagadero asi:
15 dias el ultimo dia de junio
y 15 dias en los primeros 20 dias de diciembre.
El salario comprende el salario basico mas recargos y horas extras.
Se calcula sobre el promedio obtenido en el respectivo semestre o en el período trabajado si este fuere menor</t>
        </r>
      </text>
    </comment>
    <comment ref="C29" authorId="1" shapeId="0" xr:uid="{00000000-0006-0000-0300-000013000000}">
      <text>
        <r>
          <rPr>
            <sz val="11"/>
            <color indexed="81"/>
            <rFont val="Tahoma"/>
            <family val="2"/>
          </rPr>
          <t xml:space="preserve">Se reconocen por cada año de servicios 15 dias hábiles de vacaciones y  la provisión se ha hecho con 15 días.
Sin embargo en la practica por tratarse de dias habiles se convierten en 17 días calendario si desea utilizar los 17 dias debe diividir 17 entre 360  lo que significa un porcentaje del 4.72% el cual multiplica por el salario.
En su calculo NO se incluye por disposicion legal:
1- el auxilio de transporte.
2- Las horas extras 
3-y el valor del trabajo en dias de descanso obligatorio.
</t>
        </r>
      </text>
    </comment>
    <comment ref="B33" authorId="3" shapeId="0" xr:uid="{00000000-0006-0000-0300-000014000000}">
      <text>
        <r>
          <rPr>
            <sz val="11"/>
            <color indexed="81"/>
            <rFont val="Tahoma"/>
            <family val="2"/>
          </rPr>
          <t xml:space="preserve">Protege al trabajador contra contingencias de enfermedad general y maternidad
</t>
        </r>
      </text>
    </comment>
    <comment ref="C33" authorId="1" shapeId="0" xr:uid="{00000000-0006-0000-0300-000015000000}">
      <text>
        <r>
          <rPr>
            <sz val="11"/>
            <color indexed="81"/>
            <rFont val="Tahoma"/>
            <family val="2"/>
          </rPr>
          <t>Este valor equivale al aporte de empleador y trabajador.
El decreto 1406 de 1999 establece la forma de aproximar las cifras asi:
1- El monto del ingreso base de cotizacion correspondiente a cada afiliado se aproxima al multiplo de mil mas cercano.
2. El valor de los aportes liquidados por cada afiliado, al multiplo de cien mas cercano. La fraccion igual o menor a 500 y 50  se deducira
Para el calculo no se suma el auxilio de transporte.</t>
        </r>
      </text>
    </comment>
    <comment ref="D33" authorId="1" shapeId="0" xr:uid="{00000000-0006-0000-0300-000016000000}">
      <text>
        <r>
          <rPr>
            <sz val="11"/>
            <color indexed="81"/>
            <rFont val="Tahoma"/>
            <family val="2"/>
          </rPr>
          <t>El aporte total  se debe discriminar asi:
El empleador:   8,5%
Trabajador:     4.0%
Tope Minimo: 1 SMLMV--      $ 689.455
Tope maximo 25 SMLMV - $17.236.375</t>
        </r>
      </text>
    </comment>
    <comment ref="F33" authorId="2" shapeId="0" xr:uid="{00000000-0006-0000-0300-000017000000}">
      <text>
        <r>
          <rPr>
            <sz val="12"/>
            <color indexed="81"/>
            <rFont val="Tahoma"/>
            <family val="2"/>
          </rPr>
          <t>El empleador esta exonerado de realizar su aporte siempre y cuando reuna dos requisitos
1- Tenga el empleador dos o mas trabajadores
2. El trabajador devengue menos de 10 SMLMV</t>
        </r>
      </text>
    </comment>
    <comment ref="B34" authorId="3" shapeId="0" xr:uid="{00000000-0006-0000-0300-000018000000}">
      <text>
        <r>
          <rPr>
            <sz val="11"/>
            <color indexed="81"/>
            <rFont val="Tahoma"/>
            <family val="2"/>
          </rPr>
          <t>Ampara al trabajador contra contingencias de vejez, invalidez y muerte, mediante el reconocimiento de pensiones y prestaciones.</t>
        </r>
      </text>
    </comment>
    <comment ref="C34" authorId="1" shapeId="0" xr:uid="{00000000-0006-0000-0300-000019000000}">
      <text>
        <r>
          <rPr>
            <sz val="11"/>
            <color indexed="81"/>
            <rFont val="Tahoma"/>
            <family val="2"/>
          </rPr>
          <t>Este valor es la suma del aporte de la empresa y el trabajador
Para el calculo no se  suma el auxilio de transporte</t>
        </r>
      </text>
    </comment>
    <comment ref="D34" authorId="1" shapeId="0" xr:uid="{00000000-0006-0000-0300-00001A000000}">
      <text>
        <r>
          <rPr>
            <sz val="11"/>
            <color indexed="81"/>
            <rFont val="Tahoma"/>
            <family val="2"/>
          </rPr>
          <t>El aporte total  se debe discriminar asi:
El empleador:  12%
Trabajador:     4.0%
Tope Minimo: 1 SMLMV--       $689.454
Tope maximo 25 SMLMV - $17.236.250</t>
        </r>
      </text>
    </comment>
    <comment ref="B35" authorId="3" shapeId="0" xr:uid="{00000000-0006-0000-0300-00001B000000}">
      <text>
        <r>
          <rPr>
            <sz val="11"/>
            <color indexed="81"/>
            <rFont val="Tahoma"/>
            <family val="2"/>
          </rPr>
          <t>Protege al trabajador contra accidentes de trabajo y enfermedades profesionales</t>
        </r>
        <r>
          <rPr>
            <sz val="8"/>
            <color indexed="81"/>
            <rFont val="Tahoma"/>
            <family val="2"/>
          </rPr>
          <t xml:space="preserve">
</t>
        </r>
      </text>
    </comment>
    <comment ref="C35" authorId="1" shapeId="0" xr:uid="{00000000-0006-0000-0300-00001C000000}">
      <text>
        <r>
          <rPr>
            <sz val="11"/>
            <color indexed="81"/>
            <rFont val="Tahoma"/>
            <family val="2"/>
          </rPr>
          <t>Decreto 1772 de 1994, Art 13
Tope Minimo: 1 SMLMV -      $689.455
Tope maximo 25 SMLMV - $17.236.375     
Para el calculo no se suma el auxilio de transporte.
Esta a cargo exclusivo del empleador.</t>
        </r>
      </text>
    </comment>
    <comment ref="B41" authorId="3" shapeId="0" xr:uid="{00000000-0006-0000-0300-00001D000000}">
      <text>
        <r>
          <rPr>
            <b/>
            <sz val="11"/>
            <color indexed="81"/>
            <rFont val="Tahoma"/>
            <family val="2"/>
          </rPr>
          <t xml:space="preserve">Cajas de compensacion Familiar </t>
        </r>
        <r>
          <rPr>
            <sz val="11"/>
            <color indexed="81"/>
            <rFont val="Tahoma"/>
            <family val="2"/>
          </rPr>
          <t xml:space="preserve">:Paga el subsidio Familiar y brinda recreación y bienestar social a los trabajadores.
</t>
        </r>
        <r>
          <rPr>
            <b/>
            <sz val="11"/>
            <color indexed="81"/>
            <rFont val="Tahoma"/>
            <family val="2"/>
          </rPr>
          <t xml:space="preserve">Sena: </t>
        </r>
        <r>
          <rPr>
            <sz val="11"/>
            <color indexed="81"/>
            <rFont val="Tahoma"/>
            <family val="2"/>
          </rPr>
          <t xml:space="preserve">Realiza formacion profesional a los aprendices que deben contratar las empresas.
</t>
        </r>
        <r>
          <rPr>
            <b/>
            <sz val="11"/>
            <color indexed="81"/>
            <rFont val="Tahoma"/>
            <family val="2"/>
          </rPr>
          <t>ICBF</t>
        </r>
        <r>
          <rPr>
            <sz val="11"/>
            <color indexed="81"/>
            <rFont val="Tahoma"/>
            <family val="2"/>
          </rPr>
          <t>: Atiende especialmente la niñez desamparada  pre-escolar menor de 7 años</t>
        </r>
      </text>
    </comment>
    <comment ref="C41" authorId="1" shapeId="0" xr:uid="{00000000-0006-0000-0300-00001E000000}">
      <text>
        <r>
          <rPr>
            <sz val="11"/>
            <color indexed="81"/>
            <rFont val="Tahoma"/>
            <family val="2"/>
          </rPr>
          <t>El auxilio de transporte no se tiene en cuenta para este calculo. Art 17 ley 344/96
El trabajador que devengue en el mes hasta 4 veces el salario minimos ($2.757.820) tiene derecho al pago del subsidio en dinero.</t>
        </r>
      </text>
    </comment>
    <comment ref="D41" authorId="4" shapeId="0" xr:uid="{00000000-0006-0000-0300-00001F000000}">
      <text>
        <r>
          <rPr>
            <sz val="10"/>
            <color indexed="81"/>
            <rFont val="Tahoma"/>
            <family val="2"/>
          </rPr>
          <t>A partir del 1 de julio de 2013 solo se cotizara el 4% de las cajas de compensación según la ley 1607 de 2012, art 25.
Artículo 25°. Exoneración de aportes. A partir del momento en que el Gobierno Nacional implemente el sistema de retenciones en la fuente para el recaudo del impuesto sobre la renta para la equidad -CREE, Y en todo caso antes del 1° de julio de 2013, estarán exoneradas del pago de los aportes parafiscales a favor del Servicio Nacional del Aprendizaje -SENA Y de Instituto Colombiano de Bienestar Familiar -ICBF,</t>
        </r>
        <r>
          <rPr>
            <b/>
            <sz val="10"/>
            <color indexed="81"/>
            <rFont val="Tahoma"/>
            <family val="2"/>
          </rPr>
          <t xml:space="preserve"> las sociedades y personas jurídicas y asimiladas</t>
        </r>
        <r>
          <rPr>
            <sz val="10"/>
            <color indexed="81"/>
            <rFont val="Tahoma"/>
            <family val="2"/>
          </rPr>
          <t xml:space="preserve"> contribuyentes declarantes del impuesto sobre la renta y complementarios, correspondientes a los trabajadores que devenguen, individualmente considerados, hasta diez (10) salarios mínimos mensuales legales vigentes.
 Así mismo las </t>
        </r>
        <r>
          <rPr>
            <b/>
            <sz val="10"/>
            <color indexed="81"/>
            <rFont val="Tahoma"/>
            <family val="2"/>
          </rPr>
          <t>personas naturales empleadoras</t>
        </r>
        <r>
          <rPr>
            <sz val="10"/>
            <color indexed="81"/>
            <rFont val="Tahoma"/>
            <family val="2"/>
          </rPr>
          <t xml:space="preserve"> estarán exoneradas de la obligación de pago de los aportes parafiscales al SENA, al ICBF y al Sistema de Seguridad Social en Salud por los empleados que devenguen menos de diez (10) salarios mínimos legales mensuales vigentes. Lo anterior no aplicará para personas naturales que empleen menos de dos trabajadores, los cuales seguirán obligados a efectuar los aportes de que trata este inciso
</t>
        </r>
        <r>
          <rPr>
            <sz val="9"/>
            <color indexed="81"/>
            <rFont val="Tahoma"/>
            <family val="2"/>
          </rPr>
          <t xml:space="preserve">
</t>
        </r>
      </text>
    </comment>
    <comment ref="C46" authorId="1" shapeId="0" xr:uid="{00000000-0006-0000-0300-000020000000}">
      <text>
        <r>
          <rPr>
            <sz val="11"/>
            <color indexed="81"/>
            <rFont val="Tahoma"/>
            <family val="2"/>
          </rPr>
          <t>Fecha de entrega
30 abril 
31 de agosto
20 de diciembre
Es obligacion entregarla solo a partir del tercer mes de vinculación laboral</t>
        </r>
      </text>
    </comment>
    <comment ref="F58" authorId="1" shapeId="0" xr:uid="{00000000-0006-0000-0300-000021000000}">
      <text>
        <r>
          <rPr>
            <sz val="11"/>
            <color indexed="81"/>
            <rFont val="Tahoma"/>
            <family val="2"/>
          </rPr>
          <t>Aquí se puede colocar el numero de horas por recargos y horas extras que se van a dar todos los meses, para calcular el costo mes.</t>
        </r>
      </text>
    </comment>
    <comment ref="E60" authorId="1" shapeId="0" xr:uid="{00000000-0006-0000-0300-000022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1" authorId="1" shapeId="0" xr:uid="{00000000-0006-0000-0300-000023000000}">
      <text>
        <r>
          <rPr>
            <sz val="12"/>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C62" authorId="1" shapeId="0" xr:uid="{00000000-0006-0000-0300-000024000000}">
      <text>
        <r>
          <rPr>
            <sz val="11"/>
            <color indexed="81"/>
            <rFont val="Tahoma"/>
            <family val="2"/>
          </rPr>
          <t>Por trabajar el domingo el trabajador tiene derecho a un descanso compensatorio, pero sino lo toma tiene derecho a que se le pague en dinero un dia, ademas del recargo del 75% por haber trabajado el domingo.</t>
        </r>
      </text>
    </comment>
    <comment ref="E62" authorId="1" shapeId="0" xr:uid="{00000000-0006-0000-0300-000025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3" authorId="1" shapeId="0" xr:uid="{00000000-0006-0000-0300-000026000000}">
      <text>
        <r>
          <rPr>
            <sz val="11"/>
            <color indexed="81"/>
            <rFont val="Tahoma"/>
            <family val="2"/>
          </rPr>
          <t>Este es el valor adicional que se paga a la hora basica la cual ya esta incluida en el  salario basico.
Para tener el costo total de esa hora sume el recargo mas el valor de la hora basica</t>
        </r>
        <r>
          <rPr>
            <b/>
            <sz val="8"/>
            <color indexed="81"/>
            <rFont val="Tahoma"/>
            <family val="2"/>
          </rPr>
          <t xml:space="preserve">
</t>
        </r>
      </text>
    </comment>
    <comment ref="E73" authorId="1" shapeId="0" xr:uid="{00000000-0006-0000-0300-000027000000}">
      <text>
        <r>
          <rPr>
            <sz val="11"/>
            <color indexed="81"/>
            <rFont val="Tahoma"/>
            <family val="2"/>
          </rPr>
          <t>Trabajador:     4.0%
Base Tope Minimo: 1 SMLMV--       $689.455
Base Tope maximo 25 SMLMV - $ 17.236.375</t>
        </r>
      </text>
    </comment>
    <comment ref="E74" authorId="1" shapeId="0" xr:uid="{00000000-0006-0000-0300-000028000000}">
      <text>
        <r>
          <rPr>
            <sz val="11"/>
            <color indexed="81"/>
            <rFont val="Tahoma"/>
            <family val="2"/>
          </rPr>
          <t>Trabajador:     4.0%
Tope Minimo: 1 SMLMV--       $ 689.455
Tope maximo 25 SMLMV - $ 17.236.375</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Servicios</author>
    <author>temp</author>
    <author>Familia Duque</author>
    <author>ADMON</author>
  </authors>
  <commentList>
    <comment ref="C5" authorId="0" shapeId="0" xr:uid="{00000000-0006-0000-0400-000001000000}">
      <text>
        <r>
          <rPr>
            <sz val="11"/>
            <color indexed="81"/>
            <rFont val="Tahoma"/>
            <family val="2"/>
          </rPr>
          <t>Decreto 2731 de 2014</t>
        </r>
      </text>
    </comment>
    <comment ref="C6" authorId="0" shapeId="0" xr:uid="{00000000-0006-0000-0400-000002000000}">
      <text>
        <r>
          <rPr>
            <sz val="11"/>
            <color indexed="81"/>
            <rFont val="Tahoma"/>
            <family val="2"/>
          </rPr>
          <t xml:space="preserve">Decreto 2732 de 2014
                    </t>
        </r>
      </text>
    </comment>
    <comment ref="C10" authorId="0" shapeId="0" xr:uid="{00000000-0006-0000-0400-000003000000}">
      <text>
        <r>
          <rPr>
            <sz val="11"/>
            <color indexed="81"/>
            <rFont val="Tahoma"/>
            <family val="2"/>
          </rPr>
          <t>Este calculo solo aplica para contratos  que no son de salario integral</t>
        </r>
      </text>
    </comment>
    <comment ref="C11" authorId="0" shapeId="0" xr:uid="{00000000-0006-0000-0400-000004000000}">
      <text>
        <r>
          <rPr>
            <sz val="12"/>
            <color indexed="81"/>
            <rFont val="Tahoma"/>
            <family val="2"/>
          </rPr>
          <t xml:space="preserve">RIESGO         %
Minimo   Riesgo I        </t>
        </r>
        <r>
          <rPr>
            <b/>
            <sz val="12"/>
            <color indexed="81"/>
            <rFont val="Tahoma"/>
            <family val="2"/>
          </rPr>
          <t>0,522%</t>
        </r>
        <r>
          <rPr>
            <sz val="12"/>
            <color indexed="81"/>
            <rFont val="Tahoma"/>
            <family val="2"/>
          </rPr>
          <t xml:space="preserve">
Bajo       Riesgo II       </t>
        </r>
        <r>
          <rPr>
            <b/>
            <sz val="12"/>
            <color indexed="81"/>
            <rFont val="Tahoma"/>
            <family val="2"/>
          </rPr>
          <t>1.044%</t>
        </r>
        <r>
          <rPr>
            <sz val="12"/>
            <color indexed="81"/>
            <rFont val="Tahoma"/>
            <family val="2"/>
          </rPr>
          <t xml:space="preserve">
Medio     Riesgo III      </t>
        </r>
        <r>
          <rPr>
            <b/>
            <sz val="12"/>
            <color indexed="81"/>
            <rFont val="Tahoma"/>
            <family val="2"/>
          </rPr>
          <t>2,436%</t>
        </r>
        <r>
          <rPr>
            <sz val="12"/>
            <color indexed="81"/>
            <rFont val="Tahoma"/>
            <family val="2"/>
          </rPr>
          <t xml:space="preserve">
Alto        Riesgo IV      </t>
        </r>
        <r>
          <rPr>
            <b/>
            <sz val="12"/>
            <color indexed="81"/>
            <rFont val="Tahoma"/>
            <family val="2"/>
          </rPr>
          <t>4,350%</t>
        </r>
        <r>
          <rPr>
            <sz val="12"/>
            <color indexed="81"/>
            <rFont val="Tahoma"/>
            <family val="2"/>
          </rPr>
          <t xml:space="preserve">
Maximo    Riesgo V      </t>
        </r>
        <r>
          <rPr>
            <b/>
            <sz val="12"/>
            <color indexed="81"/>
            <rFont val="Tahoma"/>
            <family val="2"/>
          </rPr>
          <t>6,960%</t>
        </r>
        <r>
          <rPr>
            <sz val="12"/>
            <color indexed="81"/>
            <rFont val="Tahoma"/>
            <family val="2"/>
          </rPr>
          <t xml:space="preserve">
Colocar el % segun el riesgo que corresponda.
</t>
        </r>
      </text>
    </comment>
    <comment ref="C12" authorId="0" shapeId="0" xr:uid="{00000000-0006-0000-0400-000005000000}">
      <text>
        <r>
          <rPr>
            <sz val="11"/>
            <color indexed="81"/>
            <rFont val="Tahoma"/>
            <family val="2"/>
          </rPr>
          <t>NOTA: Solo colocar si el salario es hasta $1.288.700
Solo es obligacion de entregar dotación a quienes devenguen hasta 2 salarios minimos legales mensuales.Ley 11 de 1984 art 7          
Una dotacion esta compuesta por:
Un par de zapatos            $ 
y un vestido de labor        $       
Coloque la suma de los dos valores.
En promedio la suma de los dos puede costar $ 115.000, obviamente puede ser mayor o menor dependiendo de la calidad de la dotación.</t>
        </r>
      </text>
    </comment>
    <comment ref="C13" authorId="0" shapeId="0" xr:uid="{00000000-0006-0000-0400-000006000000}">
      <text>
        <r>
          <rPr>
            <sz val="11"/>
            <color indexed="81"/>
            <rFont val="Tahoma"/>
            <family val="2"/>
          </rPr>
          <t>Se debe colocar lo que cuesta adquirir una unidad de la moneda extranjera a la cual se desea convertir, por ejemplo lo que cuesta comprar un dolar</t>
        </r>
      </text>
    </comment>
    <comment ref="E15" authorId="1" shapeId="0" xr:uid="{00000000-0006-0000-0400-000007000000}">
      <text>
        <r>
          <rPr>
            <b/>
            <sz val="10"/>
            <color indexed="81"/>
            <rFont val="Tahoma"/>
            <family val="2"/>
          </rPr>
          <t xml:space="preserve">Calculo de un trabajador para un empleador que solo tiene un trabajador en su nómina.
</t>
        </r>
      </text>
    </comment>
    <comment ref="F15" authorId="1" shapeId="0" xr:uid="{00000000-0006-0000-0400-000008000000}">
      <text>
        <r>
          <rPr>
            <sz val="9"/>
            <color indexed="81"/>
            <rFont val="Tahoma"/>
            <family val="2"/>
          </rPr>
          <t>Calculo para un empleador que tiene dos o mas trabajadores, el cual esta exento de pagar el aporte de salud del empleador y tambien exonerado de pagar SENA, ICBF
Ley 1607 de 2012.
Es requisito devengar menos de 10 SMMLV</t>
        </r>
      </text>
    </comment>
    <comment ref="G15" authorId="1" shapeId="0" xr:uid="{00000000-0006-0000-0400-000009000000}">
      <text>
        <r>
          <rPr>
            <sz val="8"/>
            <color indexed="81"/>
            <rFont val="Tahoma"/>
            <family val="2"/>
          </rPr>
          <t xml:space="preserve">Conversion para el caso de un solo trabajador donde no existe exencion de salud y SENA , ICBF
</t>
        </r>
      </text>
    </comment>
    <comment ref="C18" authorId="0" shapeId="0" xr:uid="{00000000-0006-0000-0400-00000A000000}">
      <text>
        <r>
          <rPr>
            <sz val="11"/>
            <color indexed="81"/>
            <rFont val="Tahoma"/>
            <family val="2"/>
          </rPr>
          <t>No puede ser inferior al minimo legal, o sea $ 644.350</t>
        </r>
      </text>
    </comment>
    <comment ref="E18" authorId="0" shapeId="0" xr:uid="{00000000-0006-0000-0400-00000B000000}">
      <text>
        <r>
          <rPr>
            <sz val="11"/>
            <color indexed="81"/>
            <rFont val="Tahoma"/>
            <family val="2"/>
          </rPr>
          <t>Si sale la palabra FALSO es porque esta colocando un valor inferior al minimo legal, y no calcula.</t>
        </r>
      </text>
    </comment>
    <comment ref="B19" authorId="2" shapeId="0" xr:uid="{00000000-0006-0000-0400-00000C000000}">
      <text>
        <r>
          <rPr>
            <sz val="11"/>
            <color indexed="81"/>
            <rFont val="Tahoma"/>
            <family val="2"/>
          </rPr>
          <t>Si bien el auxilio de transporte no es salario, se entiende incorporado al salario para todos los efectos de liquidacion de prestaciones sociales.  Art 7 ley 1 de 1963</t>
        </r>
      </text>
    </comment>
    <comment ref="C20" authorId="0" shapeId="0" xr:uid="{00000000-0006-0000-0400-00000D000000}">
      <text>
        <r>
          <rPr>
            <sz val="11"/>
            <color indexed="81"/>
            <rFont val="Tahoma"/>
            <family val="2"/>
          </rPr>
          <t>A quien trabaje entre las 10 p.m y las 6 a.m</t>
        </r>
      </text>
    </comment>
    <comment ref="C21" authorId="0" shapeId="0" xr:uid="{00000000-0006-0000-0400-00000E000000}">
      <text>
        <r>
          <rPr>
            <sz val="11"/>
            <color indexed="81"/>
            <rFont val="Tahoma"/>
            <family val="2"/>
          </rPr>
          <t>Ademas del recargo del 75% por trabajar un domingo,si se trabajo en horario nocturno se recarga con el 35%.
Cuando no se toma el descanso compensatorio  habiendo trabajado el dominical se paga una vez mas.</t>
        </r>
      </text>
    </comment>
    <comment ref="B22" authorId="1" shapeId="0" xr:uid="{00000000-0006-0000-0400-00000F000000}">
      <text>
        <r>
          <rPr>
            <sz val="10"/>
            <color indexed="81"/>
            <rFont val="Tahoma"/>
            <family val="2"/>
          </rPr>
          <t>Para que se pueda trabajar horas extras se requiere  autorización del Mintrabajo, salvo por razón de fuerza mayor, caso fortuito, de amenazar u ocurrir al gún accidente o cuando sean indispensabless trabajos de urgencia que deban efectuarse en las maquinas o en la dotación de la empresa</t>
        </r>
        <r>
          <rPr>
            <sz val="11"/>
            <color indexed="81"/>
            <rFont val="Tahoma"/>
            <family val="2"/>
          </rPr>
          <t xml:space="preserve"> Decreto 13 de 1967 Art 1 y 2.</t>
        </r>
        <r>
          <rPr>
            <sz val="10"/>
            <color indexed="81"/>
            <rFont val="Tahoma"/>
            <family val="2"/>
          </rPr>
          <t xml:space="preserve">
</t>
        </r>
      </text>
    </comment>
    <comment ref="C26" authorId="0" shapeId="0" xr:uid="{00000000-0006-0000-0400-000010000000}">
      <text>
        <r>
          <rPr>
            <sz val="12"/>
            <color indexed="81"/>
            <rFont val="Tahoma"/>
            <family val="2"/>
          </rPr>
          <t xml:space="preserve">Se paga un mes de salario al año.
Dentro de salario se tiene en cuenta el salario basico mas recargos y horas extras.
Ley 1 de 1963 Art 7, establece que el auxilio de transporte se tiene en cuenta para liquidar prestaciones sociales
</t>
        </r>
      </text>
    </comment>
    <comment ref="C27" authorId="0" shapeId="0" xr:uid="{00000000-0006-0000-0400-000011000000}">
      <text>
        <r>
          <rPr>
            <sz val="12"/>
            <color indexed="81"/>
            <rFont val="Tahoma"/>
            <family val="2"/>
          </rPr>
          <t>Equivale al uno por ciento de la cesantía por cada mes trabajado.Lo que significa el 12% al año.
Intereses=   salario x No dias trabajados X 0.12
                  -----------------------------------------------
                                         360</t>
        </r>
      </text>
    </comment>
    <comment ref="C28" authorId="0" shapeId="0" xr:uid="{00000000-0006-0000-0400-000012000000}">
      <text>
        <r>
          <rPr>
            <sz val="11"/>
            <color indexed="81"/>
            <rFont val="Tahoma"/>
            <family val="2"/>
          </rPr>
          <t>Equivale a un mes de salario al año+ subsidio de transporte, pagadero asi:
15 dias el ultimo dia de junio
y 15 dias en los primeros 20 dias de diciembre.
El salario comprende el salario basico mas recargos y horas extras.
Se calcula sobre el promedio obtenido en el respectivo semestre o en el período trabajado si este fuere menor</t>
        </r>
      </text>
    </comment>
    <comment ref="C29" authorId="0" shapeId="0" xr:uid="{00000000-0006-0000-0400-000013000000}">
      <text>
        <r>
          <rPr>
            <sz val="11"/>
            <color indexed="81"/>
            <rFont val="Tahoma"/>
            <family val="2"/>
          </rPr>
          <t xml:space="preserve">Se reconocen por cada año de servicios 15 dias hábiles de vacaciones y  la provisión se ha hecho con 15 días.
Sin embargo en la practica por tratarse de dias habiles se convierten en 17 días calendario si desea utilizar los 17 dias debe diividir 17 entre 360  lo que significa un porcentaje del 4.72% el cual multiplica por el salario.
En su calculo NO se incluye por disposicion legal:
1- el auxilio de transporte.
2- Las horas extras 
3-y el valor del trabajo en dias de descanso obligatorio.
</t>
        </r>
      </text>
    </comment>
    <comment ref="B33" authorId="2" shapeId="0" xr:uid="{00000000-0006-0000-0400-000014000000}">
      <text>
        <r>
          <rPr>
            <sz val="11"/>
            <color indexed="81"/>
            <rFont val="Tahoma"/>
            <family val="2"/>
          </rPr>
          <t xml:space="preserve">Protege al trabajador contra contingencias de enfermedad general y maternidad
</t>
        </r>
      </text>
    </comment>
    <comment ref="C33" authorId="0" shapeId="0" xr:uid="{00000000-0006-0000-0400-000015000000}">
      <text>
        <r>
          <rPr>
            <sz val="11"/>
            <color indexed="81"/>
            <rFont val="Tahoma"/>
            <family val="2"/>
          </rPr>
          <t>Este valor equivale al aporte de empleador y trabajador.
El decreto 1406 de 1999 establece la forma de aproximar las cifras asi:
1- El monto del ingreso base de cotizacion correspondiente a cada afiliado se aproxima al multiplo de mil mas cercano.
2. El valor de los aportes liquidados por cada afiliado, al multiplo de cien mas cercano. La fraccion igual o menor a 500 y 50  se deducira
Para el calculo no se suma el auxilio de transporte.</t>
        </r>
      </text>
    </comment>
    <comment ref="D33" authorId="0" shapeId="0" xr:uid="{00000000-0006-0000-0400-000016000000}">
      <text>
        <r>
          <rPr>
            <sz val="11"/>
            <color indexed="81"/>
            <rFont val="Tahoma"/>
            <family val="2"/>
          </rPr>
          <t>El aporte total  se debe discriminar asi:
El empleador:   8,5%
Trabajador:     4.0%
Tope Minimo: 1 SMLMV--      $ 644.350
Tope maximo 25 SMLMV - $16.108.750</t>
        </r>
      </text>
    </comment>
    <comment ref="F33" authorId="1" shapeId="0" xr:uid="{00000000-0006-0000-0400-000017000000}">
      <text>
        <r>
          <rPr>
            <sz val="10"/>
            <color indexed="81"/>
            <rFont val="Tahoma"/>
            <family val="2"/>
          </rPr>
          <t>El empleador esta exonerado de realizar su aporte siempre y cuando reuna dos requisitos
1- Tenga el empleador dos o mas trabajadores
2. El trabajador devengue menos de 10 SMLMV</t>
        </r>
      </text>
    </comment>
    <comment ref="B34" authorId="2" shapeId="0" xr:uid="{00000000-0006-0000-0400-000018000000}">
      <text>
        <r>
          <rPr>
            <sz val="11"/>
            <color indexed="81"/>
            <rFont val="Tahoma"/>
            <family val="2"/>
          </rPr>
          <t>Ampara al trabajador contra contingencias de vejez, invalidez y muerte, mediante el reconocimiento de pensiones y prestaciones.</t>
        </r>
      </text>
    </comment>
    <comment ref="C34" authorId="0" shapeId="0" xr:uid="{00000000-0006-0000-0400-000019000000}">
      <text>
        <r>
          <rPr>
            <sz val="11"/>
            <color indexed="81"/>
            <rFont val="Tahoma"/>
            <family val="2"/>
          </rPr>
          <t>Este valor es la suma del aporte de la empresa y el trabajador
Para el calculo no se  suma el auxilio de transporte</t>
        </r>
      </text>
    </comment>
    <comment ref="D34" authorId="0" shapeId="0" xr:uid="{00000000-0006-0000-0400-00001A000000}">
      <text>
        <r>
          <rPr>
            <sz val="11"/>
            <color indexed="81"/>
            <rFont val="Tahoma"/>
            <family val="2"/>
          </rPr>
          <t>El aporte total  se debe discriminar asi:
El empleador:  12%
Trabajador:     4.0%
Tope Minimo: 1 SMLMV--       $644.350
Tope maximo 25 SMLMV - $16.108.750</t>
        </r>
      </text>
    </comment>
    <comment ref="B35" authorId="2" shapeId="0" xr:uid="{00000000-0006-0000-0400-00001B000000}">
      <text>
        <r>
          <rPr>
            <sz val="11"/>
            <color indexed="81"/>
            <rFont val="Tahoma"/>
            <family val="2"/>
          </rPr>
          <t>Protege al trabajador contra accidentes de trabajo y enfermedades profesionales</t>
        </r>
        <r>
          <rPr>
            <sz val="8"/>
            <color indexed="81"/>
            <rFont val="Tahoma"/>
            <family val="2"/>
          </rPr>
          <t xml:space="preserve">
</t>
        </r>
      </text>
    </comment>
    <comment ref="C35" authorId="0" shapeId="0" xr:uid="{00000000-0006-0000-0400-00001C000000}">
      <text>
        <r>
          <rPr>
            <sz val="11"/>
            <color indexed="81"/>
            <rFont val="Tahoma"/>
            <family val="2"/>
          </rPr>
          <t>Decreto 1772 de 1994, Art 13
Tope Minimo: 1 SMLMV -      $644.350
Tope maximo 25 SMLMV - $16.108.750     
Para el calculo no se suma el auxilio de transporte.
Esta a cargo exclusivo del empleador.</t>
        </r>
      </text>
    </comment>
    <comment ref="B41" authorId="2" shapeId="0" xr:uid="{00000000-0006-0000-0400-00001D000000}">
      <text>
        <r>
          <rPr>
            <b/>
            <sz val="11"/>
            <color indexed="81"/>
            <rFont val="Tahoma"/>
            <family val="2"/>
          </rPr>
          <t xml:space="preserve">Cajas de compensacion Familiar </t>
        </r>
        <r>
          <rPr>
            <sz val="11"/>
            <color indexed="81"/>
            <rFont val="Tahoma"/>
            <family val="2"/>
          </rPr>
          <t xml:space="preserve">:Paga el subsidio Familiar y brinda recreación y bienestar social a los trabajadores.
</t>
        </r>
        <r>
          <rPr>
            <b/>
            <sz val="11"/>
            <color indexed="81"/>
            <rFont val="Tahoma"/>
            <family val="2"/>
          </rPr>
          <t xml:space="preserve">Sena: </t>
        </r>
        <r>
          <rPr>
            <sz val="11"/>
            <color indexed="81"/>
            <rFont val="Tahoma"/>
            <family val="2"/>
          </rPr>
          <t xml:space="preserve">Realiza formacion profesional a los aprendices que deben contratar las empresas.
</t>
        </r>
        <r>
          <rPr>
            <b/>
            <sz val="11"/>
            <color indexed="81"/>
            <rFont val="Tahoma"/>
            <family val="2"/>
          </rPr>
          <t>ICBF</t>
        </r>
        <r>
          <rPr>
            <sz val="11"/>
            <color indexed="81"/>
            <rFont val="Tahoma"/>
            <family val="2"/>
          </rPr>
          <t>: Atiende especialmente la niñez desamparada  pre-escolar menor de 7 años</t>
        </r>
      </text>
    </comment>
    <comment ref="C41" authorId="0" shapeId="0" xr:uid="{00000000-0006-0000-0400-00001E000000}">
      <text>
        <r>
          <rPr>
            <sz val="11"/>
            <color indexed="81"/>
            <rFont val="Tahoma"/>
            <family val="2"/>
          </rPr>
          <t>El auxilio de transporte no se tiene en cuenta para este calculo. Art 17 ley 344/96
El trabajador que devengue en el mes hasta 4 veces el salario minimos ($2.577.400) tiene derecho al pago del subsidio en dinero.</t>
        </r>
      </text>
    </comment>
    <comment ref="D41" authorId="3" shapeId="0" xr:uid="{00000000-0006-0000-0400-00001F000000}">
      <text>
        <r>
          <rPr>
            <sz val="9"/>
            <color indexed="81"/>
            <rFont val="Tahoma"/>
            <family val="2"/>
          </rPr>
          <t>A partir del 1 de julio de 2013 solo se cotizara el 4% de las cajas de compensación según la ley 1607 de 2012, art 25.
Artículo 25°. Exoneración de aportes. A partir del momento en que el Gobierno Nacional implemente el sistema de retenciones en la fuente para el recaudo del impuesto sobre la renta para la equidad -CREE, Y en todo caso antes del 1° de julio de 2013, estarán exoneradas del pago de los aportes parafiscales a favor del Servicio Nacional del Aprendizaje -SENA Y de Instituto Colombiano de Bienestar Familiar -ICBF,</t>
        </r>
        <r>
          <rPr>
            <b/>
            <sz val="9"/>
            <color indexed="81"/>
            <rFont val="Tahoma"/>
            <family val="2"/>
          </rPr>
          <t xml:space="preserve"> las sociedades y personas jurídicas y asimiladas</t>
        </r>
        <r>
          <rPr>
            <sz val="9"/>
            <color indexed="81"/>
            <rFont val="Tahoma"/>
            <family val="2"/>
          </rPr>
          <t xml:space="preserve"> contribuyentes declarantes del impuesto sobre la renta y complementarios, correspondientes a los trabajadores que devenguen, individualmente considerados, hasta diez (10) salarios mínimos mensuales legales vigentes.
 Así mismo las </t>
        </r>
        <r>
          <rPr>
            <b/>
            <sz val="9"/>
            <color indexed="81"/>
            <rFont val="Tahoma"/>
            <family val="2"/>
          </rPr>
          <t>personas naturales empleadoras</t>
        </r>
        <r>
          <rPr>
            <sz val="9"/>
            <color indexed="81"/>
            <rFont val="Tahoma"/>
            <family val="2"/>
          </rPr>
          <t xml:space="preserve"> estarán exoneradas de la obligación de pago de los aportes parafiscales al SENA, al ICBF y al Sistema de Seguridad Social en Salud por los empleados que devenguen menos de diez (10) salarios mínimos legales mensuales vigentes. Lo anterior no aplicará para personas naturales que empleen menos de dos trabajadores, los cuales seguirán obligados a efectuar los aportes de que trata este inciso
</t>
        </r>
      </text>
    </comment>
    <comment ref="C46" authorId="0" shapeId="0" xr:uid="{00000000-0006-0000-0400-000020000000}">
      <text>
        <r>
          <rPr>
            <sz val="11"/>
            <color indexed="81"/>
            <rFont val="Tahoma"/>
            <family val="2"/>
          </rPr>
          <t>Fecha de entrega
30 abril 
31 de agosto
20 de diciembre
Es obligacion entregarla solo a partir del tercer mes de vinculación laboral</t>
        </r>
      </text>
    </comment>
    <comment ref="F58" authorId="0" shapeId="0" xr:uid="{00000000-0006-0000-0400-000021000000}">
      <text>
        <r>
          <rPr>
            <sz val="11"/>
            <color indexed="81"/>
            <rFont val="Tahoma"/>
            <family val="2"/>
          </rPr>
          <t>Aquí se puede colocar el numero de horas por recargos y horas extras que se van a dar todos los meses, para calcular el costo mes.</t>
        </r>
      </text>
    </comment>
    <comment ref="E60" authorId="0" shapeId="0" xr:uid="{00000000-0006-0000-0400-000022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1" authorId="0" shapeId="0" xr:uid="{00000000-0006-0000-0400-000023000000}">
      <text>
        <r>
          <rPr>
            <sz val="12"/>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C62" authorId="0" shapeId="0" xr:uid="{00000000-0006-0000-0400-000024000000}">
      <text>
        <r>
          <rPr>
            <sz val="11"/>
            <color indexed="81"/>
            <rFont val="Tahoma"/>
            <family val="2"/>
          </rPr>
          <t>Por trabajar el domingo el trabajador tiene derecho a un descanso compensatorio, pero sino lo toma tiene derecho a que se le pague en dinero un dia, ademas del recargo del 75% por haber trabajado el domingo.</t>
        </r>
      </text>
    </comment>
    <comment ref="E62" authorId="0" shapeId="0" xr:uid="{00000000-0006-0000-0400-000025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3" authorId="0" shapeId="0" xr:uid="{00000000-0006-0000-0400-000026000000}">
      <text>
        <r>
          <rPr>
            <sz val="11"/>
            <color indexed="81"/>
            <rFont val="Tahoma"/>
            <family val="2"/>
          </rPr>
          <t>Este es el valor adicional que se paga a la hora basica la cual ya esta incluida en el  salario basico.
Para tener el costo total de esa hora sume el recargo mas el valor de la hora basica</t>
        </r>
        <r>
          <rPr>
            <b/>
            <sz val="8"/>
            <color indexed="81"/>
            <rFont val="Tahoma"/>
            <family val="2"/>
          </rPr>
          <t xml:space="preserve">
</t>
        </r>
      </text>
    </comment>
    <comment ref="E73" authorId="0" shapeId="0" xr:uid="{00000000-0006-0000-0400-000027000000}">
      <text>
        <r>
          <rPr>
            <sz val="11"/>
            <color indexed="81"/>
            <rFont val="Tahoma"/>
            <family val="2"/>
          </rPr>
          <t>Trabajador:     4.0%
Base Tope Minimo: 1 SMLMV--       $644.350
Base Tope maximo 25 SMLMV - $ 16.108.750</t>
        </r>
      </text>
    </comment>
    <comment ref="E74" authorId="0" shapeId="0" xr:uid="{00000000-0006-0000-0400-000028000000}">
      <text>
        <r>
          <rPr>
            <sz val="11"/>
            <color indexed="81"/>
            <rFont val="Tahoma"/>
            <family val="2"/>
          </rPr>
          <t>Trabajador:     4.0%
Tope Minimo: 1 SMLMV--       $ 644.3500
Tope maximo 25 SMLMV - $ 16.108.750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Servicios</author>
    <author>temp</author>
    <author>Familia Duque</author>
    <author>ADMON</author>
  </authors>
  <commentList>
    <comment ref="C5" authorId="0" shapeId="0" xr:uid="{00000000-0006-0000-0500-000001000000}">
      <text>
        <r>
          <rPr>
            <sz val="11"/>
            <color indexed="81"/>
            <rFont val="Tahoma"/>
            <family val="2"/>
          </rPr>
          <t>Decreto 3068 de 2013</t>
        </r>
      </text>
    </comment>
    <comment ref="C6" authorId="0" shapeId="0" xr:uid="{00000000-0006-0000-0500-000002000000}">
      <text>
        <r>
          <rPr>
            <sz val="11"/>
            <color indexed="81"/>
            <rFont val="Tahoma"/>
            <family val="2"/>
          </rPr>
          <t xml:space="preserve">Decreto 3069 de 2013
                    </t>
        </r>
      </text>
    </comment>
    <comment ref="C10" authorId="0" shapeId="0" xr:uid="{00000000-0006-0000-0500-000003000000}">
      <text>
        <r>
          <rPr>
            <sz val="11"/>
            <color indexed="81"/>
            <rFont val="Tahoma"/>
            <family val="2"/>
          </rPr>
          <t>Este calculo solo aplica para contratos  que no son de salario integral</t>
        </r>
      </text>
    </comment>
    <comment ref="C11" authorId="0" shapeId="0" xr:uid="{00000000-0006-0000-0500-000004000000}">
      <text>
        <r>
          <rPr>
            <sz val="12"/>
            <color indexed="81"/>
            <rFont val="Tahoma"/>
            <family val="2"/>
          </rPr>
          <t xml:space="preserve">RIESGO         %
Minimo   Riesgo I        </t>
        </r>
        <r>
          <rPr>
            <b/>
            <sz val="12"/>
            <color indexed="81"/>
            <rFont val="Tahoma"/>
            <family val="2"/>
          </rPr>
          <t>0,522%</t>
        </r>
        <r>
          <rPr>
            <sz val="12"/>
            <color indexed="81"/>
            <rFont val="Tahoma"/>
            <family val="2"/>
          </rPr>
          <t xml:space="preserve">
Bajo       Riesgo II       </t>
        </r>
        <r>
          <rPr>
            <b/>
            <sz val="12"/>
            <color indexed="81"/>
            <rFont val="Tahoma"/>
            <family val="2"/>
          </rPr>
          <t>1.044%</t>
        </r>
        <r>
          <rPr>
            <sz val="12"/>
            <color indexed="81"/>
            <rFont val="Tahoma"/>
            <family val="2"/>
          </rPr>
          <t xml:space="preserve">
Medio     Riesgo III      </t>
        </r>
        <r>
          <rPr>
            <b/>
            <sz val="12"/>
            <color indexed="81"/>
            <rFont val="Tahoma"/>
            <family val="2"/>
          </rPr>
          <t>2,436%</t>
        </r>
        <r>
          <rPr>
            <sz val="12"/>
            <color indexed="81"/>
            <rFont val="Tahoma"/>
            <family val="2"/>
          </rPr>
          <t xml:space="preserve">
Alto        Riesgo IV      </t>
        </r>
        <r>
          <rPr>
            <b/>
            <sz val="12"/>
            <color indexed="81"/>
            <rFont val="Tahoma"/>
            <family val="2"/>
          </rPr>
          <t>4,350%</t>
        </r>
        <r>
          <rPr>
            <sz val="12"/>
            <color indexed="81"/>
            <rFont val="Tahoma"/>
            <family val="2"/>
          </rPr>
          <t xml:space="preserve">
Maximo    Riesgo V      </t>
        </r>
        <r>
          <rPr>
            <b/>
            <sz val="12"/>
            <color indexed="81"/>
            <rFont val="Tahoma"/>
            <family val="2"/>
          </rPr>
          <t>6,960%</t>
        </r>
        <r>
          <rPr>
            <sz val="12"/>
            <color indexed="81"/>
            <rFont val="Tahoma"/>
            <family val="2"/>
          </rPr>
          <t xml:space="preserve">
Colocar el % segun el riesgo que corresponda.
</t>
        </r>
      </text>
    </comment>
    <comment ref="C12" authorId="0" shapeId="0" xr:uid="{00000000-0006-0000-0500-000005000000}">
      <text>
        <r>
          <rPr>
            <sz val="11"/>
            <color indexed="81"/>
            <rFont val="Tahoma"/>
            <family val="2"/>
          </rPr>
          <t>NOTA: Solo colocar si el salario es hasta $1.232.000
Solo es obligacion de entregar dotación a quienes devenguen hasta 2 salarios minimos legales mensuales.Ley 11 de 1984 art 7          
Una dotacion esta compuesta por:
Un par de zapatos            $ 
y un vestido de labor        $       
Coloque la suma de los dos valores.
En promedio la suma de los dos puede costar $ 110.000, obviamente puede ser mayor o menor dependiendo de la calidad de la dotación.</t>
        </r>
      </text>
    </comment>
    <comment ref="C13" authorId="0" shapeId="0" xr:uid="{00000000-0006-0000-0500-000006000000}">
      <text>
        <r>
          <rPr>
            <sz val="11"/>
            <color indexed="81"/>
            <rFont val="Tahoma"/>
            <family val="2"/>
          </rPr>
          <t>Se debe colocar lo que cuesta adquirir una unidad de la moneda extranjera a la cual se desea convertir, por ejemplo lo que cuesta comprar un dolar</t>
        </r>
      </text>
    </comment>
    <comment ref="E15" authorId="1" shapeId="0" xr:uid="{00000000-0006-0000-0500-000007000000}">
      <text>
        <r>
          <rPr>
            <b/>
            <sz val="10"/>
            <color indexed="81"/>
            <rFont val="Tahoma"/>
            <family val="2"/>
          </rPr>
          <t xml:space="preserve">Calculo de un trabajador para un empleador que solo tiene un trabajador en su nómina.
</t>
        </r>
      </text>
    </comment>
    <comment ref="F15" authorId="1" shapeId="0" xr:uid="{00000000-0006-0000-0500-000008000000}">
      <text>
        <r>
          <rPr>
            <sz val="9"/>
            <color indexed="81"/>
            <rFont val="Tahoma"/>
            <family val="2"/>
          </rPr>
          <t>Calculo para un empleador que tiene dos o mas trabajadores, el cual esta exento de pagar el aporte de salud del empleador y tambien exonerado de pagar SENA, ICBF
Ley 1607 de 2012.
Es requisito devengar menos de 10 SMMLV</t>
        </r>
      </text>
    </comment>
    <comment ref="G15" authorId="1" shapeId="0" xr:uid="{00000000-0006-0000-0500-000009000000}">
      <text>
        <r>
          <rPr>
            <sz val="8"/>
            <color indexed="81"/>
            <rFont val="Tahoma"/>
            <family val="2"/>
          </rPr>
          <t xml:space="preserve">Conversion para el caso de un solo trabajador donde no existe exencion de salud y SENA , ICBF
</t>
        </r>
      </text>
    </comment>
    <comment ref="C18" authorId="0" shapeId="0" xr:uid="{00000000-0006-0000-0500-00000A000000}">
      <text>
        <r>
          <rPr>
            <sz val="11"/>
            <color indexed="81"/>
            <rFont val="Tahoma"/>
            <family val="2"/>
          </rPr>
          <t>No puede ser inferior al minimo legal, o sea $ 616.000</t>
        </r>
      </text>
    </comment>
    <comment ref="E18" authorId="0" shapeId="0" xr:uid="{00000000-0006-0000-0500-00000B000000}">
      <text>
        <r>
          <rPr>
            <sz val="11"/>
            <color indexed="81"/>
            <rFont val="Tahoma"/>
            <family val="2"/>
          </rPr>
          <t>Si sale la palabra FALSO es porque esta colocando un valor inferior al minimo legal, y no calcula.</t>
        </r>
      </text>
    </comment>
    <comment ref="B19" authorId="2" shapeId="0" xr:uid="{00000000-0006-0000-0500-00000C000000}">
      <text>
        <r>
          <rPr>
            <sz val="11"/>
            <color indexed="81"/>
            <rFont val="Tahoma"/>
            <family val="2"/>
          </rPr>
          <t>Si bien el auxilio de transporte no es salario, se entiende incorporado al salario para todos los efectos de liquidacion de prestaciones sociales.  Art 7 ley 1 de 1963</t>
        </r>
      </text>
    </comment>
    <comment ref="C20" authorId="0" shapeId="0" xr:uid="{00000000-0006-0000-0500-00000D000000}">
      <text>
        <r>
          <rPr>
            <sz val="11"/>
            <color indexed="81"/>
            <rFont val="Tahoma"/>
            <family val="2"/>
          </rPr>
          <t>A quien trabaje entre las 10 p.m y las 6 a.m</t>
        </r>
      </text>
    </comment>
    <comment ref="C21" authorId="0" shapeId="0" xr:uid="{00000000-0006-0000-0500-00000E000000}">
      <text>
        <r>
          <rPr>
            <sz val="11"/>
            <color indexed="81"/>
            <rFont val="Tahoma"/>
            <family val="2"/>
          </rPr>
          <t>Ademas del recargo del 75% por trabajar un domingo,si se trabajo en horario nocturno se recarga con el 35%.
Cuando no se toma el descanso compensatorio  habiendo trabajado el dominical se paga una vez mas.</t>
        </r>
      </text>
    </comment>
    <comment ref="B22" authorId="1" shapeId="0" xr:uid="{00000000-0006-0000-0500-00000F000000}">
      <text>
        <r>
          <rPr>
            <sz val="10"/>
            <color indexed="81"/>
            <rFont val="Tahoma"/>
            <family val="2"/>
          </rPr>
          <t>Para que se pueda trabajar horas extras se requiere  autorización del Mintrabajo, salvo por razón de fuerza mayor, caso fortuito, de amenazar u ocurrir al gún accidente o cuando sean indispensabless trabajos de urgencia que deban efectuarse en las maquinas o en la dotación de la empresa</t>
        </r>
        <r>
          <rPr>
            <sz val="11"/>
            <color indexed="81"/>
            <rFont val="Tahoma"/>
            <family val="2"/>
          </rPr>
          <t xml:space="preserve"> Decreto 13 de 1967 Art 1 y 2.</t>
        </r>
        <r>
          <rPr>
            <sz val="10"/>
            <color indexed="81"/>
            <rFont val="Tahoma"/>
            <family val="2"/>
          </rPr>
          <t xml:space="preserve">
</t>
        </r>
      </text>
    </comment>
    <comment ref="C26" authorId="0" shapeId="0" xr:uid="{00000000-0006-0000-0500-000010000000}">
      <text>
        <r>
          <rPr>
            <sz val="12"/>
            <color indexed="81"/>
            <rFont val="Tahoma"/>
            <family val="2"/>
          </rPr>
          <t xml:space="preserve">Se paga un mes de salario al año.
Dentro de salario se tiene en cuenta el salario basico mas recargos y horas extras.
Ley 1 de 1963 Art 7, establece que el auxilio de transporte se tiene en cuenta para liquidar prestaciones sociales
</t>
        </r>
      </text>
    </comment>
    <comment ref="C27" authorId="0" shapeId="0" xr:uid="{00000000-0006-0000-0500-000011000000}">
      <text>
        <r>
          <rPr>
            <sz val="12"/>
            <color indexed="81"/>
            <rFont val="Tahoma"/>
            <family val="2"/>
          </rPr>
          <t>Equivale al uno por ciento de la cesantía por cada mes trabajado.Lo que significa el 12% al año.
Intereses=   salario x No dias trabajados X 0.12
                  -----------------------------------------------
                                         360</t>
        </r>
      </text>
    </comment>
    <comment ref="C28" authorId="0" shapeId="0" xr:uid="{00000000-0006-0000-0500-000012000000}">
      <text>
        <r>
          <rPr>
            <sz val="11"/>
            <color indexed="81"/>
            <rFont val="Tahoma"/>
            <family val="2"/>
          </rPr>
          <t>Equivale a un mes de salario al año+ subsidio de transporte, pagadero asi:
15 dias el ultimo dia de junio
y 15 dias en los primeros 20 dias de diciembre.
El salario comprende el salario basico mas recargos y horas extras.
Se calcula sobre el promedio obtenido en el respectivo semestre o en el período trabajado si este fuere menor</t>
        </r>
      </text>
    </comment>
    <comment ref="C29" authorId="0" shapeId="0" xr:uid="{00000000-0006-0000-0500-000013000000}">
      <text>
        <r>
          <rPr>
            <sz val="11"/>
            <color indexed="81"/>
            <rFont val="Tahoma"/>
            <family val="2"/>
          </rPr>
          <t xml:space="preserve">Se reconocen por cada año de servicios 15 dias hábiles de vacaciones y  la provisión se ha hecho con 15 días.
Sin embargo en la practica por tratarse de dias habiles se convierten en 17 días calendario si desea utilizar los 17 dias debe diividir 17 entre 360  lo que significa un porcentaje del 4.72% el cual multiplica por el salario.
En su calculo NO se incluye por disposicion legal:
1- el auxilio de transporte.
2- Las horas extras 
3-y el valor del trabajo en dias de descanso obligatorio.
</t>
        </r>
      </text>
    </comment>
    <comment ref="B33" authorId="2" shapeId="0" xr:uid="{00000000-0006-0000-0500-000014000000}">
      <text>
        <r>
          <rPr>
            <sz val="11"/>
            <color indexed="81"/>
            <rFont val="Tahoma"/>
            <family val="2"/>
          </rPr>
          <t xml:space="preserve">Protege al trabajador contra contingencias de enfermedad general y maternidad
</t>
        </r>
      </text>
    </comment>
    <comment ref="C33" authorId="0" shapeId="0" xr:uid="{00000000-0006-0000-0500-000015000000}">
      <text>
        <r>
          <rPr>
            <sz val="11"/>
            <color indexed="81"/>
            <rFont val="Tahoma"/>
            <family val="2"/>
          </rPr>
          <t>Este valor equivale al aporte de empleador y trabajador.
El decreto 1406 de 1999 establece la forma de aproximar las cifras asi:
1- El monto del ingreso base de cotizacion correspondiente a cada afiliado se aproxima al multiplo de mil mas cercano.
2. El valor de los aportes liquidados por cada afiliado, al multiplo de cien mas cercano. La fraccion igual o menor a 500 y 50  se deducira
Para el calculo no se suma el auxilio de transporte.</t>
        </r>
      </text>
    </comment>
    <comment ref="D33" authorId="0" shapeId="0" xr:uid="{00000000-0006-0000-0500-000016000000}">
      <text>
        <r>
          <rPr>
            <sz val="11"/>
            <color indexed="81"/>
            <rFont val="Tahoma"/>
            <family val="2"/>
          </rPr>
          <t>El aporte total  se debe discriminar asi:
El empleador:   8,5%
Trabajador:     4.0%
Tope Minimo: 1 SMLMV--      $ 616.000
Tope maximo 25 SMLMV - $15.400.000</t>
        </r>
      </text>
    </comment>
    <comment ref="F33" authorId="1" shapeId="0" xr:uid="{00000000-0006-0000-0500-000017000000}">
      <text>
        <r>
          <rPr>
            <sz val="10"/>
            <color indexed="81"/>
            <rFont val="Tahoma"/>
            <family val="2"/>
          </rPr>
          <t>El empleador esta exonerado de realizar su aporte siempre y cuando reuna dos requisitos
1- Tenga el empleador dos o mas trabajadores
2. El trabajador devengue menos de 10 SMLMV</t>
        </r>
      </text>
    </comment>
    <comment ref="B34" authorId="2" shapeId="0" xr:uid="{00000000-0006-0000-0500-000018000000}">
      <text>
        <r>
          <rPr>
            <sz val="11"/>
            <color indexed="81"/>
            <rFont val="Tahoma"/>
            <family val="2"/>
          </rPr>
          <t>Ampara al trabajador contra contingencias de vejez, invalidez y muerte, mediante el reconocimiento de pensiones y prestaciones.</t>
        </r>
      </text>
    </comment>
    <comment ref="C34" authorId="0" shapeId="0" xr:uid="{00000000-0006-0000-0500-000019000000}">
      <text>
        <r>
          <rPr>
            <sz val="11"/>
            <color indexed="81"/>
            <rFont val="Tahoma"/>
            <family val="2"/>
          </rPr>
          <t>Este valor es la suma del aporte de la empresa y el trabajador
Para el calculo no se  suma el auxilio de transporte</t>
        </r>
      </text>
    </comment>
    <comment ref="D34" authorId="0" shapeId="0" xr:uid="{00000000-0006-0000-0500-00001A000000}">
      <text>
        <r>
          <rPr>
            <sz val="11"/>
            <color indexed="81"/>
            <rFont val="Tahoma"/>
            <family val="2"/>
          </rPr>
          <t>El aporte total  se debe discriminar asi:
El empleador:  12%
Trabajador:     4.0%
Tope Minimo: 1 SMLMV--       $616.000
Tope maximo 25 SMLMV - $15.400.000</t>
        </r>
      </text>
    </comment>
    <comment ref="B35" authorId="2" shapeId="0" xr:uid="{00000000-0006-0000-0500-00001B000000}">
      <text>
        <r>
          <rPr>
            <sz val="11"/>
            <color indexed="81"/>
            <rFont val="Tahoma"/>
            <family val="2"/>
          </rPr>
          <t>Protege al trabajador contra accidentes de trabajo y enfermedades profesionales</t>
        </r>
        <r>
          <rPr>
            <sz val="8"/>
            <color indexed="81"/>
            <rFont val="Tahoma"/>
            <family val="2"/>
          </rPr>
          <t xml:space="preserve">
</t>
        </r>
      </text>
    </comment>
    <comment ref="C35" authorId="0" shapeId="0" xr:uid="{00000000-0006-0000-0500-00001C000000}">
      <text>
        <r>
          <rPr>
            <sz val="11"/>
            <color indexed="81"/>
            <rFont val="Tahoma"/>
            <family val="2"/>
          </rPr>
          <t>Decreto 1772 de 1994, Art 13
Tope Minimo: 1 SMLMV -      $616.000
Tope maximo 25 SMLMV - $15.400.000     
Para el calculo no se suma el auxilio de transporte.
Esta a cargo exclusivo del empleador.</t>
        </r>
      </text>
    </comment>
    <comment ref="B41" authorId="2" shapeId="0" xr:uid="{00000000-0006-0000-0500-00001D000000}">
      <text>
        <r>
          <rPr>
            <b/>
            <sz val="11"/>
            <color indexed="81"/>
            <rFont val="Tahoma"/>
            <family val="2"/>
          </rPr>
          <t xml:space="preserve">Cajas de compensacion Familiar </t>
        </r>
        <r>
          <rPr>
            <sz val="11"/>
            <color indexed="81"/>
            <rFont val="Tahoma"/>
            <family val="2"/>
          </rPr>
          <t xml:space="preserve">:Paga el subsidio Familiar y brinda recreación y bienestar social a los trabajadores.
</t>
        </r>
        <r>
          <rPr>
            <b/>
            <sz val="11"/>
            <color indexed="81"/>
            <rFont val="Tahoma"/>
            <family val="2"/>
          </rPr>
          <t xml:space="preserve">Sena: </t>
        </r>
        <r>
          <rPr>
            <sz val="11"/>
            <color indexed="81"/>
            <rFont val="Tahoma"/>
            <family val="2"/>
          </rPr>
          <t xml:space="preserve">Realiza formacion profesional a los aprendices que deben contratar las empresas.
</t>
        </r>
        <r>
          <rPr>
            <b/>
            <sz val="11"/>
            <color indexed="81"/>
            <rFont val="Tahoma"/>
            <family val="2"/>
          </rPr>
          <t>ICBF</t>
        </r>
        <r>
          <rPr>
            <sz val="11"/>
            <color indexed="81"/>
            <rFont val="Tahoma"/>
            <family val="2"/>
          </rPr>
          <t>: Atiende especialmente la niñez desamparada  pre-escolar menor de 7 años</t>
        </r>
      </text>
    </comment>
    <comment ref="C41" authorId="0" shapeId="0" xr:uid="{00000000-0006-0000-0500-00001E000000}">
      <text>
        <r>
          <rPr>
            <sz val="11"/>
            <color indexed="81"/>
            <rFont val="Tahoma"/>
            <family val="2"/>
          </rPr>
          <t>El auxilio de transporte no se tiene en cuenta para este calculo. Art 17 ley 344/96
El trabajador que devengue en el mes hasta 4 veces el salario minimos ($2.464.000) tiene derecho al pago del subsidio en dinero.</t>
        </r>
      </text>
    </comment>
    <comment ref="D41" authorId="3" shapeId="0" xr:uid="{00000000-0006-0000-0500-00001F000000}">
      <text>
        <r>
          <rPr>
            <sz val="9"/>
            <color indexed="81"/>
            <rFont val="Tahoma"/>
            <family val="2"/>
          </rPr>
          <t>A partir del 1 de julio de 2013 solo se cotizara el 4% de las cajas de compensación según la ley 1607 de 2012, art 25.
Artículo 25°. Exoneración de aportes. A partir del momento en que el Gobierno Nacional implemente el sistema de retenciones en la fuente para el recaudo del impuesto sobre la renta para la equidad -CREE, Y en todo caso antes del 1° de julio de 2013, estarán exoneradas del pago de los aportes parafiscales a favor del Servicio Nacional del Aprendizaje -SENA Y de Instituto Colombiano de Bienestar Familiar -ICBF,</t>
        </r>
        <r>
          <rPr>
            <b/>
            <sz val="9"/>
            <color indexed="81"/>
            <rFont val="Tahoma"/>
            <family val="2"/>
          </rPr>
          <t xml:space="preserve"> las sociedades y personas jurídicas y asimiladas</t>
        </r>
        <r>
          <rPr>
            <sz val="9"/>
            <color indexed="81"/>
            <rFont val="Tahoma"/>
            <family val="2"/>
          </rPr>
          <t xml:space="preserve"> contribuyentes declarantes del impuesto sobre la renta y complementarios, correspondientes a los trabajadores que devenguen, individualmente considerados, hasta diez (10) salarios mínimos mensuales legales vigentes.
 Así mismo las </t>
        </r>
        <r>
          <rPr>
            <b/>
            <sz val="9"/>
            <color indexed="81"/>
            <rFont val="Tahoma"/>
            <family val="2"/>
          </rPr>
          <t>personas naturales empleadoras</t>
        </r>
        <r>
          <rPr>
            <sz val="9"/>
            <color indexed="81"/>
            <rFont val="Tahoma"/>
            <family val="2"/>
          </rPr>
          <t xml:space="preserve"> estarán exoneradas de la obligación de pago de los aportes parafiscales al SENA, al ICBF y al Sistema de Seguridad Social en Salud por los empleados que devenguen menos de diez (10) salarios mínimos legales mensuales vigentes. Lo anterior no aplicará para personas naturales que empleen menos de dos trabajadores, los cuales seguirán obligados a efectuar los aportes de que trata este inciso
</t>
        </r>
      </text>
    </comment>
    <comment ref="C46" authorId="0" shapeId="0" xr:uid="{00000000-0006-0000-0500-000020000000}">
      <text>
        <r>
          <rPr>
            <sz val="11"/>
            <color indexed="81"/>
            <rFont val="Tahoma"/>
            <family val="2"/>
          </rPr>
          <t>Fecha de entrega
30 abril 
31 de agosto
20 de diciembre
Es obligacion entregarla solo a partir del tercer mes de vinculación laboral</t>
        </r>
      </text>
    </comment>
    <comment ref="F58" authorId="0" shapeId="0" xr:uid="{00000000-0006-0000-0500-000021000000}">
      <text>
        <r>
          <rPr>
            <sz val="11"/>
            <color indexed="81"/>
            <rFont val="Tahoma"/>
            <family val="2"/>
          </rPr>
          <t>Aquí se puede colocar el numero de horas por recargos y horas extras que se van a dar todos los meses, para calcular el costo mes.</t>
        </r>
      </text>
    </comment>
    <comment ref="E60" authorId="0" shapeId="0" xr:uid="{00000000-0006-0000-0500-000022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1" authorId="0" shapeId="0" xr:uid="{00000000-0006-0000-0500-000023000000}">
      <text>
        <r>
          <rPr>
            <sz val="12"/>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C62" authorId="0" shapeId="0" xr:uid="{00000000-0006-0000-0500-000024000000}">
      <text>
        <r>
          <rPr>
            <sz val="11"/>
            <color indexed="81"/>
            <rFont val="Tahoma"/>
            <family val="2"/>
          </rPr>
          <t>Por trabajar el domingo el trabajador tiene derecho a un descanso compensatorio, pero sino lo toma tiene derecho a que se le pague en dinero un dia, ademas del recargo del 75% por haber trabajado el domingo.</t>
        </r>
      </text>
    </comment>
    <comment ref="E62" authorId="0" shapeId="0" xr:uid="{00000000-0006-0000-0500-000025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3" authorId="0" shapeId="0" xr:uid="{00000000-0006-0000-0500-000026000000}">
      <text>
        <r>
          <rPr>
            <sz val="11"/>
            <color indexed="81"/>
            <rFont val="Tahoma"/>
            <family val="2"/>
          </rPr>
          <t>Este es el valor adicional que se paga a la hora basica la cual ya esta incluida en el  salario basico.
Para tener el costo total de esa hora sume el recargo mas el valor de la hora basica</t>
        </r>
        <r>
          <rPr>
            <b/>
            <sz val="8"/>
            <color indexed="81"/>
            <rFont val="Tahoma"/>
            <family val="2"/>
          </rPr>
          <t xml:space="preserve">
</t>
        </r>
      </text>
    </comment>
    <comment ref="E73" authorId="0" shapeId="0" xr:uid="{00000000-0006-0000-0500-000027000000}">
      <text>
        <r>
          <rPr>
            <sz val="11"/>
            <color indexed="81"/>
            <rFont val="Tahoma"/>
            <family val="2"/>
          </rPr>
          <t>Trabajador:     4.0%
Base Tope Minimo: 1 SMLMV--       $616.000
Base Tope maximo 25 SMLMV - $ 15.400.000</t>
        </r>
      </text>
    </comment>
    <comment ref="E74" authorId="0" shapeId="0" xr:uid="{00000000-0006-0000-0500-000028000000}">
      <text>
        <r>
          <rPr>
            <sz val="11"/>
            <color indexed="81"/>
            <rFont val="Tahoma"/>
            <family val="2"/>
          </rPr>
          <t>Trabajador:     4.0%
Tope Minimo: 1 SMLMV--       $ 616.000
Tope maximo 25 SMLMV - $ 15.400.000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Servicios</author>
    <author>Familia Duque</author>
    <author>ADMON</author>
  </authors>
  <commentList>
    <comment ref="C5" authorId="0" shapeId="0" xr:uid="{00000000-0006-0000-0600-000001000000}">
      <text>
        <r>
          <rPr>
            <sz val="11"/>
            <color indexed="81"/>
            <rFont val="Tahoma"/>
            <family val="2"/>
          </rPr>
          <t>Decreto 2738 de 2012</t>
        </r>
      </text>
    </comment>
    <comment ref="C6" authorId="0" shapeId="0" xr:uid="{00000000-0006-0000-0600-000002000000}">
      <text>
        <r>
          <rPr>
            <sz val="11"/>
            <color indexed="81"/>
            <rFont val="Tahoma"/>
            <family val="2"/>
          </rPr>
          <t xml:space="preserve">Decreto 2739 de 2012
                    </t>
        </r>
      </text>
    </comment>
    <comment ref="C10" authorId="0" shapeId="0" xr:uid="{00000000-0006-0000-0600-000003000000}">
      <text>
        <r>
          <rPr>
            <sz val="11"/>
            <color indexed="81"/>
            <rFont val="Tahoma"/>
            <family val="2"/>
          </rPr>
          <t>Este calculo solo aplica para contratos  que no son de salario integral</t>
        </r>
      </text>
    </comment>
    <comment ref="C11" authorId="0" shapeId="0" xr:uid="{00000000-0006-0000-0600-000004000000}">
      <text>
        <r>
          <rPr>
            <sz val="12"/>
            <color indexed="81"/>
            <rFont val="Tahoma"/>
            <family val="2"/>
          </rPr>
          <t xml:space="preserve">RIESGO         %
Minimo   Riesgo I        </t>
        </r>
        <r>
          <rPr>
            <b/>
            <sz val="12"/>
            <color indexed="81"/>
            <rFont val="Tahoma"/>
            <family val="2"/>
          </rPr>
          <t>0,522%</t>
        </r>
        <r>
          <rPr>
            <sz val="12"/>
            <color indexed="81"/>
            <rFont val="Tahoma"/>
            <family val="2"/>
          </rPr>
          <t xml:space="preserve">
Bajo       Riesgo II       </t>
        </r>
        <r>
          <rPr>
            <b/>
            <sz val="12"/>
            <color indexed="81"/>
            <rFont val="Tahoma"/>
            <family val="2"/>
          </rPr>
          <t>1.044%</t>
        </r>
        <r>
          <rPr>
            <sz val="12"/>
            <color indexed="81"/>
            <rFont val="Tahoma"/>
            <family val="2"/>
          </rPr>
          <t xml:space="preserve">
Medio     Riesgo III      </t>
        </r>
        <r>
          <rPr>
            <b/>
            <sz val="12"/>
            <color indexed="81"/>
            <rFont val="Tahoma"/>
            <family val="2"/>
          </rPr>
          <t>2,436%</t>
        </r>
        <r>
          <rPr>
            <sz val="12"/>
            <color indexed="81"/>
            <rFont val="Tahoma"/>
            <family val="2"/>
          </rPr>
          <t xml:space="preserve">
Alto        Riesgo IV      </t>
        </r>
        <r>
          <rPr>
            <b/>
            <sz val="12"/>
            <color indexed="81"/>
            <rFont val="Tahoma"/>
            <family val="2"/>
          </rPr>
          <t>4,350%</t>
        </r>
        <r>
          <rPr>
            <sz val="12"/>
            <color indexed="81"/>
            <rFont val="Tahoma"/>
            <family val="2"/>
          </rPr>
          <t xml:space="preserve">
Maximo    Riesgo V      </t>
        </r>
        <r>
          <rPr>
            <b/>
            <sz val="12"/>
            <color indexed="81"/>
            <rFont val="Tahoma"/>
            <family val="2"/>
          </rPr>
          <t>6,960%</t>
        </r>
        <r>
          <rPr>
            <sz val="12"/>
            <color indexed="81"/>
            <rFont val="Tahoma"/>
            <family val="2"/>
          </rPr>
          <t xml:space="preserve">
Colocar el % segun el riesgo que corresponda.
</t>
        </r>
      </text>
    </comment>
    <comment ref="C12" authorId="0" shapeId="0" xr:uid="{00000000-0006-0000-0600-000005000000}">
      <text>
        <r>
          <rPr>
            <sz val="11"/>
            <color indexed="81"/>
            <rFont val="Tahoma"/>
            <family val="2"/>
          </rPr>
          <t>NOTA: Solo colocar si el salario es hasta $1.179.000
Solo es obligacion de entregar dotación a quienes devenguen hasta 2 salarios minimos legales mensuales.Ley 11 de 1984 art 7          
Una dotacion esta compuesta por:
Un par de zapatos            $
y un vestido de labor        $       
Coloque la suma de los dos valores.
En promedio la suma de los dos puede costar $ 109.000, obviamente puede ser mayor o menor dependiendo de la calidad de la dotación.</t>
        </r>
      </text>
    </comment>
    <comment ref="C18" authorId="0" shapeId="0" xr:uid="{00000000-0006-0000-0600-000006000000}">
      <text>
        <r>
          <rPr>
            <sz val="11"/>
            <color indexed="81"/>
            <rFont val="Tahoma"/>
            <family val="2"/>
          </rPr>
          <t>No puede ser inferior al minimo legal, o sea $ 589.500</t>
        </r>
      </text>
    </comment>
    <comment ref="E18" authorId="0" shapeId="0" xr:uid="{00000000-0006-0000-0600-000007000000}">
      <text>
        <r>
          <rPr>
            <sz val="11"/>
            <color indexed="81"/>
            <rFont val="Tahoma"/>
            <family val="2"/>
          </rPr>
          <t>Si sale la palabra FALSO es porque esta colocando un valor inferior al minimo legal, y no calcula.</t>
        </r>
      </text>
    </comment>
    <comment ref="B19" authorId="1" shapeId="0" xr:uid="{00000000-0006-0000-0600-000008000000}">
      <text>
        <r>
          <rPr>
            <sz val="11"/>
            <color indexed="81"/>
            <rFont val="Tahoma"/>
            <family val="2"/>
          </rPr>
          <t>Si bien el auxilio de transporte no es salario, se entiende incorporado al salario para todos los efectos de liquidacion de prestaciones sociales.  Art 7 ley 1 de 1963</t>
        </r>
      </text>
    </comment>
    <comment ref="C20" authorId="0" shapeId="0" xr:uid="{00000000-0006-0000-0600-000009000000}">
      <text>
        <r>
          <rPr>
            <sz val="11"/>
            <color indexed="81"/>
            <rFont val="Tahoma"/>
            <family val="2"/>
          </rPr>
          <t>A quien trabaje entre las 10 p.m y las 6 a.m</t>
        </r>
      </text>
    </comment>
    <comment ref="C21" authorId="0" shapeId="0" xr:uid="{00000000-0006-0000-0600-00000A000000}">
      <text>
        <r>
          <rPr>
            <sz val="11"/>
            <color indexed="81"/>
            <rFont val="Tahoma"/>
            <family val="2"/>
          </rPr>
          <t>Ademas del recargo del 75% por trabajar un domingo,si se trabajo nocturno se recarga con el 35%.
Si no se toma el descanso compensatorio  por haber trabajado el dominical se paga una vez mas.</t>
        </r>
      </text>
    </comment>
    <comment ref="C26" authorId="0" shapeId="0" xr:uid="{00000000-0006-0000-0600-00000B000000}">
      <text>
        <r>
          <rPr>
            <sz val="12"/>
            <color indexed="81"/>
            <rFont val="Tahoma"/>
            <family val="2"/>
          </rPr>
          <t xml:space="preserve">Se paga un mes de salario al año.
Dentro de salario se tiene en cuenta el salario basico mas recargos y horas extras.
Ley 1 de 1963 Art 7, establece que el auxilio de transporte se tiene en cuenta para liquidar prestaciones sociales
</t>
        </r>
      </text>
    </comment>
    <comment ref="C27" authorId="0" shapeId="0" xr:uid="{00000000-0006-0000-0600-00000C000000}">
      <text>
        <r>
          <rPr>
            <sz val="12"/>
            <color indexed="81"/>
            <rFont val="Tahoma"/>
            <family val="2"/>
          </rPr>
          <t>Equivale al uno por ciento de la cesantía por cada mes trabajado.Lo que significa el 12% al año.
Intereses=   salario x No dias trabajados X 0.12
                  -----------------------------------------------
                                         360</t>
        </r>
      </text>
    </comment>
    <comment ref="C28" authorId="0" shapeId="0" xr:uid="{00000000-0006-0000-0600-00000D000000}">
      <text>
        <r>
          <rPr>
            <sz val="11"/>
            <color indexed="81"/>
            <rFont val="Tahoma"/>
            <family val="2"/>
          </rPr>
          <t>Equivale a un mes de salario al año+ subsidio de transporte, pagadero asi:
15 dias el ultimo dia de junio
y 15 dias en los primeros 20 dias de diciembre.
El salario comprende el salario basico mas recargos y horas extras.
Se calcula sobre el promedio obtenido en el respectivo semestre o en el período trabajado si este fuere menor</t>
        </r>
      </text>
    </comment>
    <comment ref="C29" authorId="0" shapeId="0" xr:uid="{00000000-0006-0000-0600-00000E000000}">
      <text>
        <r>
          <rPr>
            <sz val="11"/>
            <color indexed="81"/>
            <rFont val="Tahoma"/>
            <family val="2"/>
          </rPr>
          <t xml:space="preserve">Se reconocen por cada año de servicios 15 dias hábiles de vacaciones y  la provisión se ha hecho con 15 días.
Sin embargo en la practica por tratarse de dias habiles se convierten en 17 días calendario si desea utilizar los 17 dias debe diividir 17 entre 360  lo que significa un porcentaje del 4.72% el cual multiplica por el salario.
En su calculo NO se incluye por disposicion legal:
1- el auxilio de transporte.
2- Las horas extras 
3-y el valor del trabajo en dias de descanso obligatorio.
</t>
        </r>
      </text>
    </comment>
    <comment ref="B33" authorId="1" shapeId="0" xr:uid="{00000000-0006-0000-0600-00000F000000}">
      <text>
        <r>
          <rPr>
            <sz val="11"/>
            <color indexed="81"/>
            <rFont val="Tahoma"/>
            <family val="2"/>
          </rPr>
          <t xml:space="preserve">Protege al trabajador contra contingencias de enfermedad general y maternidad
</t>
        </r>
      </text>
    </comment>
    <comment ref="C33" authorId="0" shapeId="0" xr:uid="{00000000-0006-0000-0600-000010000000}">
      <text>
        <r>
          <rPr>
            <sz val="11"/>
            <color indexed="81"/>
            <rFont val="Tahoma"/>
            <family val="2"/>
          </rPr>
          <t>Este valor equivale al aporte de empleador y trabajador.
El decreto 1406 de 1999 establece la forma de aproximar las cifras asi:
1- El monto del ingreso base de cotizacion correspondiente a cada afiliado se aproxima al multiplo de mil mas cercano.
2. El valor de los aportes liquidados por cada afiliado, al multiplo de cien mas cercano. La fraccion igual o menor a 500 y 50  se deducira
Para el calculo no se suma el auxilio de transporte.</t>
        </r>
      </text>
    </comment>
    <comment ref="D33" authorId="0" shapeId="0" xr:uid="{00000000-0006-0000-0600-000011000000}">
      <text>
        <r>
          <rPr>
            <sz val="11"/>
            <color indexed="81"/>
            <rFont val="Tahoma"/>
            <family val="2"/>
          </rPr>
          <t>El aporte total  se debe discriminar asi:
El empleador:   8,5%
Trabajador:     4.0%
Tope Minimo: 1 SMLMV--      $ 589.500
Tope maximo 25 SMLMV - $14.737.500</t>
        </r>
      </text>
    </comment>
    <comment ref="B34" authorId="1" shapeId="0" xr:uid="{00000000-0006-0000-0600-000012000000}">
      <text>
        <r>
          <rPr>
            <sz val="11"/>
            <color indexed="81"/>
            <rFont val="Tahoma"/>
            <family val="2"/>
          </rPr>
          <t>Ampara al trabajador contra contingencias de vejez, invalidez y muerte, mediante el reconocimiento de pensiones y prestaciones.</t>
        </r>
      </text>
    </comment>
    <comment ref="C34" authorId="0" shapeId="0" xr:uid="{00000000-0006-0000-0600-000013000000}">
      <text>
        <r>
          <rPr>
            <sz val="11"/>
            <color indexed="81"/>
            <rFont val="Tahoma"/>
            <family val="2"/>
          </rPr>
          <t>Este valor es la suma del aporte de la empresa y el trabajador
Para el calculo no se  suma el auxilio de transporte</t>
        </r>
      </text>
    </comment>
    <comment ref="D34" authorId="0" shapeId="0" xr:uid="{00000000-0006-0000-0600-000014000000}">
      <text>
        <r>
          <rPr>
            <sz val="11"/>
            <color indexed="81"/>
            <rFont val="Tahoma"/>
            <family val="2"/>
          </rPr>
          <t>El aporte total  se debe discriminar asi:
El empleador:  12%
Trabajador:     4.0%
Tope Minimo: 1 SMLMV--       $589.500
Tope maximo 25 SMLMV - $14.737.500</t>
        </r>
      </text>
    </comment>
    <comment ref="B35" authorId="1" shapeId="0" xr:uid="{00000000-0006-0000-0600-000015000000}">
      <text>
        <r>
          <rPr>
            <sz val="11"/>
            <color indexed="81"/>
            <rFont val="Tahoma"/>
            <family val="2"/>
          </rPr>
          <t>Protege al trabajador contra accidentes de trabajo y enfermedades profesionales</t>
        </r>
        <r>
          <rPr>
            <sz val="8"/>
            <color indexed="81"/>
            <rFont val="Tahoma"/>
            <family val="2"/>
          </rPr>
          <t xml:space="preserve">
</t>
        </r>
      </text>
    </comment>
    <comment ref="C35" authorId="0" shapeId="0" xr:uid="{00000000-0006-0000-0600-000016000000}">
      <text>
        <r>
          <rPr>
            <sz val="11"/>
            <color indexed="81"/>
            <rFont val="Tahoma"/>
            <family val="2"/>
          </rPr>
          <t>Decreto 1772 de 1994, Art 13
Tope Minimo: 1 SMLMV -      $ 589.500
Tope maximo 25 SMLMV - $14.737.500-     
Para el calculo no se suma el auxilio de transporte.
Esta a cargo exclusivo del empleador.</t>
        </r>
      </text>
    </comment>
    <comment ref="B41" authorId="1" shapeId="0" xr:uid="{00000000-0006-0000-0600-000017000000}">
      <text>
        <r>
          <rPr>
            <b/>
            <sz val="11"/>
            <color indexed="81"/>
            <rFont val="Tahoma"/>
            <family val="2"/>
          </rPr>
          <t xml:space="preserve">Cajas de compensacion Familiar </t>
        </r>
        <r>
          <rPr>
            <sz val="11"/>
            <color indexed="81"/>
            <rFont val="Tahoma"/>
            <family val="2"/>
          </rPr>
          <t xml:space="preserve">:Paga el subsidio Familiar y brinda recreación y bienestar social a los trabajadores.
</t>
        </r>
        <r>
          <rPr>
            <b/>
            <sz val="11"/>
            <color indexed="81"/>
            <rFont val="Tahoma"/>
            <family val="2"/>
          </rPr>
          <t xml:space="preserve">Sena: </t>
        </r>
        <r>
          <rPr>
            <sz val="11"/>
            <color indexed="81"/>
            <rFont val="Tahoma"/>
            <family val="2"/>
          </rPr>
          <t xml:space="preserve">Realiza formacion profesional a los aprendices que deben contratar las empresas.
</t>
        </r>
        <r>
          <rPr>
            <b/>
            <sz val="11"/>
            <color indexed="81"/>
            <rFont val="Tahoma"/>
            <family val="2"/>
          </rPr>
          <t>ICBF</t>
        </r>
        <r>
          <rPr>
            <sz val="11"/>
            <color indexed="81"/>
            <rFont val="Tahoma"/>
            <family val="2"/>
          </rPr>
          <t>: Atiende especialmente la niñez desamparada  pre-escolar menor de 7 años</t>
        </r>
      </text>
    </comment>
    <comment ref="C41" authorId="0" shapeId="0" xr:uid="{00000000-0006-0000-0600-000018000000}">
      <text>
        <r>
          <rPr>
            <sz val="11"/>
            <color indexed="81"/>
            <rFont val="Tahoma"/>
            <family val="2"/>
          </rPr>
          <t>El auxilio de transporte no se tiene en cuenta para este calculo. Art 17 ley 344/96
El trabajador que devengue en el mes hasta 4 veces el salario minimos ($2.358.000) tiene derecho al pago del subsidio en dinero.</t>
        </r>
      </text>
    </comment>
    <comment ref="D41" authorId="2" shapeId="0" xr:uid="{00000000-0006-0000-0600-000019000000}">
      <text>
        <r>
          <rPr>
            <sz val="9"/>
            <color indexed="81"/>
            <rFont val="Tahoma"/>
            <family val="2"/>
          </rPr>
          <t>A partir del 1 de julio de 2013 solo se cotizara el 4% de las cajas de compensación según la ley 1607 de 2012, art 25.
Artículo 25°. Exoneración de aportes. A partir del momento en que el Gobierno Nacional implemente el sistema de retenciones en la fuente para el recaudo del impuesto sobre la renta para la equidad -CREE, Y en todo caso antes del 1° de julio de 2013, estarán exoneradas del pago de los aportes parafiscales a favor del Servicio Nacional del Aprendizaje -SENA Y de Instituto Colombiano de Bienestar Familiar -ICBF,</t>
        </r>
        <r>
          <rPr>
            <b/>
            <sz val="9"/>
            <color indexed="81"/>
            <rFont val="Tahoma"/>
            <family val="2"/>
          </rPr>
          <t xml:space="preserve"> las sociedades y personas jurídicas y asimiladas</t>
        </r>
        <r>
          <rPr>
            <sz val="9"/>
            <color indexed="81"/>
            <rFont val="Tahoma"/>
            <family val="2"/>
          </rPr>
          <t xml:space="preserve"> contribuyentes declarantes del impuesto sobre la renta y complementarios, correspondientes a los trabajadores que devenguen, individualmente considerados, hasta diez (10) salarios mínimos mensuales legales vigentes.
 Así mismo las </t>
        </r>
        <r>
          <rPr>
            <b/>
            <sz val="9"/>
            <color indexed="81"/>
            <rFont val="Tahoma"/>
            <family val="2"/>
          </rPr>
          <t>personas naturales empleadoras</t>
        </r>
        <r>
          <rPr>
            <sz val="9"/>
            <color indexed="81"/>
            <rFont val="Tahoma"/>
            <family val="2"/>
          </rPr>
          <t xml:space="preserve"> estarán exoneradas de la obligación de pago de los aportes parafiscales al SENA, al ICBF y al Sistema de Seguridad Social en Salud por los empleados que devenguen menos de diez (10) salarios mínimos legales mensuales vigentes. Lo anterior no aplicará para personas naturales que empleen menos de dos trabajadores, los cuales seguirán obligados a efectuar los aportes de que trata este inciso
</t>
        </r>
      </text>
    </comment>
    <comment ref="C46" authorId="0" shapeId="0" xr:uid="{00000000-0006-0000-0600-00001A000000}">
      <text>
        <r>
          <rPr>
            <sz val="11"/>
            <color indexed="81"/>
            <rFont val="Tahoma"/>
            <family val="2"/>
          </rPr>
          <t>Fecha de entrega
30 abril 
31 de agosto
20 de diciembre
Es obligacion entregarla solo a partir del tercer mes de vinculación laboral</t>
        </r>
      </text>
    </comment>
    <comment ref="F58" authorId="0" shapeId="0" xr:uid="{00000000-0006-0000-0600-00001B000000}">
      <text>
        <r>
          <rPr>
            <sz val="11"/>
            <color indexed="81"/>
            <rFont val="Tahoma"/>
            <family val="2"/>
          </rPr>
          <t>Aquí se puede colocar el numero de horas por recargos y horas extras que se van a dar todos los meses, para calcular el costo mes.</t>
        </r>
      </text>
    </comment>
    <comment ref="E60" authorId="0" shapeId="0" xr:uid="{00000000-0006-0000-0600-00001C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1" authorId="0" shapeId="0" xr:uid="{00000000-0006-0000-0600-00001D000000}">
      <text>
        <r>
          <rPr>
            <sz val="12"/>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C62" authorId="0" shapeId="0" xr:uid="{00000000-0006-0000-0600-00001E000000}">
      <text>
        <r>
          <rPr>
            <sz val="11"/>
            <color indexed="81"/>
            <rFont val="Tahoma"/>
            <family val="2"/>
          </rPr>
          <t>Por trabajar el domingo el trabajador tiene derecho a un descanso compensatorio, pero sino lo toma tiene derecho a que se le pague en dinero un dia, ademas del recargo del 75% por haber trabajado el domingo.</t>
        </r>
      </text>
    </comment>
    <comment ref="E62" authorId="0" shapeId="0" xr:uid="{00000000-0006-0000-0600-00001F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3" authorId="0" shapeId="0" xr:uid="{00000000-0006-0000-0600-000020000000}">
      <text>
        <r>
          <rPr>
            <sz val="11"/>
            <color indexed="81"/>
            <rFont val="Tahoma"/>
            <family val="2"/>
          </rPr>
          <t>Este es el valor adicional que se paga a la hora basica la cual ya esta incluida en el  salario basico.
Para tener el costo total de esa hora sume el recargo mas el valor de la hora basica</t>
        </r>
        <r>
          <rPr>
            <b/>
            <sz val="8"/>
            <color indexed="81"/>
            <rFont val="Tahoma"/>
            <family val="2"/>
          </rPr>
          <t xml:space="preserve">
</t>
        </r>
      </text>
    </comment>
    <comment ref="E73" authorId="0" shapeId="0" xr:uid="{00000000-0006-0000-0600-000021000000}">
      <text>
        <r>
          <rPr>
            <sz val="11"/>
            <color indexed="81"/>
            <rFont val="Tahoma"/>
            <family val="2"/>
          </rPr>
          <t>El aporte total  se debe discriminar asi:
El empleador:  8,5%
Trabajador:     4.0%
Tope Minimo: 1 SMLMV--       $ 589.500
Tope maximo 25 SMLMV - $ 14.737.500</t>
        </r>
      </text>
    </comment>
    <comment ref="E74" authorId="0" shapeId="0" xr:uid="{00000000-0006-0000-0600-000022000000}">
      <text>
        <r>
          <rPr>
            <sz val="11"/>
            <color indexed="81"/>
            <rFont val="Tahoma"/>
            <family val="2"/>
          </rPr>
          <t>El aporte total  se debe discriminar asi:
El empleador:  8,5%
Trabajador:     4.0%
Tope Minimo: 1 SMLMV--       $ 589.500
Tope maximo 25 SMLMV - $ 14.737.500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Servicios</author>
    <author>Familia Duque</author>
  </authors>
  <commentList>
    <comment ref="C5" authorId="0" shapeId="0" xr:uid="{00000000-0006-0000-0700-000001000000}">
      <text>
        <r>
          <rPr>
            <sz val="11"/>
            <color indexed="81"/>
            <rFont val="Tahoma"/>
            <family val="2"/>
          </rPr>
          <t xml:space="preserve">Decreto </t>
        </r>
      </text>
    </comment>
    <comment ref="C6" authorId="0" shapeId="0" xr:uid="{00000000-0006-0000-0700-000002000000}">
      <text>
        <r>
          <rPr>
            <sz val="11"/>
            <color indexed="81"/>
            <rFont val="Tahoma"/>
            <family val="2"/>
          </rPr>
          <t xml:space="preserve">Decreto 
                    </t>
        </r>
      </text>
    </comment>
    <comment ref="C10" authorId="0" shapeId="0" xr:uid="{00000000-0006-0000-0700-000003000000}">
      <text>
        <r>
          <rPr>
            <sz val="11"/>
            <color indexed="81"/>
            <rFont val="Tahoma"/>
            <family val="2"/>
          </rPr>
          <t>Este calculo solo aplica para contratos  que no son de salario integral</t>
        </r>
      </text>
    </comment>
    <comment ref="C11" authorId="0" shapeId="0" xr:uid="{00000000-0006-0000-0700-000004000000}">
      <text>
        <r>
          <rPr>
            <sz val="12"/>
            <color indexed="81"/>
            <rFont val="Tahoma"/>
            <family val="2"/>
          </rPr>
          <t xml:space="preserve">RIESGO         %
Minimo   Riesgo I        </t>
        </r>
        <r>
          <rPr>
            <b/>
            <sz val="12"/>
            <color indexed="81"/>
            <rFont val="Tahoma"/>
            <family val="2"/>
          </rPr>
          <t>0,522%</t>
        </r>
        <r>
          <rPr>
            <sz val="12"/>
            <color indexed="81"/>
            <rFont val="Tahoma"/>
            <family val="2"/>
          </rPr>
          <t xml:space="preserve">
Bajo       Riesgo II      </t>
        </r>
        <r>
          <rPr>
            <b/>
            <sz val="12"/>
            <color indexed="81"/>
            <rFont val="Tahoma"/>
            <family val="2"/>
          </rPr>
          <t>1.044%</t>
        </r>
        <r>
          <rPr>
            <sz val="12"/>
            <color indexed="81"/>
            <rFont val="Tahoma"/>
            <family val="2"/>
          </rPr>
          <t xml:space="preserve">
Medio     Riesgo III     </t>
        </r>
        <r>
          <rPr>
            <b/>
            <sz val="12"/>
            <color indexed="81"/>
            <rFont val="Tahoma"/>
            <family val="2"/>
          </rPr>
          <t>2,436%</t>
        </r>
        <r>
          <rPr>
            <sz val="12"/>
            <color indexed="81"/>
            <rFont val="Tahoma"/>
            <family val="2"/>
          </rPr>
          <t xml:space="preserve">
Alto        Riesgo IV    </t>
        </r>
        <r>
          <rPr>
            <b/>
            <sz val="12"/>
            <color indexed="81"/>
            <rFont val="Tahoma"/>
            <family val="2"/>
          </rPr>
          <t>4,350%</t>
        </r>
        <r>
          <rPr>
            <sz val="12"/>
            <color indexed="81"/>
            <rFont val="Tahoma"/>
            <family val="2"/>
          </rPr>
          <t xml:space="preserve">
Maximo    Riesgo V     </t>
        </r>
        <r>
          <rPr>
            <b/>
            <sz val="12"/>
            <color indexed="81"/>
            <rFont val="Tahoma"/>
            <family val="2"/>
          </rPr>
          <t>6,960%</t>
        </r>
        <r>
          <rPr>
            <sz val="12"/>
            <color indexed="81"/>
            <rFont val="Tahoma"/>
            <family val="2"/>
          </rPr>
          <t xml:space="preserve">
Colocar el % segun el riesgo que corresponda.
</t>
        </r>
      </text>
    </comment>
    <comment ref="C12" authorId="0" shapeId="0" xr:uid="{00000000-0006-0000-0700-000005000000}">
      <text>
        <r>
          <rPr>
            <sz val="11"/>
            <color indexed="81"/>
            <rFont val="Tahoma"/>
            <family val="2"/>
          </rPr>
          <t>NOTA: Solo colocar si el salario es hasta $1.133.400
Solo es obligacion de entregar dotación a quienes devenguen hasta 2 salarios minimos legales mensuales.Ley 11 de 1984 art 7          
Una dotacion esta compuesta por:
Un par de zapatos            $
y un vestido de labor        $       
Coloque la suma de los dos valores.
En promedio la suma de los dos puede costar $ 95.000, obviamente puede ser mayor o menor dependiendo de la calidad de la dotación.</t>
        </r>
      </text>
    </comment>
    <comment ref="C18" authorId="0" shapeId="0" xr:uid="{00000000-0006-0000-0700-000006000000}">
      <text>
        <r>
          <rPr>
            <sz val="11"/>
            <color indexed="81"/>
            <rFont val="Tahoma"/>
            <family val="2"/>
          </rPr>
          <t>No puede ser inferior al minimo legal, o sea $ 566.700</t>
        </r>
      </text>
    </comment>
    <comment ref="E18" authorId="0" shapeId="0" xr:uid="{00000000-0006-0000-0700-000007000000}">
      <text>
        <r>
          <rPr>
            <sz val="11"/>
            <color indexed="81"/>
            <rFont val="Tahoma"/>
            <family val="2"/>
          </rPr>
          <t>Si sale la palabra FALSO es porque esta colocando un valor inferior al minimo legal, y no calcula.</t>
        </r>
      </text>
    </comment>
    <comment ref="B19" authorId="1" shapeId="0" xr:uid="{00000000-0006-0000-0700-000008000000}">
      <text>
        <r>
          <rPr>
            <sz val="11"/>
            <color indexed="81"/>
            <rFont val="Tahoma"/>
            <family val="2"/>
          </rPr>
          <t>Si bien el auxilio de transporte no es salario, se entiende incorporado al salario para todos los efectos de liquidacion de prestaciones sociales.  Art 7 ley 1 de 1963</t>
        </r>
      </text>
    </comment>
    <comment ref="C20" authorId="0" shapeId="0" xr:uid="{00000000-0006-0000-0700-000009000000}">
      <text>
        <r>
          <rPr>
            <sz val="11"/>
            <color indexed="81"/>
            <rFont val="Tahoma"/>
            <family val="2"/>
          </rPr>
          <t>A quien trabaje entre las 10 p.m y las 6 a.m</t>
        </r>
      </text>
    </comment>
    <comment ref="C21" authorId="0" shapeId="0" xr:uid="{00000000-0006-0000-0700-00000A000000}">
      <text>
        <r>
          <rPr>
            <sz val="11"/>
            <color indexed="81"/>
            <rFont val="Tahoma"/>
            <family val="2"/>
          </rPr>
          <t>Ademas del recargo del 75% por trabajar un domingo,si se trabajo nocturno se recarga con el 35%.
Si no se toma el descanso compensatorio  por haber trabajado el dominical se paga una vez mas.</t>
        </r>
      </text>
    </comment>
    <comment ref="C26" authorId="0" shapeId="0" xr:uid="{00000000-0006-0000-0700-00000B000000}">
      <text>
        <r>
          <rPr>
            <sz val="12"/>
            <color indexed="81"/>
            <rFont val="Tahoma"/>
            <family val="2"/>
          </rPr>
          <t xml:space="preserve">Se paga un mes de salario al año.
Dentro de salario se tiene en cuenta el salario basico mas recargos y horas extras.
Ley 1 de 1963 Art 7, establece que el auxilio de transporte se tiene en cuenta para liquidar prestaciones sociales
</t>
        </r>
      </text>
    </comment>
    <comment ref="C27" authorId="0" shapeId="0" xr:uid="{00000000-0006-0000-0700-00000C000000}">
      <text>
        <r>
          <rPr>
            <sz val="12"/>
            <color indexed="81"/>
            <rFont val="Tahoma"/>
            <family val="2"/>
          </rPr>
          <t>Equivale al uno por ciento de la cesantía por cada mes trabajado.Lo que significa el 12% al año.
Intereses=   salario x No dias trabajados X 0.12
                  -----------------------------------------------
                                         360</t>
        </r>
      </text>
    </comment>
    <comment ref="C28" authorId="0" shapeId="0" xr:uid="{00000000-0006-0000-0700-00000D000000}">
      <text>
        <r>
          <rPr>
            <sz val="11"/>
            <color indexed="81"/>
            <rFont val="Tahoma"/>
            <family val="2"/>
          </rPr>
          <t>Equivale a un mes de salario al año+ subsidio de transporte, pagadero asi:
15 dias el ultimo dia de junio
y 15 dias en los primeros 20 dias de diciembre.
El salario comprende el salario basico mas recargos y horas extras.
Se calcula sobre el promedio obtenido en el respectivo semestre o en el período trabajado si este fuere menor</t>
        </r>
      </text>
    </comment>
    <comment ref="C29" authorId="0" shapeId="0" xr:uid="{00000000-0006-0000-0700-00000E000000}">
      <text>
        <r>
          <rPr>
            <sz val="11"/>
            <color indexed="81"/>
            <rFont val="Tahoma"/>
            <family val="2"/>
          </rPr>
          <t xml:space="preserve">Se reconocen por cada año de servicios 15 dias hábiles de vacaciones y  la provisión se ha hecho con 15 días.
Sin embargo en la practica por tratarse de dias habiles se convierten en 17 días calendario si desea utilizar los 17 dias debe diividir 17 entre 360  lo que significa un porcentaje del 4.72% el cual multiplica por el salario.
En su calculo NO se incluye por disposicion legal:
1- el auxilio de transporte.
2- Las horas extras 
3-y el valor del trabajo en dias de descanso obligatorio.
</t>
        </r>
      </text>
    </comment>
    <comment ref="B33" authorId="1" shapeId="0" xr:uid="{00000000-0006-0000-0700-00000F000000}">
      <text>
        <r>
          <rPr>
            <sz val="11"/>
            <color indexed="81"/>
            <rFont val="Tahoma"/>
            <family val="2"/>
          </rPr>
          <t xml:space="preserve">Protege al trabajador contra contingencias de enfermedad general y maternidad
</t>
        </r>
      </text>
    </comment>
    <comment ref="C33" authorId="0" shapeId="0" xr:uid="{00000000-0006-0000-0700-000010000000}">
      <text>
        <r>
          <rPr>
            <sz val="11"/>
            <color indexed="81"/>
            <rFont val="Tahoma"/>
            <family val="2"/>
          </rPr>
          <t>Este valor equivale al aporte de empleador y trabajador.
El decreto 1406 de 1999 establece la forma de aproximar las cifras asi:
1- El monto del ingreso base de cotizacion correspondiente a cada afiliado se aproxima al multiplo de mil mas cercano.
2. El valor de los aportes liquidados por cada afiliado, al multiplo de cien mas cercano. La fraccion igual o menor a 500 y 50  se deducira
Para el calculo no se suma el auxilio de transporte.</t>
        </r>
      </text>
    </comment>
    <comment ref="D33" authorId="0" shapeId="0" xr:uid="{00000000-0006-0000-0700-000011000000}">
      <text>
        <r>
          <rPr>
            <sz val="11"/>
            <color indexed="81"/>
            <rFont val="Tahoma"/>
            <family val="2"/>
          </rPr>
          <t>El aporte total  se debe discriminar asi:
El empleador:  8,5%
Trabajador:     4.0%
Tope Minimo: 1 SMLMV--        $ 566.700
Tope maximo 25 SMLMV - $14.167.500</t>
        </r>
      </text>
    </comment>
    <comment ref="B34" authorId="1" shapeId="0" xr:uid="{00000000-0006-0000-0700-000012000000}">
      <text>
        <r>
          <rPr>
            <sz val="11"/>
            <color indexed="81"/>
            <rFont val="Tahoma"/>
            <family val="2"/>
          </rPr>
          <t>Ampara al trabajador contra contingencias de vejez, invalidez y muerte, mediante el reconocimiento de pensiones y prestaciones.</t>
        </r>
      </text>
    </comment>
    <comment ref="C34" authorId="0" shapeId="0" xr:uid="{00000000-0006-0000-0700-000013000000}">
      <text>
        <r>
          <rPr>
            <sz val="11"/>
            <color indexed="81"/>
            <rFont val="Tahoma"/>
            <family val="2"/>
          </rPr>
          <t>Este valor es la suma del aporte de la empresa y el trabajador
Para el calculo no se  suma el auxilio de transporte</t>
        </r>
      </text>
    </comment>
    <comment ref="D34" authorId="0" shapeId="0" xr:uid="{00000000-0006-0000-0700-000014000000}">
      <text>
        <r>
          <rPr>
            <sz val="11"/>
            <color indexed="81"/>
            <rFont val="Tahoma"/>
            <family val="2"/>
          </rPr>
          <t>El aporte total  se debe discriminar asi:
El empleador:  12%
Trabajador:     4.0%
Tope Minimo: 1 SMLMV--        $566.700
Tope maximo 25 SMLMV - $14.167.500</t>
        </r>
      </text>
    </comment>
    <comment ref="B35" authorId="1" shapeId="0" xr:uid="{00000000-0006-0000-0700-000015000000}">
      <text>
        <r>
          <rPr>
            <sz val="11"/>
            <color indexed="81"/>
            <rFont val="Tahoma"/>
            <family val="2"/>
          </rPr>
          <t>Protege al trabajador contra accidentes de trabajo y enfermedades profesionales</t>
        </r>
        <r>
          <rPr>
            <sz val="8"/>
            <color indexed="81"/>
            <rFont val="Tahoma"/>
            <family val="2"/>
          </rPr>
          <t xml:space="preserve">
</t>
        </r>
      </text>
    </comment>
    <comment ref="C35" authorId="0" shapeId="0" xr:uid="{00000000-0006-0000-0700-000016000000}">
      <text>
        <r>
          <rPr>
            <sz val="11"/>
            <color indexed="81"/>
            <rFont val="Tahoma"/>
            <family val="2"/>
          </rPr>
          <t>Decreto 1772 de 1994, Art 13
Tope Minimo: 1 SMLMV -      $ 566.700
Tope maximo 25 SMLMV - $14.167.500-     
Para el calculo no se suma el auxilio de transporte.
Esta a cargo exclusivo del empleador.</t>
        </r>
      </text>
    </comment>
    <comment ref="B41" authorId="1" shapeId="0" xr:uid="{00000000-0006-0000-0700-000017000000}">
      <text>
        <r>
          <rPr>
            <b/>
            <sz val="11"/>
            <color indexed="81"/>
            <rFont val="Tahoma"/>
            <family val="2"/>
          </rPr>
          <t xml:space="preserve">Cajas de compensacion Familiar </t>
        </r>
        <r>
          <rPr>
            <sz val="11"/>
            <color indexed="81"/>
            <rFont val="Tahoma"/>
            <family val="2"/>
          </rPr>
          <t xml:space="preserve">:Paga el subsidio Familiar y brinda recreación y bienestar social a los trabajadores.
</t>
        </r>
        <r>
          <rPr>
            <b/>
            <sz val="11"/>
            <color indexed="81"/>
            <rFont val="Tahoma"/>
            <family val="2"/>
          </rPr>
          <t xml:space="preserve">Sena: </t>
        </r>
        <r>
          <rPr>
            <sz val="11"/>
            <color indexed="81"/>
            <rFont val="Tahoma"/>
            <family val="2"/>
          </rPr>
          <t xml:space="preserve">Realiza formacion profesional a los aprendices que deben contratar las empresas.
</t>
        </r>
        <r>
          <rPr>
            <b/>
            <sz val="11"/>
            <color indexed="81"/>
            <rFont val="Tahoma"/>
            <family val="2"/>
          </rPr>
          <t>ICBF</t>
        </r>
        <r>
          <rPr>
            <sz val="11"/>
            <color indexed="81"/>
            <rFont val="Tahoma"/>
            <family val="2"/>
          </rPr>
          <t>: Atiende especialmente la niñez desamparada  pre-escolar menor de 7 años</t>
        </r>
      </text>
    </comment>
    <comment ref="C41" authorId="0" shapeId="0" xr:uid="{00000000-0006-0000-0700-000018000000}">
      <text>
        <r>
          <rPr>
            <sz val="11"/>
            <color indexed="81"/>
            <rFont val="Tahoma"/>
            <family val="2"/>
          </rPr>
          <t>El auxilio de transporte no se tiene en cuenta para este calculo. Art 17 ley 344/96
El trabajador que devengue en el mes hasta 4 veces el salario minimos ($2.266.800) tiene derecho al pago del subsidio en dinero.</t>
        </r>
      </text>
    </comment>
    <comment ref="C46" authorId="0" shapeId="0" xr:uid="{00000000-0006-0000-0700-000019000000}">
      <text>
        <r>
          <rPr>
            <sz val="11"/>
            <color indexed="81"/>
            <rFont val="Tahoma"/>
            <family val="2"/>
          </rPr>
          <t>Fecha de entrega
30 abril 
31 de agosto
20 de diciembre
Es obligacion entregarla solo a partir del tercer mes de vinculación laboral</t>
        </r>
      </text>
    </comment>
    <comment ref="F58" authorId="0" shapeId="0" xr:uid="{00000000-0006-0000-0700-00001A000000}">
      <text>
        <r>
          <rPr>
            <sz val="11"/>
            <color indexed="81"/>
            <rFont val="Tahoma"/>
            <family val="2"/>
          </rPr>
          <t>Aquí se puede colocar el numero de horas por recargos y horas extras que se van a dar todos los meses, para calcular el costo mes.</t>
        </r>
      </text>
    </comment>
    <comment ref="E60" authorId="0" shapeId="0" xr:uid="{00000000-0006-0000-0700-00001B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1" authorId="0" shapeId="0" xr:uid="{00000000-0006-0000-0700-00001C000000}">
      <text>
        <r>
          <rPr>
            <sz val="12"/>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C62" authorId="0" shapeId="0" xr:uid="{00000000-0006-0000-0700-00001D000000}">
      <text>
        <r>
          <rPr>
            <sz val="11"/>
            <color indexed="81"/>
            <rFont val="Tahoma"/>
            <family val="2"/>
          </rPr>
          <t>Por trabajar el domingo el trabajador tiene derecho a un descanso compensatorio, pero sino lo toma tiene derecho a que se le pague en dinero un dia, ademas del recargo del 75% por haber trabajado el domingo.</t>
        </r>
      </text>
    </comment>
    <comment ref="E62" authorId="0" shapeId="0" xr:uid="{00000000-0006-0000-0700-00001E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3" authorId="0" shapeId="0" xr:uid="{00000000-0006-0000-0700-00001F000000}">
      <text>
        <r>
          <rPr>
            <sz val="11"/>
            <color indexed="81"/>
            <rFont val="Tahoma"/>
            <family val="2"/>
          </rPr>
          <t>Este es el valor adicional que se paga a la hora basica la cual ya esta incluida en el  salario basico.
Para tener el costo total de esa hora sume el recargo mas el valor de la hora basica</t>
        </r>
        <r>
          <rPr>
            <b/>
            <sz val="8"/>
            <color indexed="81"/>
            <rFont val="Tahoma"/>
            <family val="2"/>
          </rPr>
          <t xml:space="preserve">
</t>
        </r>
      </text>
    </comment>
    <comment ref="E73" authorId="0" shapeId="0" xr:uid="{00000000-0006-0000-0700-000020000000}">
      <text>
        <r>
          <rPr>
            <sz val="11"/>
            <color indexed="81"/>
            <rFont val="Tahoma"/>
            <family val="2"/>
          </rPr>
          <t>El aporte total  se debe discriminar asi:
El empleador:  8,5%
Trabajador:     4.0%
Tope Minimo: 1 SMLMV--        $ 566.700
Tope maximo 25 SMLMV - $ 14.167.500</t>
        </r>
      </text>
    </comment>
    <comment ref="E74" authorId="0" shapeId="0" xr:uid="{00000000-0006-0000-0700-000021000000}">
      <text>
        <r>
          <rPr>
            <sz val="11"/>
            <color indexed="81"/>
            <rFont val="Tahoma"/>
            <family val="2"/>
          </rPr>
          <t>El aporte total  se debe discriminar asi:
El empleador:  8,5%
Trabajador:     4.0%
Tope Minimo: 1 SMLMV--        $ 566.700
Tope maximo 25 SMLMV - $ 14.167.500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Servicios</author>
    <author>Familia Duque</author>
  </authors>
  <commentList>
    <comment ref="C5" authorId="0" shapeId="0" xr:uid="{00000000-0006-0000-0800-000001000000}">
      <text>
        <r>
          <rPr>
            <sz val="11"/>
            <color indexed="81"/>
            <rFont val="Tahoma"/>
            <family val="2"/>
          </rPr>
          <t>Decreto 033 de 2011</t>
        </r>
      </text>
    </comment>
    <comment ref="C6" authorId="0" shapeId="0" xr:uid="{00000000-0006-0000-0800-000002000000}">
      <text>
        <r>
          <rPr>
            <sz val="11"/>
            <color indexed="81"/>
            <rFont val="Tahoma"/>
            <family val="2"/>
          </rPr>
          <t xml:space="preserve">Decreto 4835 de 2010
                    </t>
        </r>
      </text>
    </comment>
    <comment ref="C10" authorId="0" shapeId="0" xr:uid="{00000000-0006-0000-0800-000003000000}">
      <text>
        <r>
          <rPr>
            <sz val="11"/>
            <color indexed="81"/>
            <rFont val="Tahoma"/>
            <family val="2"/>
          </rPr>
          <t>Este calculo solo aplica para contratos  que no son de salario integral</t>
        </r>
      </text>
    </comment>
    <comment ref="C11" authorId="0" shapeId="0" xr:uid="{00000000-0006-0000-0800-000004000000}">
      <text>
        <r>
          <rPr>
            <sz val="12"/>
            <color indexed="81"/>
            <rFont val="Tahoma"/>
            <family val="2"/>
          </rPr>
          <t xml:space="preserve">RIESGO         %
Minimo   Riesgo I        </t>
        </r>
        <r>
          <rPr>
            <b/>
            <sz val="12"/>
            <color indexed="81"/>
            <rFont val="Tahoma"/>
            <family val="2"/>
          </rPr>
          <t>0,522%</t>
        </r>
        <r>
          <rPr>
            <sz val="12"/>
            <color indexed="81"/>
            <rFont val="Tahoma"/>
            <family val="2"/>
          </rPr>
          <t xml:space="preserve">
Bajo       Riesgo II      </t>
        </r>
        <r>
          <rPr>
            <b/>
            <sz val="12"/>
            <color indexed="81"/>
            <rFont val="Tahoma"/>
            <family val="2"/>
          </rPr>
          <t>1.044%</t>
        </r>
        <r>
          <rPr>
            <sz val="12"/>
            <color indexed="81"/>
            <rFont val="Tahoma"/>
            <family val="2"/>
          </rPr>
          <t xml:space="preserve">
Medio     Riesgo III     </t>
        </r>
        <r>
          <rPr>
            <b/>
            <sz val="12"/>
            <color indexed="81"/>
            <rFont val="Tahoma"/>
            <family val="2"/>
          </rPr>
          <t>2,436%</t>
        </r>
        <r>
          <rPr>
            <sz val="12"/>
            <color indexed="81"/>
            <rFont val="Tahoma"/>
            <family val="2"/>
          </rPr>
          <t xml:space="preserve">
Alto        Riesgo IV    </t>
        </r>
        <r>
          <rPr>
            <b/>
            <sz val="12"/>
            <color indexed="81"/>
            <rFont val="Tahoma"/>
            <family val="2"/>
          </rPr>
          <t>4,350%</t>
        </r>
        <r>
          <rPr>
            <sz val="12"/>
            <color indexed="81"/>
            <rFont val="Tahoma"/>
            <family val="2"/>
          </rPr>
          <t xml:space="preserve">
Maximo    Riesgo V     </t>
        </r>
        <r>
          <rPr>
            <b/>
            <sz val="12"/>
            <color indexed="81"/>
            <rFont val="Tahoma"/>
            <family val="2"/>
          </rPr>
          <t>6,960%</t>
        </r>
        <r>
          <rPr>
            <sz val="12"/>
            <color indexed="81"/>
            <rFont val="Tahoma"/>
            <family val="2"/>
          </rPr>
          <t xml:space="preserve">
Colocar el % segun el riesgo que corresponda.
</t>
        </r>
      </text>
    </comment>
    <comment ref="C12" authorId="0" shapeId="0" xr:uid="{00000000-0006-0000-0800-000005000000}">
      <text>
        <r>
          <rPr>
            <sz val="11"/>
            <color indexed="81"/>
            <rFont val="Tahoma"/>
            <family val="2"/>
          </rPr>
          <t>NOTA: Solo colocar si el salario es hasta $1.071.200
Solo es obligacion de entregar dotación a quienes devenguen hasta 2 salarios minimos legales mensuales.Ley 11 de 1984 art 7          
Una dotacion esta compuesta por:
Un par de zapatos            $
y un vestido de labor        $       
Coloque la suma de los dos valores.
En promedio la suma de los dos puede costar $90.000, obviamente puede ser mayor o menor dependiendo de la calidad de la dotación.</t>
        </r>
      </text>
    </comment>
    <comment ref="C18" authorId="0" shapeId="0" xr:uid="{00000000-0006-0000-0800-000006000000}">
      <text>
        <r>
          <rPr>
            <sz val="11"/>
            <color indexed="81"/>
            <rFont val="Tahoma"/>
            <family val="2"/>
          </rPr>
          <t>No puede ser inferior al minimo legal, o sea $ 535.600</t>
        </r>
      </text>
    </comment>
    <comment ref="E18" authorId="0" shapeId="0" xr:uid="{00000000-0006-0000-0800-000007000000}">
      <text>
        <r>
          <rPr>
            <sz val="11"/>
            <color indexed="81"/>
            <rFont val="Tahoma"/>
            <family val="2"/>
          </rPr>
          <t>Si sale la palabra FALSO es porque esta colocando un valor inferior al minimo legal, y no calcula.</t>
        </r>
      </text>
    </comment>
    <comment ref="B19" authorId="1" shapeId="0" xr:uid="{00000000-0006-0000-0800-000008000000}">
      <text>
        <r>
          <rPr>
            <sz val="11"/>
            <color indexed="81"/>
            <rFont val="Tahoma"/>
            <family val="2"/>
          </rPr>
          <t>Si bien el auxilio de transporte no es salario, se entiende incorporado al salario para todos los efectos de liquidacion de prestaciones sociales.  Art 7 ley 1 de 1963</t>
        </r>
      </text>
    </comment>
    <comment ref="C20" authorId="0" shapeId="0" xr:uid="{00000000-0006-0000-0800-000009000000}">
      <text>
        <r>
          <rPr>
            <sz val="11"/>
            <color indexed="81"/>
            <rFont val="Tahoma"/>
            <family val="2"/>
          </rPr>
          <t>A quien trabaje entre las 10 p.m y las 6 a.m</t>
        </r>
      </text>
    </comment>
    <comment ref="C21" authorId="0" shapeId="0" xr:uid="{00000000-0006-0000-0800-00000A000000}">
      <text>
        <r>
          <rPr>
            <sz val="11"/>
            <color indexed="81"/>
            <rFont val="Tahoma"/>
            <family val="2"/>
          </rPr>
          <t>Ademas del recargo del 75% por trabajar un domingo,si se trabajo nocturno se recarga con el 35%.
Si no se toma el descanso compensatorio  por haber trabajado el dominical se paga una vez mas.</t>
        </r>
      </text>
    </comment>
    <comment ref="C26" authorId="0" shapeId="0" xr:uid="{00000000-0006-0000-0800-00000B000000}">
      <text>
        <r>
          <rPr>
            <sz val="12"/>
            <color indexed="81"/>
            <rFont val="Tahoma"/>
            <family val="2"/>
          </rPr>
          <t xml:space="preserve">Se paga un mes de salario al año.
Dentro de salario se tiene en cuenta el salario basico mas recargos y horas extras.
Ley 1 de 1963 Art 7, establece que el auxilio de transporte se tiene en cuenta para liquidar prestaciones sociales
</t>
        </r>
      </text>
    </comment>
    <comment ref="C27" authorId="0" shapeId="0" xr:uid="{00000000-0006-0000-0800-00000C000000}">
      <text>
        <r>
          <rPr>
            <sz val="12"/>
            <color indexed="81"/>
            <rFont val="Tahoma"/>
            <family val="2"/>
          </rPr>
          <t>Equivale al uno por ciento por cada mes trabajado.Lo que significa el 12% al año.
Intereses=   salario x No dias trabajados X 0.12
                  -----------------------------------------------
                                         360</t>
        </r>
      </text>
    </comment>
    <comment ref="C28" authorId="0" shapeId="0" xr:uid="{00000000-0006-0000-0800-00000D000000}">
      <text>
        <r>
          <rPr>
            <sz val="11"/>
            <color indexed="81"/>
            <rFont val="Tahoma"/>
            <family val="2"/>
          </rPr>
          <t>Equivale a un mes de salario al año+ subsidio de transporte, pagadero asi:
15 dias el ultimo dia de junio
y 15 dias en los primeros 20 dias de diciembre.
El salario comprende el salario basico mas recargos y horas extras.
Se calcula sobre el promedio obtenido en el respectivo semestre o en el período trabajado si este fuere menor</t>
        </r>
      </text>
    </comment>
    <comment ref="C29" authorId="0" shapeId="0" xr:uid="{00000000-0006-0000-0800-00000E000000}">
      <text>
        <r>
          <rPr>
            <sz val="11"/>
            <color indexed="81"/>
            <rFont val="Tahoma"/>
            <family val="2"/>
          </rPr>
          <t xml:space="preserve">Se reconocen por cada año de servicios 15 dias hábiles de vacaciones y  la provisión se ha hecho con 15 días.
Sin embargo en la practica por tratarse de dias habiles se convierten en 17 días calendario si desea utilizar los 17 dias debe diividir 17 entre 360  lo que significa un porcentaje del 4.72% el cual multiplica por el salario.
En su calculo NO se incluye por disposicion legal:
1- el auxilio de transporte.
2- Las horas extras 
3-y el valor del trabajo en dias de descanso obligatorio.
</t>
        </r>
      </text>
    </comment>
    <comment ref="B33" authorId="1" shapeId="0" xr:uid="{00000000-0006-0000-0800-00000F000000}">
      <text>
        <r>
          <rPr>
            <sz val="11"/>
            <color indexed="81"/>
            <rFont val="Tahoma"/>
            <family val="2"/>
          </rPr>
          <t xml:space="preserve">Protege al trabajador contra contingencias de enfermedad general y maternidad
</t>
        </r>
      </text>
    </comment>
    <comment ref="C33" authorId="0" shapeId="0" xr:uid="{00000000-0006-0000-0800-000010000000}">
      <text>
        <r>
          <rPr>
            <sz val="11"/>
            <color indexed="81"/>
            <rFont val="Tahoma"/>
            <family val="2"/>
          </rPr>
          <t>Este valor equivale al aporte de empleador y trabajador.
El decreto 1406 de 1999 establece la forma de aproximar las cifras asi:
1- El monto del ingreso base de cotizacion correspondiente a cada afiliado se aproxima al multiplo de mil mas cercano.
2. El valor de los aportes liquidados por cada afiliado, al multiplo de cien mas cercano. La fraccion igual o menor a 500 y 50  se deducira
Para el calculo no se suma el auxilio de transporte.</t>
        </r>
      </text>
    </comment>
    <comment ref="D33" authorId="0" shapeId="0" xr:uid="{00000000-0006-0000-0800-000011000000}">
      <text>
        <r>
          <rPr>
            <sz val="11"/>
            <color indexed="81"/>
            <rFont val="Tahoma"/>
            <family val="2"/>
          </rPr>
          <t>El aporte total  se debe discriminar asi:
El empleador:  8,5%
Trabajador:     4.0%
Tope Minimo: 1 SMLMV--        $ 535.600
Tope maximo 25 SMLMV - $13.390.000</t>
        </r>
      </text>
    </comment>
    <comment ref="B34" authorId="1" shapeId="0" xr:uid="{00000000-0006-0000-0800-000012000000}">
      <text>
        <r>
          <rPr>
            <sz val="11"/>
            <color indexed="81"/>
            <rFont val="Tahoma"/>
            <family val="2"/>
          </rPr>
          <t>Ampara al trabajador contra contingencias de vejez, invalidez y muerte, mediante el reconocimiento de pensiones y prestaciones.</t>
        </r>
      </text>
    </comment>
    <comment ref="C34" authorId="0" shapeId="0" xr:uid="{00000000-0006-0000-0800-000013000000}">
      <text>
        <r>
          <rPr>
            <sz val="11"/>
            <color indexed="81"/>
            <rFont val="Tahoma"/>
            <family val="2"/>
          </rPr>
          <t>Este valor es la suma del aporte de la empresa y el trabajador
Para el calculo no se  suma el auxilio de transporte</t>
        </r>
      </text>
    </comment>
    <comment ref="D34" authorId="0" shapeId="0" xr:uid="{00000000-0006-0000-0800-000014000000}">
      <text>
        <r>
          <rPr>
            <sz val="11"/>
            <color indexed="81"/>
            <rFont val="Tahoma"/>
            <family val="2"/>
          </rPr>
          <t>El aporte total  se debe discriminar asi:
El empleador:  12%
Trabajador:     4.0%
Tope Minimo: 1 SMLMV--        $535.600
Tope maximo 25 SMLMV - $13.390.000</t>
        </r>
      </text>
    </comment>
    <comment ref="B35" authorId="1" shapeId="0" xr:uid="{00000000-0006-0000-0800-000015000000}">
      <text>
        <r>
          <rPr>
            <sz val="11"/>
            <color indexed="81"/>
            <rFont val="Tahoma"/>
            <family val="2"/>
          </rPr>
          <t>Protege al trabajador contra accidentes de trabajo y enfermedades profesionales</t>
        </r>
        <r>
          <rPr>
            <sz val="8"/>
            <color indexed="81"/>
            <rFont val="Tahoma"/>
            <family val="2"/>
          </rPr>
          <t xml:space="preserve">
</t>
        </r>
      </text>
    </comment>
    <comment ref="C35" authorId="0" shapeId="0" xr:uid="{00000000-0006-0000-0800-000016000000}">
      <text>
        <r>
          <rPr>
            <sz val="11"/>
            <color indexed="81"/>
            <rFont val="Tahoma"/>
            <family val="2"/>
          </rPr>
          <t>Decreto 1772 de 1994, Art 13
Tope Minimo: 1 SMLMV -      $ 535.600
Tope maximo 20 SMLMV - $10.712.000-     
Para el calculo no se suma el auxilio de transporte.
Esta a cargo exclusivo del empleador.</t>
        </r>
      </text>
    </comment>
    <comment ref="B41" authorId="1" shapeId="0" xr:uid="{00000000-0006-0000-0800-000017000000}">
      <text>
        <r>
          <rPr>
            <b/>
            <sz val="11"/>
            <color indexed="81"/>
            <rFont val="Tahoma"/>
            <family val="2"/>
          </rPr>
          <t xml:space="preserve">Cajas de compensacion Familiar </t>
        </r>
        <r>
          <rPr>
            <sz val="11"/>
            <color indexed="81"/>
            <rFont val="Tahoma"/>
            <family val="2"/>
          </rPr>
          <t xml:space="preserve">:Paga el subsidio Familiar y brinda recreación y bienestar social a los trabajadores.
</t>
        </r>
        <r>
          <rPr>
            <b/>
            <sz val="11"/>
            <color indexed="81"/>
            <rFont val="Tahoma"/>
            <family val="2"/>
          </rPr>
          <t xml:space="preserve">Sena: </t>
        </r>
        <r>
          <rPr>
            <sz val="11"/>
            <color indexed="81"/>
            <rFont val="Tahoma"/>
            <family val="2"/>
          </rPr>
          <t xml:space="preserve">Realiza formacion profesional a los aprendices que deben contratar las empresas.
</t>
        </r>
        <r>
          <rPr>
            <b/>
            <sz val="11"/>
            <color indexed="81"/>
            <rFont val="Tahoma"/>
            <family val="2"/>
          </rPr>
          <t>ICBF</t>
        </r>
        <r>
          <rPr>
            <sz val="11"/>
            <color indexed="81"/>
            <rFont val="Tahoma"/>
            <family val="2"/>
          </rPr>
          <t>: Atiende especialmente la niñez desamparada  pre-escolar menor de 7 años</t>
        </r>
      </text>
    </comment>
    <comment ref="C41" authorId="0" shapeId="0" xr:uid="{00000000-0006-0000-0800-000018000000}">
      <text>
        <r>
          <rPr>
            <sz val="11"/>
            <color indexed="81"/>
            <rFont val="Tahoma"/>
            <family val="2"/>
          </rPr>
          <t>El auxilio de transporte no se tiene en cuenta para este calculo. Art 17 ley 344/96
El trabajador que devengue en el mes hasta 4 veces el salario minimos ($2.142.400) tiene derecho al pago del subsidio en dinero.</t>
        </r>
      </text>
    </comment>
    <comment ref="C46" authorId="0" shapeId="0" xr:uid="{00000000-0006-0000-0800-000019000000}">
      <text>
        <r>
          <rPr>
            <sz val="11"/>
            <color indexed="81"/>
            <rFont val="Tahoma"/>
            <family val="2"/>
          </rPr>
          <t>Fecha de entrega
30 abril 
31 de agosto
20 de diciembre
Es obligacion entregarla solo a partir del tercer mes de vinculación laboral</t>
        </r>
      </text>
    </comment>
    <comment ref="F58" authorId="0" shapeId="0" xr:uid="{00000000-0006-0000-0800-00001A000000}">
      <text>
        <r>
          <rPr>
            <sz val="11"/>
            <color indexed="81"/>
            <rFont val="Tahoma"/>
            <family val="2"/>
          </rPr>
          <t>Aquí se puede colocar el numero de horas por recargos y horas extras que se van a dar todos los meses, para calcular el costo mes.</t>
        </r>
      </text>
    </comment>
    <comment ref="E60" authorId="0" shapeId="0" xr:uid="{00000000-0006-0000-0800-00001B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1" authorId="0" shapeId="0" xr:uid="{00000000-0006-0000-0800-00001C000000}">
      <text>
        <r>
          <rPr>
            <sz val="12"/>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C62" authorId="0" shapeId="0" xr:uid="{00000000-0006-0000-0800-00001D000000}">
      <text>
        <r>
          <rPr>
            <sz val="11"/>
            <color indexed="81"/>
            <rFont val="Tahoma"/>
            <family val="2"/>
          </rPr>
          <t>Por trabajar el domingo el trabajador tiene derecho a un descanso compensatorio, pero sino lo toma tiene derecho a que se le pague en dinero un dia, ademas del recargo del 75% por haber trabajado el domingo.</t>
        </r>
      </text>
    </comment>
    <comment ref="E62" authorId="0" shapeId="0" xr:uid="{00000000-0006-0000-0800-00001E000000}">
      <text>
        <r>
          <rPr>
            <sz val="11"/>
            <color indexed="81"/>
            <rFont val="Tahoma"/>
            <family val="2"/>
          </rPr>
          <t xml:space="preserve">Este es el valor adicional que se paga a la hora basica la cual ya esta incluida en el  salario basico.
Para tener el costo total de esa hora sume el recargo mas el valor de la hora basica
</t>
        </r>
      </text>
    </comment>
    <comment ref="E63" authorId="0" shapeId="0" xr:uid="{00000000-0006-0000-0800-00001F000000}">
      <text>
        <r>
          <rPr>
            <sz val="11"/>
            <color indexed="81"/>
            <rFont val="Tahoma"/>
            <family val="2"/>
          </rPr>
          <t>Este es el valor adicional que se paga a la hora basica la cual ya esta incluida en el  salario basico.
Para tener el costo total de esa hora sume el recargo mas el valor de la hora basica</t>
        </r>
        <r>
          <rPr>
            <b/>
            <sz val="8"/>
            <color indexed="81"/>
            <rFont val="Tahoma"/>
            <family val="2"/>
          </rPr>
          <t xml:space="preserve">
</t>
        </r>
      </text>
    </comment>
    <comment ref="E73" authorId="0" shapeId="0" xr:uid="{00000000-0006-0000-0800-000020000000}">
      <text>
        <r>
          <rPr>
            <sz val="11"/>
            <color indexed="81"/>
            <rFont val="Tahoma"/>
            <family val="2"/>
          </rPr>
          <t>El aporte total  se debe discriminar asi:
El empleador:  8,5%
Trabajador:     4.0%
Tope Minimo: 1 SMLMV--        $535.600
Tope maximo 25 SMLMV - $ 13.390.000</t>
        </r>
      </text>
    </comment>
    <comment ref="E74" authorId="0" shapeId="0" xr:uid="{00000000-0006-0000-0800-000021000000}">
      <text>
        <r>
          <rPr>
            <sz val="11"/>
            <color indexed="81"/>
            <rFont val="Tahoma"/>
            <family val="2"/>
          </rPr>
          <t>El aporte total  se debe discriminar asi:
El empleador:  8,5%
Trabajador:     4.0%
Tope Minimo: 1 SMLMV--        $ 535.600
Tope maximo 25 SMLMV - $ 13.390.000</t>
        </r>
      </text>
    </comment>
  </commentList>
</comments>
</file>

<file path=xl/sharedStrings.xml><?xml version="1.0" encoding="utf-8"?>
<sst xmlns="http://schemas.openxmlformats.org/spreadsheetml/2006/main" count="1175" uniqueCount="155">
  <si>
    <t>CALCULO DEL COSTO DE UN TRABAJADOR COLOMBIANO CONFORME A LA MINIMAS EXIGENCIAS LEGALES</t>
  </si>
  <si>
    <t>AÑO 2019</t>
  </si>
  <si>
    <t>Salario minimo legal mensual</t>
  </si>
  <si>
    <t>Auxilio de transporte mes</t>
  </si>
  <si>
    <t>DATOS A COMPLETAR</t>
  </si>
  <si>
    <t>DIGITE SOLO ESTOS CUATRO RENGLONES</t>
  </si>
  <si>
    <t>Colocar salario pactado</t>
  </si>
  <si>
    <t>Riesgo al que esta expuesto %</t>
  </si>
  <si>
    <t>Costo de una dotación</t>
  </si>
  <si>
    <t>Valor en pesos de un dólar, euro etc</t>
  </si>
  <si>
    <t>Dólar</t>
  </si>
  <si>
    <t>CONCEPTOS</t>
  </si>
  <si>
    <t>Explicaciones-</t>
  </si>
  <si>
    <t>%</t>
  </si>
  <si>
    <t>VALOR mes un trabajador</t>
  </si>
  <si>
    <t>VALOR mes exonerados</t>
  </si>
  <si>
    <t>CONVERSION Moneda extranjera</t>
  </si>
  <si>
    <t>1, Salarios y Transporte</t>
  </si>
  <si>
    <t>Salario Básico</t>
  </si>
  <si>
    <t>El pactado entre las partes</t>
  </si>
  <si>
    <t>Auxilio de Transporte</t>
  </si>
  <si>
    <t>A quien devenga hasta  $1.656.232 (2 SMLMV)</t>
  </si>
  <si>
    <t>Recargos Nocturnos</t>
  </si>
  <si>
    <t>Sobre el valor de la hora basica se recarga el 35%</t>
  </si>
  <si>
    <t>Recargo Dominical, festivos, compensatorios</t>
  </si>
  <si>
    <t>Por trabajar en domingo o festivo</t>
  </si>
  <si>
    <t>Horas Extras</t>
  </si>
  <si>
    <t>Lo que exceda de 8 horas dia o 48 a la semana, o la que se pacto</t>
  </si>
  <si>
    <t>Subtotal Salarios y Transporte</t>
  </si>
  <si>
    <t>2, Prestaciones Sociales y Vacaciones Provisión</t>
  </si>
  <si>
    <t>Cesantías</t>
  </si>
  <si>
    <t>Salarios + Sub. Transporte./12 meses</t>
  </si>
  <si>
    <t>Intereses sobre Cesantías</t>
  </si>
  <si>
    <t>El 12% del valor de las cesantías</t>
  </si>
  <si>
    <t>Primas</t>
  </si>
  <si>
    <t>Vacaciones</t>
  </si>
  <si>
    <t xml:space="preserve">Equivale a 15 dias hábiles de salario al año </t>
  </si>
  <si>
    <t>Subtotal Prestaciones</t>
  </si>
  <si>
    <t>3, Seguridad Social</t>
  </si>
  <si>
    <t>Salud     (Total 12,5%, Empresa:8;5%)</t>
  </si>
  <si>
    <t>Pensión   (Total 16%, Empresa 12%)</t>
  </si>
  <si>
    <t>Riesgos Laborales</t>
  </si>
  <si>
    <t>A los salarios se le aplica la tarifa según el riesgo.</t>
  </si>
  <si>
    <t>Provisión vacaciones salud</t>
  </si>
  <si>
    <t>Provision vacaciones pension</t>
  </si>
  <si>
    <t>Subtotal Seguridad Social</t>
  </si>
  <si>
    <t>4, Aportes Parafiscales</t>
  </si>
  <si>
    <t>Sena, ICBF, Caja de Compensacion</t>
  </si>
  <si>
    <r>
      <rPr>
        <i/>
        <sz val="12"/>
        <color indexed="30"/>
        <rFont val="Arial"/>
        <family val="2"/>
      </rPr>
      <t xml:space="preserve">Sena 2%,   ICBF 3%; </t>
    </r>
    <r>
      <rPr>
        <i/>
        <sz val="12"/>
        <color indexed="10"/>
        <rFont val="Arial"/>
        <family val="2"/>
      </rPr>
      <t xml:space="preserve"> </t>
    </r>
    <r>
      <rPr>
        <i/>
        <sz val="12"/>
        <rFont val="Arial"/>
        <family val="2"/>
      </rPr>
      <t xml:space="preserve">  Caja de Compensación 4%</t>
    </r>
  </si>
  <si>
    <t>Provision vacaciones</t>
  </si>
  <si>
    <t>Subtotal Aportes Parafiscales</t>
  </si>
  <si>
    <t>5, Dotación</t>
  </si>
  <si>
    <t>*</t>
  </si>
  <si>
    <t>Dotación</t>
  </si>
  <si>
    <t xml:space="preserve">Son 3 dotaciones al año.    ( IV -VIII - ,XII)/ 12 </t>
  </si>
  <si>
    <t>TOTAL MENSUAL (1+2+3+4+5)</t>
  </si>
  <si>
    <t>Factor prestacional</t>
  </si>
  <si>
    <t>Costo Total Anual para un trabajador</t>
  </si>
  <si>
    <t>Días Hábiles en el año 2019</t>
  </si>
  <si>
    <t>Costo por dia  trabajado</t>
  </si>
  <si>
    <t>Costo por hora trabajada.</t>
  </si>
  <si>
    <t>RECARGOS Y HORAS EXTRAS</t>
  </si>
  <si>
    <t>Valor</t>
  </si>
  <si>
    <t>No horas</t>
  </si>
  <si>
    <t>Valor Hora Ordinaria</t>
  </si>
  <si>
    <t>Entre las 6 a.m y las 9 p.m</t>
  </si>
  <si>
    <t xml:space="preserve">Recargo Nocturno </t>
  </si>
  <si>
    <t>Entre las 9 p.m y las 6 a.m</t>
  </si>
  <si>
    <t>Recargo  Hora Ord. Dominical o Festiva</t>
  </si>
  <si>
    <t xml:space="preserve">recargo del 75% sobre el valor de la hora basica </t>
  </si>
  <si>
    <t>Recargo Hora Ord dominical  sin descanso</t>
  </si>
  <si>
    <t>Recargo del 75% sobre la hora basic+ compensatorio</t>
  </si>
  <si>
    <t xml:space="preserve">Rec Hora Nocturna dominical festiva </t>
  </si>
  <si>
    <t>Recargo 75% festiva + 35% recargo nocturno</t>
  </si>
  <si>
    <t>Rec.hora nocturna dominical  sin descanso</t>
  </si>
  <si>
    <t>Recargo 75% festiva + 35% recargo nocturno+compensatorio</t>
  </si>
  <si>
    <t>Hora Extra  Ordinaria</t>
  </si>
  <si>
    <t>Hora basica +25%de recargo</t>
  </si>
  <si>
    <t xml:space="preserve">Hora Extra Nocturna </t>
  </si>
  <si>
    <t>Hora basica + 75% recargo nocturno</t>
  </si>
  <si>
    <t>Hora Extra ordinaria dominical o Festiva</t>
  </si>
  <si>
    <t>Hora basica+75% festiva+25% recargo</t>
  </si>
  <si>
    <t>Hora Extra Nocturna dominical o  Festiva</t>
  </si>
  <si>
    <t>Hora basica+ 75% festiva + 75% nocturno</t>
  </si>
  <si>
    <t>V 1.0 -23.12. 2018</t>
  </si>
  <si>
    <t>DEDUCCIONES AL TRABAJADOR</t>
  </si>
  <si>
    <t>Retefuente</t>
  </si>
  <si>
    <t>Debe calcularse de acuerdo a la tabla</t>
  </si>
  <si>
    <t>Aporte salud</t>
  </si>
  <si>
    <t>Corresponde el 4% al trabajador</t>
  </si>
  <si>
    <t>Aporte Fondo  de Pensiones</t>
  </si>
  <si>
    <t>Equivale a 1/4 del aporte del 16%</t>
  </si>
  <si>
    <t>Fondo de solidaridad</t>
  </si>
  <si>
    <t>El 1% a quien devenga 4 o mas SMLMV</t>
  </si>
  <si>
    <t>Fondo solidaridad  Cta Subsistencia</t>
  </si>
  <si>
    <t>Se aplica para quien devenga mas de 16 SMLMV</t>
  </si>
  <si>
    <t>TOTAL DEDUCCIONES</t>
  </si>
  <si>
    <t>Aporte Fondo de Solidaridad Subsist</t>
  </si>
  <si>
    <t>Menor a 16 SMLMV</t>
  </si>
  <si>
    <t>De 16 a 17 SMLMV</t>
  </si>
  <si>
    <t>De 17 a 18 SMLMV</t>
  </si>
  <si>
    <t>De 18 a  19 SMLMV</t>
  </si>
  <si>
    <t>De 19 a  20 SMLMV</t>
  </si>
  <si>
    <t>Mas de 20 SMLMV</t>
  </si>
  <si>
    <t>AÑO 2018</t>
  </si>
  <si>
    <t>A quien devenga hasta  $1.562.484(2 SMLMV)</t>
  </si>
  <si>
    <t>Días Hábiles en el año 2018</t>
  </si>
  <si>
    <t>V 1.0 -30.12. 2017</t>
  </si>
  <si>
    <t>AÑO 2017</t>
  </si>
  <si>
    <t>A quien devenga hasta  $1.475.434 (2 SMLMV)</t>
  </si>
  <si>
    <t>Lo que exceda de 8 horas dia o 48 a la semana</t>
  </si>
  <si>
    <t>Días Hábiles en el año 2016</t>
  </si>
  <si>
    <t>Entre las 6 a.m y las 10 p.m</t>
  </si>
  <si>
    <t>Entre las 10 p.m y las 6 a.m</t>
  </si>
  <si>
    <t>V 1.0 29 enero 2017</t>
  </si>
  <si>
    <t>AÑO 2016</t>
  </si>
  <si>
    <t>VALOR mes mas de un trabajador</t>
  </si>
  <si>
    <t>A quien devenga hasta  $1.378.910 (2 SMLMV)</t>
  </si>
  <si>
    <t>Recargo Dominical, fest, compensatorios</t>
  </si>
  <si>
    <t>Riesgos Profesionales</t>
  </si>
  <si>
    <t>V1.0 4 enero 2016</t>
  </si>
  <si>
    <t>AÑO 2015</t>
  </si>
  <si>
    <t>A quien devenga hasta  $1.288.700 (2 SMLMV)</t>
  </si>
  <si>
    <t>Días Hábiles en el año 2015</t>
  </si>
  <si>
    <t>V1..0 Enero 12 de 2014</t>
  </si>
  <si>
    <t>AÑO 2014</t>
  </si>
  <si>
    <t>A quien devenga hasta  $1.232.000 (2 SMLMV)</t>
  </si>
  <si>
    <t>Días Hábiles en el año 2013</t>
  </si>
  <si>
    <t>V1.2 Enero 4 de 2014</t>
  </si>
  <si>
    <t>AÑO 2013</t>
  </si>
  <si>
    <t>DIGITE SOLO ESTOS TRES RENGLONES</t>
  </si>
  <si>
    <t>VALOR mes</t>
  </si>
  <si>
    <t>A quien devenga hasta  $1.179.000 (2 SMLMV)</t>
  </si>
  <si>
    <r>
      <rPr>
        <i/>
        <sz val="12"/>
        <color indexed="10"/>
        <rFont val="Arial"/>
        <family val="2"/>
      </rPr>
      <t xml:space="preserve">Sena 2%,   ICBF 3%;  </t>
    </r>
    <r>
      <rPr>
        <i/>
        <sz val="12"/>
        <rFont val="Arial"/>
        <family val="2"/>
      </rPr>
      <t xml:space="preserve">  Caja de Compensación 4%</t>
    </r>
  </si>
  <si>
    <t>V1 .0 Enero 1 de 2013</t>
  </si>
  <si>
    <t>AÑO 2012</t>
  </si>
  <si>
    <t>A quien devenga hasta  $1.133.400 (2 SMLMV)</t>
  </si>
  <si>
    <t>Sena 2%,   ICBF 3%;    Caja de Compensación 4%</t>
  </si>
  <si>
    <t>Costo Total Anual</t>
  </si>
  <si>
    <t>Días Hábiles en el año 2012</t>
  </si>
  <si>
    <t>V1 .1 dici  26 de 2011</t>
  </si>
  <si>
    <t>AÑO 2011</t>
  </si>
  <si>
    <t>A quien devenga hasta  $1.071.200 (2 SMLMV)</t>
  </si>
  <si>
    <t>Días Hábiles en el año 2011</t>
  </si>
  <si>
    <t>V2  enero 12 de 2011</t>
  </si>
  <si>
    <t>AÑO 2010</t>
  </si>
  <si>
    <t>A quien devenga hasta  $1.030.000 (2 SMLMV)</t>
  </si>
  <si>
    <t>Días Hábiles en el año 2010</t>
  </si>
  <si>
    <t>V4.01  enero 5 de 2010</t>
  </si>
  <si>
    <t>AÑO 2009</t>
  </si>
  <si>
    <t>1, Salarios</t>
  </si>
  <si>
    <t>A quien devenga hasta  $993.800 (2 SMLMV)</t>
  </si>
  <si>
    <t>Subtotal Salarios</t>
  </si>
  <si>
    <t>Días Hábiles en el año 2009</t>
  </si>
  <si>
    <t>V3.9   Enero 19 de 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</si>
</sst>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64" formatCode="_ * #,##0.00_ ;_ * \-#,##0.00_ ;_ * &quot;-&quot;??_ ;_ @_ "/>
    <numFmt numFmtId="165" formatCode="0.000%"/>
    <numFmt numFmtId="166" formatCode="0.0000%"/>
    <numFmt numFmtId="167" formatCode="0.0%"/>
    <numFmt numFmtId="168" formatCode="#,##0.0000;[Red]\-#,##0.0000"/>
    <numFmt numFmtId="169" formatCode="_ * #,##0_ ;_ * \-#,##0_ ;_ * &quot;-&quot;??_ ;_ @_ "/>
    <numFmt numFmtId="170" formatCode="0.0000"/>
    <numFmt numFmtId="171" formatCode="_ * #.##0.0_ ;_ * \-#.##0.0_ ;_ * &quot;-&quot;??_ ;_ @_ "/>
  </numFmts>
  <fonts count="66" x14ac:knownFonts="1">
    <font>
      <sz val="10"/>
      <name val="Arial"/>
    </font>
    <font>
      <sz val="10"/>
      <name val="Arial"/>
    </font>
    <font>
      <b/>
      <sz val="10"/>
      <name val="Arial"/>
      <family val="2"/>
    </font>
    <font>
      <i/>
      <sz val="6"/>
      <name val="Arial"/>
      <family val="2"/>
    </font>
    <font>
      <sz val="10"/>
      <color indexed="10"/>
      <name val="Arial"/>
      <family val="2"/>
    </font>
    <font>
      <b/>
      <sz val="12"/>
      <name val="Arial"/>
      <family val="2"/>
    </font>
    <font>
      <sz val="12"/>
      <name val="Arial"/>
      <family val="2"/>
    </font>
    <font>
      <sz val="8"/>
      <name val="Arial"/>
      <family val="2"/>
    </font>
    <font>
      <b/>
      <sz val="10"/>
      <color indexed="10"/>
      <name val="Arial"/>
      <family val="2"/>
    </font>
    <font>
      <b/>
      <i/>
      <sz val="12"/>
      <color indexed="12"/>
      <name val="Arial"/>
      <family val="2"/>
    </font>
    <font>
      <u/>
      <sz val="10"/>
      <color indexed="12"/>
      <name val="Arial"/>
      <family val="2"/>
    </font>
    <font>
      <i/>
      <sz val="12"/>
      <name val="Arial"/>
      <family val="2"/>
    </font>
    <font>
      <b/>
      <sz val="12"/>
      <color indexed="12"/>
      <name val="Arial"/>
      <family val="2"/>
    </font>
    <font>
      <b/>
      <sz val="12"/>
      <color indexed="10"/>
      <name val="Arial"/>
      <family val="2"/>
    </font>
    <font>
      <b/>
      <u/>
      <sz val="12"/>
      <color indexed="10"/>
      <name val="Arial"/>
      <family val="2"/>
    </font>
    <font>
      <b/>
      <i/>
      <u/>
      <sz val="12"/>
      <color indexed="10"/>
      <name val="Arial"/>
      <family val="2"/>
    </font>
    <font>
      <sz val="12"/>
      <color indexed="10"/>
      <name val="Arial"/>
      <family val="2"/>
    </font>
    <font>
      <b/>
      <i/>
      <sz val="12"/>
      <name val="Arial"/>
      <family val="2"/>
    </font>
    <font>
      <b/>
      <sz val="11"/>
      <name val="Arial"/>
      <family val="2"/>
    </font>
    <font>
      <sz val="10"/>
      <name val="Arial"/>
      <family val="2"/>
    </font>
    <font>
      <sz val="12"/>
      <color indexed="81"/>
      <name val="Tahoma"/>
      <family val="2"/>
    </font>
    <font>
      <b/>
      <sz val="12"/>
      <color indexed="81"/>
      <name val="Tahoma"/>
      <family val="2"/>
    </font>
    <font>
      <sz val="11"/>
      <color indexed="81"/>
      <name val="Tahoma"/>
      <family val="2"/>
    </font>
    <font>
      <b/>
      <sz val="8"/>
      <color indexed="81"/>
      <name val="Tahoma"/>
      <family val="2"/>
    </font>
    <font>
      <sz val="7"/>
      <name val="Arial"/>
      <family val="2"/>
    </font>
    <font>
      <b/>
      <u/>
      <sz val="11"/>
      <color indexed="10"/>
      <name val="Arial"/>
      <family val="2"/>
    </font>
    <font>
      <b/>
      <sz val="12"/>
      <color indexed="57"/>
      <name val="Arial"/>
      <family val="2"/>
    </font>
    <font>
      <b/>
      <i/>
      <sz val="8"/>
      <name val="Arial"/>
      <family val="2"/>
    </font>
    <font>
      <sz val="8"/>
      <color indexed="81"/>
      <name val="Tahoma"/>
      <family val="2"/>
    </font>
    <font>
      <b/>
      <sz val="11"/>
      <color indexed="81"/>
      <name val="Tahoma"/>
      <family val="2"/>
    </font>
    <font>
      <i/>
      <sz val="6"/>
      <color indexed="10"/>
      <name val="Arial"/>
      <family val="2"/>
    </font>
    <font>
      <i/>
      <sz val="14"/>
      <color indexed="10"/>
      <name val="Arial"/>
      <family val="2"/>
    </font>
    <font>
      <b/>
      <i/>
      <sz val="6"/>
      <color indexed="10"/>
      <name val="Arial"/>
      <family val="2"/>
    </font>
    <font>
      <u/>
      <sz val="10"/>
      <color indexed="10"/>
      <name val="Arial"/>
      <family val="2"/>
    </font>
    <font>
      <b/>
      <i/>
      <sz val="12"/>
      <color indexed="10"/>
      <name val="Arial"/>
      <family val="2"/>
    </font>
    <font>
      <i/>
      <sz val="12"/>
      <color indexed="10"/>
      <name val="Arial"/>
      <family val="2"/>
    </font>
    <font>
      <i/>
      <sz val="8"/>
      <color indexed="10"/>
      <name val="Arial"/>
      <family val="2"/>
    </font>
    <font>
      <i/>
      <sz val="11"/>
      <color indexed="10"/>
      <name val="Arial"/>
      <family val="2"/>
    </font>
    <font>
      <b/>
      <i/>
      <sz val="8"/>
      <color indexed="10"/>
      <name val="Arial"/>
      <family val="2"/>
    </font>
    <font>
      <b/>
      <sz val="12"/>
      <name val="Times New Roman"/>
      <family val="1"/>
    </font>
    <font>
      <sz val="9"/>
      <color indexed="81"/>
      <name val="Tahoma"/>
      <family val="2"/>
    </font>
    <font>
      <b/>
      <sz val="9"/>
      <color indexed="81"/>
      <name val="Tahoma"/>
      <family val="2"/>
    </font>
    <font>
      <sz val="10"/>
      <color indexed="81"/>
      <name val="Tahoma"/>
      <family val="2"/>
    </font>
    <font>
      <i/>
      <sz val="12"/>
      <color indexed="30"/>
      <name val="Arial"/>
      <family val="2"/>
    </font>
    <font>
      <b/>
      <sz val="10"/>
      <color indexed="81"/>
      <name val="Tahoma"/>
      <family val="2"/>
    </font>
    <font>
      <b/>
      <sz val="8"/>
      <name val="Arial"/>
      <family val="2"/>
    </font>
    <font>
      <sz val="10"/>
      <color rgb="FFFF0000"/>
      <name val="Arial"/>
      <family val="2"/>
    </font>
    <font>
      <i/>
      <sz val="6"/>
      <color rgb="FFFF0000"/>
      <name val="Arial"/>
      <family val="2"/>
    </font>
    <font>
      <i/>
      <sz val="14"/>
      <color rgb="FFFF0000"/>
      <name val="Arial"/>
      <family val="2"/>
    </font>
    <font>
      <sz val="8"/>
      <color rgb="FFFF0000"/>
      <name val="Arial"/>
      <family val="2"/>
    </font>
    <font>
      <sz val="12"/>
      <color rgb="FFFF0000"/>
      <name val="Arial"/>
      <family val="2"/>
    </font>
    <font>
      <b/>
      <sz val="12"/>
      <color rgb="FFFF0000"/>
      <name val="Arial"/>
      <family val="2"/>
    </font>
    <font>
      <b/>
      <sz val="10"/>
      <color rgb="FFFF0000"/>
      <name val="Arial"/>
      <family val="2"/>
    </font>
    <font>
      <b/>
      <i/>
      <sz val="6"/>
      <color rgb="FFFF0000"/>
      <name val="Arial"/>
      <family val="2"/>
    </font>
    <font>
      <u/>
      <sz val="10"/>
      <color rgb="FFFF0000"/>
      <name val="Arial"/>
      <family val="2"/>
    </font>
    <font>
      <b/>
      <i/>
      <sz val="12"/>
      <color rgb="FFFF0000"/>
      <name val="Arial"/>
      <family val="2"/>
    </font>
    <font>
      <i/>
      <sz val="12"/>
      <color rgb="FFFF0000"/>
      <name val="Arial"/>
      <family val="2"/>
    </font>
    <font>
      <b/>
      <u/>
      <sz val="12"/>
      <color rgb="FFFF0000"/>
      <name val="Arial"/>
      <family val="2"/>
    </font>
    <font>
      <b/>
      <i/>
      <u/>
      <sz val="12"/>
      <color rgb="FFFF0000"/>
      <name val="Arial"/>
      <family val="2"/>
    </font>
    <font>
      <b/>
      <u/>
      <sz val="11"/>
      <color rgb="FFFF0000"/>
      <name val="Arial"/>
      <family val="2"/>
    </font>
    <font>
      <i/>
      <sz val="8"/>
      <color rgb="FFFF0000"/>
      <name val="Arial"/>
      <family val="2"/>
    </font>
    <font>
      <i/>
      <sz val="11"/>
      <color rgb="FFFF0000"/>
      <name val="Arial"/>
      <family val="2"/>
    </font>
    <font>
      <sz val="12"/>
      <color rgb="FF0070C0"/>
      <name val="Arial"/>
      <family val="2"/>
    </font>
    <font>
      <b/>
      <i/>
      <sz val="8"/>
      <color rgb="FFFF0000"/>
      <name val="Arial"/>
      <family val="2"/>
    </font>
    <font>
      <b/>
      <sz val="14"/>
      <color theme="0"/>
      <name val="Arial"/>
      <family val="2"/>
    </font>
    <font>
      <b/>
      <sz val="10"/>
      <color theme="1"/>
      <name val="Arial"/>
      <family val="2"/>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rgb="FFFFFF99"/>
        <bgColor indexed="64"/>
      </patternFill>
    </fill>
    <fill>
      <patternFill patternType="solid">
        <fgColor rgb="FFCCFFCC"/>
        <bgColor indexed="64"/>
      </patternFill>
    </fill>
    <fill>
      <patternFill patternType="solid">
        <fgColor theme="6"/>
        <bgColor indexed="64"/>
      </patternFill>
    </fill>
    <fill>
      <patternFill patternType="solid">
        <fgColor theme="0"/>
        <bgColor indexed="64"/>
      </patternFill>
    </fill>
  </fills>
  <borders count="43">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diagonal/>
    </border>
    <border>
      <left/>
      <right style="hair">
        <color auto="1"/>
      </right>
      <top style="hair">
        <color auto="1"/>
      </top>
      <bottom/>
      <diagonal/>
    </border>
    <border>
      <left style="medium">
        <color auto="1"/>
      </left>
      <right style="hair">
        <color auto="1"/>
      </right>
      <top/>
      <bottom style="hair">
        <color auto="1"/>
      </bottom>
      <diagonal/>
    </border>
    <border>
      <left/>
      <right style="hair">
        <color auto="1"/>
      </right>
      <top/>
      <bottom style="hair">
        <color auto="1"/>
      </bottom>
      <diagonal/>
    </border>
    <border>
      <left style="medium">
        <color auto="1"/>
      </left>
      <right style="medium">
        <color auto="1"/>
      </right>
      <top style="medium">
        <color auto="1"/>
      </top>
      <bottom style="medium">
        <color auto="1"/>
      </bottom>
      <diagonal/>
    </border>
    <border>
      <left/>
      <right style="hair">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style="medium">
        <color auto="1"/>
      </right>
      <top style="medium">
        <color auto="1"/>
      </top>
      <bottom/>
      <diagonal/>
    </border>
    <border>
      <left style="hair">
        <color auto="1"/>
      </left>
      <right style="medium">
        <color auto="1"/>
      </right>
      <top/>
      <bottom style="hair">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style="medium">
        <color auto="1"/>
      </top>
      <bottom style="hair">
        <color auto="1"/>
      </bottom>
      <diagonal/>
    </border>
    <border>
      <left style="thin">
        <color auto="1"/>
      </left>
      <right/>
      <top style="medium">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s>
  <cellStyleXfs count="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361">
    <xf numFmtId="0" fontId="0" fillId="0" borderId="0" xfId="0"/>
    <xf numFmtId="0" fontId="0" fillId="0" borderId="0" xfId="0" applyFill="1"/>
    <xf numFmtId="0" fontId="3" fillId="0" borderId="0" xfId="0" applyFont="1" applyFill="1"/>
    <xf numFmtId="165" fontId="3" fillId="0" borderId="0" xfId="3" applyNumberFormat="1" applyFont="1" applyFill="1" applyAlignment="1">
      <alignment horizontal="center"/>
    </xf>
    <xf numFmtId="38" fontId="4" fillId="0" borderId="0" xfId="0" applyNumberFormat="1" applyFont="1" applyFill="1" applyAlignment="1">
      <alignment horizontal="center"/>
    </xf>
    <xf numFmtId="0" fontId="0" fillId="0" borderId="0" xfId="0" applyFill="1" applyAlignment="1">
      <alignment horizontal="center"/>
    </xf>
    <xf numFmtId="0" fontId="6" fillId="2" borderId="1" xfId="0" applyFont="1" applyFill="1" applyBorder="1" applyAlignment="1">
      <alignment horizontal="left"/>
    </xf>
    <xf numFmtId="166" fontId="7" fillId="0" borderId="0" xfId="3" applyNumberFormat="1" applyFont="1" applyFill="1"/>
    <xf numFmtId="0" fontId="6" fillId="0" borderId="0" xfId="0" applyFont="1" applyFill="1" applyBorder="1"/>
    <xf numFmtId="0" fontId="2" fillId="0" borderId="0" xfId="0" applyFont="1" applyFill="1" applyAlignment="1">
      <alignment horizontal="center"/>
    </xf>
    <xf numFmtId="38" fontId="8" fillId="0" borderId="0" xfId="0" applyNumberFormat="1" applyFont="1" applyFill="1" applyBorder="1" applyAlignment="1">
      <alignment horizontal="center"/>
    </xf>
    <xf numFmtId="0" fontId="6" fillId="3" borderId="1" xfId="0" applyFont="1" applyFill="1" applyBorder="1"/>
    <xf numFmtId="0" fontId="0" fillId="0" borderId="0" xfId="0" applyFill="1" applyBorder="1"/>
    <xf numFmtId="0" fontId="6" fillId="3" borderId="3" xfId="0" applyFont="1" applyFill="1" applyBorder="1"/>
    <xf numFmtId="165" fontId="9" fillId="0" borderId="4" xfId="3" applyNumberFormat="1" applyFont="1" applyFill="1" applyBorder="1" applyAlignment="1" applyProtection="1">
      <alignment horizontal="center"/>
      <protection locked="0"/>
    </xf>
    <xf numFmtId="0" fontId="6" fillId="3" borderId="2" xfId="0" applyFont="1" applyFill="1" applyBorder="1"/>
    <xf numFmtId="40" fontId="0" fillId="0" borderId="0" xfId="0" applyNumberFormat="1" applyFill="1"/>
    <xf numFmtId="0" fontId="9" fillId="0" borderId="0" xfId="0" applyFont="1" applyFill="1" applyBorder="1" applyAlignment="1" applyProtection="1">
      <alignment horizontal="center"/>
      <protection locked="0"/>
    </xf>
    <xf numFmtId="0" fontId="6" fillId="0" borderId="0" xfId="0" applyFont="1" applyFill="1"/>
    <xf numFmtId="0" fontId="6" fillId="0" borderId="0" xfId="0" applyFont="1" applyFill="1" applyAlignment="1">
      <alignment horizontal="center"/>
    </xf>
    <xf numFmtId="40" fontId="6" fillId="0" borderId="0" xfId="0" applyNumberFormat="1" applyFont="1" applyFill="1"/>
    <xf numFmtId="38" fontId="13" fillId="0" borderId="5" xfId="0" applyNumberFormat="1" applyFont="1" applyFill="1" applyBorder="1" applyAlignment="1">
      <alignment horizontal="center"/>
    </xf>
    <xf numFmtId="0" fontId="14" fillId="0" borderId="6" xfId="0" quotePrefix="1" applyFont="1" applyFill="1" applyBorder="1" applyAlignment="1">
      <alignment horizontal="left"/>
    </xf>
    <xf numFmtId="0" fontId="15" fillId="0" borderId="7" xfId="0" quotePrefix="1" applyFont="1" applyFill="1" applyBorder="1" applyAlignment="1">
      <alignment horizontal="left"/>
    </xf>
    <xf numFmtId="165" fontId="14" fillId="0" borderId="7" xfId="3" quotePrefix="1" applyNumberFormat="1" applyFont="1" applyFill="1" applyBorder="1" applyAlignment="1">
      <alignment horizontal="center"/>
    </xf>
    <xf numFmtId="38" fontId="16" fillId="0" borderId="8" xfId="0" applyNumberFormat="1" applyFont="1" applyFill="1" applyBorder="1" applyAlignment="1">
      <alignment horizontal="center"/>
    </xf>
    <xf numFmtId="0" fontId="6" fillId="0" borderId="6" xfId="0" applyFont="1" applyFill="1" applyBorder="1"/>
    <xf numFmtId="0" fontId="11" fillId="0" borderId="7" xfId="0" applyFont="1" applyFill="1" applyBorder="1"/>
    <xf numFmtId="165" fontId="6" fillId="0" borderId="7" xfId="3" applyNumberFormat="1" applyFont="1" applyFill="1" applyBorder="1" applyAlignment="1">
      <alignment horizontal="center"/>
    </xf>
    <xf numFmtId="38" fontId="5" fillId="3" borderId="8" xfId="0" applyNumberFormat="1" applyFont="1" applyFill="1" applyBorder="1" applyAlignment="1">
      <alignment horizontal="center"/>
    </xf>
    <xf numFmtId="38" fontId="5" fillId="4" borderId="8" xfId="0" applyNumberFormat="1" applyFont="1" applyFill="1" applyBorder="1" applyAlignment="1">
      <alignment horizontal="center"/>
    </xf>
    <xf numFmtId="0" fontId="5" fillId="0" borderId="6" xfId="0" applyFont="1" applyFill="1" applyBorder="1"/>
    <xf numFmtId="0" fontId="17" fillId="0" borderId="7" xfId="0" applyFont="1" applyFill="1" applyBorder="1"/>
    <xf numFmtId="165" fontId="5" fillId="0" borderId="7" xfId="3" applyNumberFormat="1" applyFont="1" applyFill="1" applyBorder="1" applyAlignment="1">
      <alignment horizontal="center"/>
    </xf>
    <xf numFmtId="38" fontId="13" fillId="0" borderId="8" xfId="0" applyNumberFormat="1" applyFont="1" applyFill="1" applyBorder="1" applyAlignment="1">
      <alignment horizontal="center"/>
    </xf>
    <xf numFmtId="10" fontId="6" fillId="0" borderId="7" xfId="3" applyNumberFormat="1" applyFont="1" applyFill="1" applyBorder="1" applyAlignment="1">
      <alignment horizontal="center"/>
    </xf>
    <xf numFmtId="167" fontId="6" fillId="0" borderId="7" xfId="3" applyNumberFormat="1" applyFont="1" applyFill="1" applyBorder="1" applyAlignment="1">
      <alignment horizontal="center"/>
    </xf>
    <xf numFmtId="0" fontId="11" fillId="0" borderId="7" xfId="0" applyFont="1" applyFill="1" applyBorder="1" applyAlignment="1">
      <alignment horizontal="left"/>
    </xf>
    <xf numFmtId="0" fontId="17" fillId="0" borderId="7" xfId="0" applyFont="1" applyFill="1" applyBorder="1" applyAlignment="1">
      <alignment horizontal="right"/>
    </xf>
    <xf numFmtId="0" fontId="6" fillId="0" borderId="6" xfId="0" applyFont="1" applyFill="1" applyBorder="1" applyAlignment="1">
      <alignment horizontal="left"/>
    </xf>
    <xf numFmtId="0" fontId="11" fillId="0" borderId="0" xfId="0" applyFont="1" applyFill="1" applyBorder="1" applyAlignment="1">
      <alignment horizontal="left"/>
    </xf>
    <xf numFmtId="40" fontId="5" fillId="0" borderId="0" xfId="0" applyNumberFormat="1" applyFont="1" applyFill="1" applyBorder="1" applyAlignment="1">
      <alignment horizontal="center"/>
    </xf>
    <xf numFmtId="38" fontId="6" fillId="0" borderId="8" xfId="0" applyNumberFormat="1" applyFont="1" applyFill="1" applyBorder="1" applyAlignment="1">
      <alignment horizontal="center"/>
    </xf>
    <xf numFmtId="0" fontId="11" fillId="0" borderId="9" xfId="0" quotePrefix="1" applyFont="1" applyFill="1" applyBorder="1" applyAlignment="1">
      <alignment horizontal="left"/>
    </xf>
    <xf numFmtId="165" fontId="11" fillId="0" borderId="9" xfId="3" quotePrefix="1" applyNumberFormat="1" applyFont="1" applyFill="1" applyBorder="1" applyAlignment="1">
      <alignment horizontal="center"/>
    </xf>
    <xf numFmtId="0" fontId="18" fillId="2" borderId="14" xfId="0" applyFont="1" applyFill="1" applyBorder="1" applyAlignment="1">
      <alignment horizontal="center"/>
    </xf>
    <xf numFmtId="0" fontId="5" fillId="2" borderId="15" xfId="0" applyFont="1" applyFill="1" applyBorder="1" applyAlignment="1">
      <alignment horizontal="center"/>
    </xf>
    <xf numFmtId="0" fontId="5" fillId="2" borderId="16" xfId="0" applyFont="1" applyFill="1" applyBorder="1" applyAlignment="1">
      <alignment horizontal="center"/>
    </xf>
    <xf numFmtId="38" fontId="5" fillId="2" borderId="16" xfId="0" applyNumberFormat="1" applyFont="1" applyFill="1" applyBorder="1" applyAlignment="1">
      <alignment horizontal="center"/>
    </xf>
    <xf numFmtId="0" fontId="5" fillId="2" borderId="17" xfId="0" applyFont="1" applyFill="1" applyBorder="1" applyAlignment="1">
      <alignment horizontal="center"/>
    </xf>
    <xf numFmtId="0" fontId="6" fillId="0" borderId="10" xfId="0" applyFont="1" applyFill="1" applyBorder="1"/>
    <xf numFmtId="0" fontId="11" fillId="0" borderId="18" xfId="0" applyFont="1" applyFill="1" applyBorder="1"/>
    <xf numFmtId="1" fontId="6" fillId="0" borderId="18" xfId="3" applyNumberFormat="1" applyFont="1" applyFill="1" applyBorder="1" applyAlignment="1">
      <alignment horizontal="center"/>
    </xf>
    <xf numFmtId="40" fontId="5" fillId="3" borderId="11" xfId="0" applyNumberFormat="1" applyFont="1" applyFill="1" applyBorder="1" applyAlignment="1">
      <alignment horizontal="center"/>
    </xf>
    <xf numFmtId="9" fontId="6" fillId="0" borderId="7" xfId="3" quotePrefix="1" applyNumberFormat="1" applyFont="1" applyFill="1" applyBorder="1" applyAlignment="1">
      <alignment horizontal="center"/>
    </xf>
    <xf numFmtId="40" fontId="5" fillId="3" borderId="8" xfId="0" applyNumberFormat="1" applyFont="1" applyFill="1" applyBorder="1" applyAlignment="1">
      <alignment horizontal="center"/>
    </xf>
    <xf numFmtId="0" fontId="6" fillId="0" borderId="19" xfId="0" applyFont="1" applyFill="1" applyBorder="1" applyAlignment="1">
      <alignment horizontal="left"/>
    </xf>
    <xf numFmtId="0" fontId="11" fillId="0" borderId="20" xfId="0" applyFont="1" applyFill="1" applyBorder="1" applyAlignment="1">
      <alignment horizontal="left"/>
    </xf>
    <xf numFmtId="9" fontId="6" fillId="0" borderId="20" xfId="3" quotePrefix="1" applyNumberFormat="1" applyFont="1" applyFill="1" applyBorder="1" applyAlignment="1">
      <alignment horizontal="center"/>
    </xf>
    <xf numFmtId="0" fontId="6" fillId="0" borderId="21" xfId="0" quotePrefix="1" applyFont="1" applyFill="1" applyBorder="1" applyAlignment="1">
      <alignment horizontal="left"/>
    </xf>
    <xf numFmtId="0" fontId="11" fillId="0" borderId="22" xfId="0" applyFont="1" applyFill="1" applyBorder="1" applyAlignment="1">
      <alignment horizontal="left"/>
    </xf>
    <xf numFmtId="9" fontId="6" fillId="0" borderId="22" xfId="3" quotePrefix="1" applyNumberFormat="1" applyFont="1" applyFill="1" applyBorder="1" applyAlignment="1">
      <alignment horizontal="center"/>
    </xf>
    <xf numFmtId="0" fontId="6" fillId="0" borderId="6" xfId="0" quotePrefix="1" applyFont="1" applyFill="1" applyBorder="1" applyAlignment="1">
      <alignment horizontal="left"/>
    </xf>
    <xf numFmtId="0" fontId="6" fillId="0" borderId="12" xfId="0" quotePrefix="1" applyFont="1" applyFill="1" applyBorder="1" applyAlignment="1">
      <alignment horizontal="left"/>
    </xf>
    <xf numFmtId="0" fontId="11" fillId="0" borderId="9" xfId="0" applyFont="1" applyFill="1" applyBorder="1" applyAlignment="1">
      <alignment horizontal="left"/>
    </xf>
    <xf numFmtId="9" fontId="6" fillId="0" borderId="9" xfId="3" quotePrefix="1" applyNumberFormat="1" applyFont="1" applyFill="1" applyBorder="1" applyAlignment="1">
      <alignment horizontal="center"/>
    </xf>
    <xf numFmtId="0" fontId="5" fillId="4" borderId="23" xfId="0" applyFont="1" applyFill="1" applyBorder="1" applyAlignment="1">
      <alignment horizontal="center"/>
    </xf>
    <xf numFmtId="0" fontId="11" fillId="0" borderId="24" xfId="0" applyFont="1" applyFill="1" applyBorder="1" applyAlignment="1">
      <alignment horizontal="left"/>
    </xf>
    <xf numFmtId="38" fontId="17" fillId="3" borderId="25" xfId="0" applyNumberFormat="1" applyFont="1" applyFill="1" applyBorder="1" applyAlignment="1">
      <alignment horizontal="center"/>
    </xf>
    <xf numFmtId="0" fontId="11" fillId="0" borderId="9" xfId="0" applyFont="1" applyFill="1" applyBorder="1"/>
    <xf numFmtId="38" fontId="5" fillId="4" borderId="26" xfId="0" applyNumberFormat="1" applyFont="1" applyFill="1" applyBorder="1" applyAlignment="1">
      <alignment horizontal="center"/>
    </xf>
    <xf numFmtId="0" fontId="18" fillId="2" borderId="27" xfId="0" applyFont="1" applyFill="1" applyBorder="1" applyAlignment="1">
      <alignment horizontal="center"/>
    </xf>
    <xf numFmtId="0" fontId="11" fillId="0" borderId="0" xfId="0" applyFont="1" applyFill="1"/>
    <xf numFmtId="38" fontId="6" fillId="0" borderId="0" xfId="0" applyNumberFormat="1" applyFont="1" applyFill="1" applyAlignment="1">
      <alignment horizontal="center"/>
    </xf>
    <xf numFmtId="0" fontId="6" fillId="0" borderId="10" xfId="0" applyFont="1" applyFill="1" applyBorder="1" applyAlignment="1">
      <alignment horizontal="left"/>
    </xf>
    <xf numFmtId="167" fontId="6" fillId="0" borderId="24" xfId="3" applyNumberFormat="1" applyFont="1" applyFill="1" applyBorder="1" applyAlignment="1">
      <alignment horizontal="center"/>
    </xf>
    <xf numFmtId="38" fontId="5" fillId="3" borderId="11" xfId="0" applyNumberFormat="1" applyFont="1" applyFill="1" applyBorder="1" applyAlignment="1">
      <alignment horizontal="center"/>
    </xf>
    <xf numFmtId="167" fontId="6" fillId="0" borderId="22" xfId="3" quotePrefix="1" applyNumberFormat="1" applyFont="1" applyFill="1" applyBorder="1" applyAlignment="1">
      <alignment horizontal="center"/>
    </xf>
    <xf numFmtId="38" fontId="5" fillId="3" borderId="28" xfId="0" applyNumberFormat="1" applyFont="1" applyFill="1" applyBorder="1" applyAlignment="1">
      <alignment horizontal="center"/>
    </xf>
    <xf numFmtId="167" fontId="6" fillId="0" borderId="7" xfId="3" quotePrefix="1" applyNumberFormat="1" applyFont="1" applyFill="1" applyBorder="1" applyAlignment="1">
      <alignment horizontal="center"/>
    </xf>
    <xf numFmtId="0" fontId="6" fillId="0" borderId="12" xfId="0" applyFont="1" applyFill="1" applyBorder="1" applyAlignment="1">
      <alignment horizontal="left"/>
    </xf>
    <xf numFmtId="167" fontId="6" fillId="0" borderId="9" xfId="3" quotePrefix="1" applyNumberFormat="1" applyFont="1" applyFill="1" applyBorder="1" applyAlignment="1">
      <alignment horizontal="center"/>
    </xf>
    <xf numFmtId="38" fontId="5" fillId="3" borderId="13" xfId="0" applyNumberFormat="1" applyFont="1" applyFill="1" applyBorder="1" applyAlignment="1">
      <alignment horizontal="center"/>
    </xf>
    <xf numFmtId="2" fontId="6" fillId="0" borderId="0" xfId="0" applyNumberFormat="1" applyFont="1" applyFill="1"/>
    <xf numFmtId="40" fontId="17" fillId="3" borderId="25" xfId="0" applyNumberFormat="1" applyFont="1" applyFill="1" applyBorder="1" applyAlignment="1">
      <alignment horizontal="center"/>
    </xf>
    <xf numFmtId="0" fontId="11" fillId="0" borderId="7" xfId="0" applyFont="1" applyFill="1" applyBorder="1" applyAlignment="1">
      <alignment horizontal="center"/>
    </xf>
    <xf numFmtId="0" fontId="6" fillId="0" borderId="21" xfId="0" applyFont="1" applyFill="1" applyBorder="1"/>
    <xf numFmtId="0" fontId="5" fillId="2" borderId="0" xfId="0" applyFont="1" applyFill="1"/>
    <xf numFmtId="0" fontId="3" fillId="2" borderId="0" xfId="0" applyFont="1" applyFill="1"/>
    <xf numFmtId="165" fontId="3" fillId="2" borderId="0" xfId="3" applyNumberFormat="1" applyFont="1" applyFill="1" applyAlignment="1">
      <alignment horizontal="center"/>
    </xf>
    <xf numFmtId="38" fontId="4" fillId="2" borderId="0" xfId="0" applyNumberFormat="1" applyFont="1" applyFill="1" applyAlignment="1">
      <alignment horizontal="center"/>
    </xf>
    <xf numFmtId="9" fontId="11" fillId="0" borderId="7" xfId="0" applyNumberFormat="1" applyFont="1" applyFill="1" applyBorder="1" applyAlignment="1">
      <alignment horizontal="center"/>
    </xf>
    <xf numFmtId="9" fontId="11" fillId="0" borderId="22" xfId="0" applyNumberFormat="1" applyFont="1" applyFill="1" applyBorder="1" applyAlignment="1">
      <alignment horizontal="center"/>
    </xf>
    <xf numFmtId="10" fontId="6" fillId="0" borderId="13" xfId="3" applyNumberFormat="1" applyFont="1" applyFill="1" applyBorder="1" applyAlignment="1">
      <alignment horizontal="center"/>
    </xf>
    <xf numFmtId="0" fontId="5" fillId="0" borderId="12" xfId="0" applyFont="1" applyFill="1" applyBorder="1"/>
    <xf numFmtId="0" fontId="24" fillId="0" borderId="0" xfId="0" applyFont="1" applyFill="1" applyBorder="1" applyAlignment="1">
      <alignment horizontal="left"/>
    </xf>
    <xf numFmtId="0" fontId="5" fillId="2" borderId="1" xfId="0" applyFont="1" applyFill="1" applyBorder="1" applyAlignment="1">
      <alignment horizontal="center"/>
    </xf>
    <xf numFmtId="0" fontId="5" fillId="2" borderId="29" xfId="0" applyFont="1" applyFill="1" applyBorder="1" applyAlignment="1">
      <alignment horizontal="center"/>
    </xf>
    <xf numFmtId="165" fontId="6" fillId="2" borderId="29" xfId="3" applyNumberFormat="1" applyFont="1" applyFill="1" applyBorder="1" applyAlignment="1">
      <alignment horizontal="center"/>
    </xf>
    <xf numFmtId="38" fontId="5" fillId="2" borderId="30" xfId="0" applyNumberFormat="1" applyFont="1" applyFill="1" applyBorder="1" applyAlignment="1">
      <alignment horizontal="center"/>
    </xf>
    <xf numFmtId="38" fontId="12" fillId="0" borderId="11" xfId="0" applyNumberFormat="1" applyFont="1" applyFill="1" applyBorder="1" applyAlignment="1">
      <alignment horizontal="center"/>
    </xf>
    <xf numFmtId="0" fontId="25" fillId="0" borderId="6" xfId="0" quotePrefix="1" applyFont="1" applyFill="1" applyBorder="1" applyAlignment="1">
      <alignment horizontal="left"/>
    </xf>
    <xf numFmtId="40" fontId="17" fillId="3" borderId="26" xfId="0" applyNumberFormat="1" applyFont="1" applyFill="1" applyBorder="1" applyAlignment="1">
      <alignment horizontal="center"/>
    </xf>
    <xf numFmtId="40" fontId="6" fillId="0" borderId="8" xfId="0" applyNumberFormat="1" applyFont="1" applyFill="1" applyBorder="1" applyAlignment="1">
      <alignment horizontal="center"/>
    </xf>
    <xf numFmtId="40" fontId="5" fillId="4" borderId="8" xfId="0" applyNumberFormat="1" applyFont="1" applyFill="1" applyBorder="1" applyAlignment="1">
      <alignment horizontal="center"/>
    </xf>
    <xf numFmtId="165" fontId="17" fillId="2" borderId="16" xfId="3" applyNumberFormat="1" applyFont="1" applyFill="1" applyBorder="1" applyAlignment="1">
      <alignment horizontal="center"/>
    </xf>
    <xf numFmtId="40" fontId="0" fillId="0" borderId="0" xfId="0" applyNumberFormat="1" applyFill="1" applyAlignment="1">
      <alignment horizontal="center"/>
    </xf>
    <xf numFmtId="40" fontId="6" fillId="0" borderId="25" xfId="3" applyNumberFormat="1" applyFont="1" applyFill="1" applyBorder="1" applyAlignment="1">
      <alignment horizontal="center"/>
    </xf>
    <xf numFmtId="40" fontId="16" fillId="0" borderId="8" xfId="0" applyNumberFormat="1" applyFont="1" applyFill="1" applyBorder="1" applyAlignment="1">
      <alignment horizontal="center"/>
    </xf>
    <xf numFmtId="40" fontId="16" fillId="0" borderId="13" xfId="0" applyNumberFormat="1" applyFont="1" applyFill="1" applyBorder="1" applyAlignment="1">
      <alignment horizontal="center"/>
    </xf>
    <xf numFmtId="40" fontId="5" fillId="0" borderId="0" xfId="0" applyNumberFormat="1" applyFont="1" applyFill="1" applyAlignment="1">
      <alignment horizontal="center"/>
    </xf>
    <xf numFmtId="165" fontId="26" fillId="0" borderId="0" xfId="3" applyNumberFormat="1" applyFont="1" applyFill="1" applyBorder="1" applyAlignment="1">
      <alignment horizontal="center"/>
    </xf>
    <xf numFmtId="38" fontId="12" fillId="0" borderId="31" xfId="0" applyNumberFormat="1" applyFont="1" applyFill="1" applyBorder="1" applyAlignment="1">
      <alignment horizontal="center"/>
    </xf>
    <xf numFmtId="0" fontId="18" fillId="2" borderId="15" xfId="0" applyFont="1" applyFill="1" applyBorder="1" applyAlignment="1">
      <alignment horizontal="center"/>
    </xf>
    <xf numFmtId="0" fontId="27" fillId="2" borderId="16" xfId="0" applyFont="1" applyFill="1" applyBorder="1"/>
    <xf numFmtId="0" fontId="30" fillId="0" borderId="0" xfId="0" applyFont="1" applyFill="1"/>
    <xf numFmtId="165" fontId="30" fillId="0" borderId="0" xfId="3" applyNumberFormat="1" applyFont="1" applyFill="1" applyAlignment="1">
      <alignment horizontal="center"/>
    </xf>
    <xf numFmtId="0" fontId="31" fillId="0" borderId="0" xfId="0" applyFont="1" applyFill="1"/>
    <xf numFmtId="165" fontId="32" fillId="0" borderId="0" xfId="3" applyNumberFormat="1" applyFont="1" applyFill="1" applyBorder="1" applyAlignment="1">
      <alignment horizontal="center"/>
    </xf>
    <xf numFmtId="165" fontId="33" fillId="0" borderId="0" xfId="1" applyNumberFormat="1" applyFont="1" applyFill="1" applyBorder="1" applyAlignment="1" applyProtection="1">
      <alignment horizontal="center"/>
    </xf>
    <xf numFmtId="165" fontId="34" fillId="0" borderId="0" xfId="3" applyNumberFormat="1" applyFont="1" applyFill="1" applyBorder="1" applyAlignment="1" applyProtection="1">
      <alignment horizontal="center"/>
      <protection locked="0"/>
    </xf>
    <xf numFmtId="0" fontId="34" fillId="0" borderId="0" xfId="0" applyFont="1" applyFill="1" applyBorder="1" applyAlignment="1" applyProtection="1">
      <alignment horizontal="center"/>
      <protection locked="0"/>
    </xf>
    <xf numFmtId="0" fontId="35" fillId="0" borderId="0" xfId="0" applyNumberFormat="1" applyFont="1" applyFill="1"/>
    <xf numFmtId="0" fontId="30" fillId="0" borderId="0" xfId="3" applyNumberFormat="1" applyFont="1" applyFill="1" applyAlignment="1">
      <alignment horizontal="center"/>
    </xf>
    <xf numFmtId="0" fontId="35" fillId="0" borderId="7" xfId="0" applyFont="1" applyFill="1" applyBorder="1"/>
    <xf numFmtId="0" fontId="34" fillId="0" borderId="7" xfId="0" quotePrefix="1" applyFont="1" applyFill="1" applyBorder="1" applyAlignment="1">
      <alignment horizontal="right"/>
    </xf>
    <xf numFmtId="0" fontId="34" fillId="0" borderId="7" xfId="0" applyFont="1" applyFill="1" applyBorder="1"/>
    <xf numFmtId="0" fontId="35" fillId="0" borderId="7" xfId="0" applyFont="1" applyFill="1" applyBorder="1" applyAlignment="1">
      <alignment horizontal="left"/>
    </xf>
    <xf numFmtId="0" fontId="34" fillId="0" borderId="7" xfId="0" applyFont="1" applyFill="1" applyBorder="1" applyAlignment="1">
      <alignment horizontal="right"/>
    </xf>
    <xf numFmtId="0" fontId="35" fillId="0" borderId="9" xfId="0" quotePrefix="1" applyFont="1" applyFill="1" applyBorder="1" applyAlignment="1">
      <alignment horizontal="left"/>
    </xf>
    <xf numFmtId="165" fontId="35" fillId="0" borderId="9" xfId="3" quotePrefix="1" applyNumberFormat="1" applyFont="1" applyFill="1" applyBorder="1" applyAlignment="1">
      <alignment horizontal="center"/>
    </xf>
    <xf numFmtId="0" fontId="35" fillId="0" borderId="0" xfId="0" quotePrefix="1" applyFont="1" applyFill="1" applyBorder="1" applyAlignment="1">
      <alignment horizontal="left"/>
    </xf>
    <xf numFmtId="165" fontId="35" fillId="0" borderId="0" xfId="3" quotePrefix="1" applyNumberFormat="1" applyFont="1" applyFill="1" applyBorder="1" applyAlignment="1">
      <alignment horizontal="center"/>
    </xf>
    <xf numFmtId="165" fontId="35" fillId="0" borderId="24" xfId="3" quotePrefix="1" applyNumberFormat="1" applyFont="1" applyFill="1" applyBorder="1" applyAlignment="1">
      <alignment horizontal="center"/>
    </xf>
    <xf numFmtId="165" fontId="35" fillId="0" borderId="7" xfId="3" applyNumberFormat="1" applyFont="1" applyFill="1" applyBorder="1" applyAlignment="1">
      <alignment horizontal="center"/>
    </xf>
    <xf numFmtId="0" fontId="35" fillId="0" borderId="9" xfId="0" applyFont="1" applyFill="1" applyBorder="1"/>
    <xf numFmtId="165" fontId="35" fillId="0" borderId="9" xfId="3" applyNumberFormat="1" applyFont="1" applyFill="1" applyBorder="1" applyAlignment="1">
      <alignment horizontal="center"/>
    </xf>
    <xf numFmtId="0" fontId="35" fillId="0" borderId="0" xfId="0" applyFont="1" applyFill="1" applyBorder="1"/>
    <xf numFmtId="165" fontId="35" fillId="0" borderId="0" xfId="3" applyNumberFormat="1" applyFont="1" applyFill="1" applyBorder="1" applyAlignment="1">
      <alignment horizontal="center"/>
    </xf>
    <xf numFmtId="0" fontId="35" fillId="3" borderId="10" xfId="0" applyFont="1" applyFill="1" applyBorder="1" applyAlignment="1">
      <alignment horizontal="center"/>
    </xf>
    <xf numFmtId="0" fontId="35" fillId="0" borderId="0" xfId="0" applyFont="1" applyFill="1"/>
    <xf numFmtId="0" fontId="36" fillId="0" borderId="0" xfId="0" applyFont="1" applyFill="1" applyBorder="1"/>
    <xf numFmtId="165" fontId="36" fillId="0" borderId="0" xfId="3" applyNumberFormat="1" applyFont="1" applyFill="1" applyBorder="1" applyAlignment="1">
      <alignment horizontal="center"/>
    </xf>
    <xf numFmtId="165" fontId="37" fillId="0" borderId="0" xfId="3" applyNumberFormat="1" applyFont="1" applyFill="1" applyAlignment="1">
      <alignment horizontal="center"/>
    </xf>
    <xf numFmtId="38" fontId="6" fillId="0" borderId="0" xfId="0" applyNumberFormat="1" applyFont="1" applyFill="1"/>
    <xf numFmtId="38" fontId="7" fillId="0" borderId="0" xfId="0" applyNumberFormat="1" applyFont="1" applyFill="1" applyAlignment="1">
      <alignment horizontal="center"/>
    </xf>
    <xf numFmtId="0" fontId="5" fillId="5" borderId="27" xfId="0" applyFont="1" applyFill="1" applyBorder="1" applyAlignment="1">
      <alignment horizontal="center"/>
    </xf>
    <xf numFmtId="0" fontId="8" fillId="0" borderId="0" xfId="0" applyFont="1" applyFill="1" applyBorder="1" applyAlignment="1">
      <alignment horizontal="center"/>
    </xf>
    <xf numFmtId="0" fontId="17" fillId="0" borderId="6" xfId="0" quotePrefix="1" applyFont="1" applyFill="1" applyBorder="1" applyAlignment="1">
      <alignment horizontal="center"/>
    </xf>
    <xf numFmtId="38" fontId="7" fillId="0" borderId="0" xfId="0" applyNumberFormat="1" applyFont="1" applyFill="1" applyBorder="1" applyAlignment="1">
      <alignment horizontal="center"/>
    </xf>
    <xf numFmtId="2" fontId="0" fillId="0" borderId="0" xfId="0" applyNumberFormat="1" applyFill="1"/>
    <xf numFmtId="164" fontId="6" fillId="0" borderId="0" xfId="2" applyNumberFormat="1" applyFont="1" applyFill="1"/>
    <xf numFmtId="164" fontId="35" fillId="3" borderId="33" xfId="2" applyFont="1" applyFill="1" applyBorder="1" applyAlignment="1">
      <alignment horizontal="center"/>
    </xf>
    <xf numFmtId="0" fontId="35" fillId="3" borderId="33" xfId="0" applyFont="1" applyFill="1" applyBorder="1" applyAlignment="1">
      <alignment horizontal="center"/>
    </xf>
    <xf numFmtId="165" fontId="38" fillId="0" borderId="0" xfId="3" applyNumberFormat="1" applyFont="1" applyFill="1" applyBorder="1" applyAlignment="1" applyProtection="1">
      <alignment horizontal="center"/>
      <protection locked="0"/>
    </xf>
    <xf numFmtId="0" fontId="4" fillId="0" borderId="0" xfId="0" applyFont="1" applyFill="1"/>
    <xf numFmtId="0" fontId="4" fillId="0" borderId="0" xfId="0" applyFont="1" applyFill="1" applyAlignment="1">
      <alignment horizontal="center"/>
    </xf>
    <xf numFmtId="164" fontId="4" fillId="0" borderId="0" xfId="2" applyFont="1" applyFill="1" applyAlignment="1">
      <alignment horizontal="center"/>
    </xf>
    <xf numFmtId="169" fontId="4" fillId="0" borderId="0" xfId="2" applyNumberFormat="1" applyFont="1" applyFill="1" applyAlignment="1">
      <alignment horizontal="center"/>
    </xf>
    <xf numFmtId="0" fontId="6" fillId="2" borderId="2" xfId="0" applyFont="1" applyFill="1" applyBorder="1"/>
    <xf numFmtId="169" fontId="4" fillId="0" borderId="0" xfId="2" applyNumberFormat="1" applyFont="1" applyFill="1" applyAlignment="1">
      <alignment horizontal="left"/>
    </xf>
    <xf numFmtId="0" fontId="16" fillId="0" borderId="0" xfId="0" applyFont="1" applyFill="1" applyBorder="1"/>
    <xf numFmtId="0" fontId="13" fillId="0" borderId="0" xfId="0" applyFont="1" applyFill="1" applyBorder="1" applyAlignment="1">
      <alignment horizontal="center"/>
    </xf>
    <xf numFmtId="40" fontId="8" fillId="0" borderId="0" xfId="0" applyNumberFormat="1" applyFont="1" applyFill="1" applyBorder="1" applyAlignment="1">
      <alignment horizontal="center"/>
    </xf>
    <xf numFmtId="38" fontId="12" fillId="0" borderId="13" xfId="0" applyNumberFormat="1" applyFont="1" applyFill="1" applyBorder="1" applyAlignment="1">
      <alignment horizontal="center"/>
    </xf>
    <xf numFmtId="0" fontId="4" fillId="0" borderId="0" xfId="0" applyNumberFormat="1" applyFont="1" applyFill="1"/>
    <xf numFmtId="0" fontId="4" fillId="0" borderId="0" xfId="0" applyNumberFormat="1" applyFont="1" applyFill="1" applyAlignment="1">
      <alignment horizontal="center"/>
    </xf>
    <xf numFmtId="0" fontId="16" fillId="0" borderId="0" xfId="0" applyFont="1" applyFill="1"/>
    <xf numFmtId="0" fontId="16" fillId="0" borderId="0" xfId="0" applyFont="1" applyFill="1" applyAlignment="1">
      <alignment horizontal="center"/>
    </xf>
    <xf numFmtId="0" fontId="13" fillId="0" borderId="32" xfId="0" applyFont="1" applyFill="1" applyBorder="1" applyAlignment="1">
      <alignment horizontal="center"/>
    </xf>
    <xf numFmtId="165" fontId="16" fillId="0" borderId="7" xfId="3" applyNumberFormat="1" applyFont="1" applyFill="1" applyBorder="1" applyAlignment="1">
      <alignment horizontal="center"/>
    </xf>
    <xf numFmtId="40" fontId="16" fillId="0" borderId="0" xfId="0" applyNumberFormat="1" applyFont="1" applyFill="1" applyAlignment="1">
      <alignment horizontal="center"/>
    </xf>
    <xf numFmtId="165" fontId="13" fillId="0" borderId="7" xfId="3" quotePrefix="1" applyNumberFormat="1" applyFont="1" applyFill="1" applyBorder="1" applyAlignment="1">
      <alignment horizontal="center"/>
    </xf>
    <xf numFmtId="0" fontId="13" fillId="0" borderId="0" xfId="0" applyFont="1" applyFill="1" applyAlignment="1">
      <alignment horizontal="center"/>
    </xf>
    <xf numFmtId="0" fontId="13" fillId="0" borderId="6" xfId="0" applyFont="1" applyFill="1" applyBorder="1"/>
    <xf numFmtId="165" fontId="13" fillId="0" borderId="7" xfId="3" applyNumberFormat="1" applyFont="1" applyFill="1" applyBorder="1" applyAlignment="1">
      <alignment horizontal="center"/>
    </xf>
    <xf numFmtId="170" fontId="16" fillId="0" borderId="0" xfId="0" applyNumberFormat="1" applyFont="1" applyFill="1" applyAlignment="1">
      <alignment horizontal="center"/>
    </xf>
    <xf numFmtId="0" fontId="17" fillId="0" borderId="6" xfId="0" applyFont="1" applyFill="1" applyBorder="1" applyAlignment="1">
      <alignment horizontal="center"/>
    </xf>
    <xf numFmtId="0" fontId="16" fillId="0" borderId="6" xfId="0" applyFont="1" applyFill="1" applyBorder="1"/>
    <xf numFmtId="38" fontId="16" fillId="0" borderId="0" xfId="0" applyNumberFormat="1" applyFont="1" applyFill="1" applyAlignment="1">
      <alignment horizontal="center"/>
    </xf>
    <xf numFmtId="0" fontId="16" fillId="0" borderId="6" xfId="0" applyFont="1" applyFill="1" applyBorder="1" applyAlignment="1">
      <alignment horizontal="left"/>
    </xf>
    <xf numFmtId="10" fontId="16" fillId="0" borderId="7" xfId="3" quotePrefix="1" applyNumberFormat="1" applyFont="1" applyFill="1" applyBorder="1" applyAlignment="1">
      <alignment horizontal="center"/>
    </xf>
    <xf numFmtId="165" fontId="16" fillId="0" borderId="25" xfId="3" applyNumberFormat="1" applyFont="1" applyFill="1" applyBorder="1"/>
    <xf numFmtId="168" fontId="13" fillId="0" borderId="0" xfId="0" applyNumberFormat="1" applyFont="1" applyFill="1" applyAlignment="1">
      <alignment horizontal="center"/>
    </xf>
    <xf numFmtId="0" fontId="13" fillId="0" borderId="0" xfId="0" quotePrefix="1" applyFont="1" applyFill="1" applyBorder="1" applyAlignment="1">
      <alignment horizontal="center"/>
    </xf>
    <xf numFmtId="38" fontId="13" fillId="0" borderId="0" xfId="0" applyNumberFormat="1" applyFont="1" applyFill="1" applyBorder="1" applyAlignment="1">
      <alignment horizontal="center"/>
    </xf>
    <xf numFmtId="0" fontId="16" fillId="0" borderId="24" xfId="0" quotePrefix="1" applyFont="1" applyFill="1" applyBorder="1" applyAlignment="1">
      <alignment horizontal="left"/>
    </xf>
    <xf numFmtId="38" fontId="5" fillId="4" borderId="11" xfId="0" applyNumberFormat="1" applyFont="1" applyFill="1" applyBorder="1" applyAlignment="1">
      <alignment horizontal="center"/>
    </xf>
    <xf numFmtId="0" fontId="6" fillId="0" borderId="12" xfId="0" applyFont="1" applyFill="1" applyBorder="1"/>
    <xf numFmtId="0" fontId="16" fillId="0" borderId="6" xfId="0" applyFont="1" applyFill="1" applyBorder="1" applyAlignment="1">
      <alignment horizontal="center"/>
    </xf>
    <xf numFmtId="164" fontId="17" fillId="3" borderId="25" xfId="2" applyFont="1" applyFill="1" applyBorder="1" applyAlignment="1">
      <alignment horizontal="center"/>
    </xf>
    <xf numFmtId="0" fontId="16" fillId="0" borderId="19" xfId="0" applyFont="1" applyFill="1" applyBorder="1" applyAlignment="1">
      <alignment horizontal="center"/>
    </xf>
    <xf numFmtId="0" fontId="16" fillId="0" borderId="12" xfId="0" applyFont="1" applyFill="1" applyBorder="1" applyAlignment="1">
      <alignment horizontal="center"/>
    </xf>
    <xf numFmtId="164" fontId="17" fillId="3" borderId="26" xfId="2" applyFont="1" applyFill="1" applyBorder="1" applyAlignment="1">
      <alignment horizontal="center"/>
    </xf>
    <xf numFmtId="38" fontId="13" fillId="0" borderId="11" xfId="0" applyNumberFormat="1" applyFont="1" applyFill="1" applyBorder="1" applyAlignment="1">
      <alignment horizontal="center"/>
    </xf>
    <xf numFmtId="38" fontId="5" fillId="3" borderId="5" xfId="0" applyNumberFormat="1" applyFont="1" applyFill="1" applyBorder="1" applyAlignment="1">
      <alignment horizontal="center"/>
    </xf>
    <xf numFmtId="0" fontId="6" fillId="0" borderId="9" xfId="0" applyFont="1" applyFill="1" applyBorder="1" applyAlignment="1">
      <alignment horizontal="center"/>
    </xf>
    <xf numFmtId="167" fontId="16" fillId="0" borderId="0" xfId="3" applyNumberFormat="1" applyFont="1" applyFill="1" applyBorder="1" applyAlignment="1">
      <alignment horizontal="center"/>
    </xf>
    <xf numFmtId="169" fontId="11" fillId="0" borderId="24" xfId="2" quotePrefix="1" applyNumberFormat="1" applyFont="1" applyFill="1" applyBorder="1" applyAlignment="1">
      <alignment horizontal="left"/>
    </xf>
    <xf numFmtId="38" fontId="13" fillId="3" borderId="11" xfId="0" applyNumberFormat="1" applyFont="1" applyFill="1" applyBorder="1" applyAlignment="1">
      <alignment horizontal="center"/>
    </xf>
    <xf numFmtId="169" fontId="11" fillId="0" borderId="22" xfId="2" quotePrefix="1" applyNumberFormat="1" applyFont="1" applyFill="1" applyBorder="1" applyAlignment="1">
      <alignment horizontal="left"/>
    </xf>
    <xf numFmtId="38" fontId="13" fillId="3" borderId="28" xfId="0" applyNumberFormat="1" applyFont="1" applyFill="1" applyBorder="1" applyAlignment="1">
      <alignment horizontal="center"/>
    </xf>
    <xf numFmtId="169" fontId="11" fillId="0" borderId="7" xfId="2" quotePrefix="1" applyNumberFormat="1" applyFont="1" applyFill="1" applyBorder="1" applyAlignment="1">
      <alignment horizontal="left"/>
    </xf>
    <xf numFmtId="38" fontId="13" fillId="3" borderId="8" xfId="0" applyNumberFormat="1" applyFont="1" applyFill="1" applyBorder="1" applyAlignment="1">
      <alignment horizontal="center"/>
    </xf>
    <xf numFmtId="169" fontId="11" fillId="0" borderId="9" xfId="2" quotePrefix="1" applyNumberFormat="1" applyFont="1" applyFill="1" applyBorder="1" applyAlignment="1">
      <alignment horizontal="left"/>
    </xf>
    <xf numFmtId="38" fontId="13" fillId="3" borderId="13" xfId="0" applyNumberFormat="1" applyFont="1" applyFill="1" applyBorder="1" applyAlignment="1">
      <alignment horizontal="center"/>
    </xf>
    <xf numFmtId="0" fontId="4" fillId="0" borderId="0" xfId="0" applyFont="1" applyFill="1" applyBorder="1"/>
    <xf numFmtId="164" fontId="19" fillId="0" borderId="0" xfId="2" applyFont="1" applyFill="1" applyAlignment="1">
      <alignment horizontal="center"/>
    </xf>
    <xf numFmtId="0" fontId="19" fillId="0" borderId="0" xfId="0" applyFont="1" applyFill="1" applyAlignment="1">
      <alignment horizontal="center"/>
    </xf>
    <xf numFmtId="169" fontId="19" fillId="0" borderId="0" xfId="2" applyNumberFormat="1" applyFont="1" applyFill="1" applyAlignment="1">
      <alignment horizontal="center"/>
    </xf>
    <xf numFmtId="38" fontId="19" fillId="0" borderId="0" xfId="0" applyNumberFormat="1" applyFont="1" applyFill="1" applyAlignment="1">
      <alignment horizontal="center"/>
    </xf>
    <xf numFmtId="38" fontId="2" fillId="0" borderId="0" xfId="0" applyNumberFormat="1" applyFont="1" applyFill="1" applyBorder="1" applyAlignment="1">
      <alignment horizontal="center"/>
    </xf>
    <xf numFmtId="40" fontId="2" fillId="0" borderId="0" xfId="0" applyNumberFormat="1" applyFont="1" applyFill="1" applyBorder="1" applyAlignment="1">
      <alignment horizontal="center"/>
    </xf>
    <xf numFmtId="40" fontId="39" fillId="3" borderId="11" xfId="0" applyNumberFormat="1" applyFont="1" applyFill="1" applyBorder="1" applyAlignment="1">
      <alignment horizontal="center"/>
    </xf>
    <xf numFmtId="40" fontId="39" fillId="3" borderId="8" xfId="0" applyNumberFormat="1" applyFont="1" applyFill="1" applyBorder="1" applyAlignment="1">
      <alignment horizontal="center"/>
    </xf>
    <xf numFmtId="40" fontId="39" fillId="3" borderId="25" xfId="0" applyNumberFormat="1" applyFont="1" applyFill="1" applyBorder="1" applyAlignment="1">
      <alignment horizontal="center"/>
    </xf>
    <xf numFmtId="40" fontId="39" fillId="3" borderId="26" xfId="0" applyNumberFormat="1" applyFont="1" applyFill="1" applyBorder="1" applyAlignment="1">
      <alignment horizontal="center"/>
    </xf>
    <xf numFmtId="38" fontId="5" fillId="3" borderId="25" xfId="0" applyNumberFormat="1" applyFont="1" applyFill="1" applyBorder="1" applyAlignment="1">
      <alignment horizontal="center"/>
    </xf>
    <xf numFmtId="169" fontId="6" fillId="0" borderId="24" xfId="2" quotePrefix="1" applyNumberFormat="1" applyFont="1" applyFill="1" applyBorder="1" applyAlignment="1">
      <alignment horizontal="left"/>
    </xf>
    <xf numFmtId="169" fontId="6" fillId="0" borderId="22" xfId="2" quotePrefix="1" applyNumberFormat="1" applyFont="1" applyFill="1" applyBorder="1" applyAlignment="1">
      <alignment horizontal="left"/>
    </xf>
    <xf numFmtId="169" fontId="6" fillId="0" borderId="7" xfId="2" quotePrefix="1" applyNumberFormat="1" applyFont="1" applyFill="1" applyBorder="1" applyAlignment="1">
      <alignment horizontal="left"/>
    </xf>
    <xf numFmtId="169" fontId="6" fillId="0" borderId="9" xfId="2" quotePrefix="1" applyNumberFormat="1" applyFont="1" applyFill="1" applyBorder="1" applyAlignment="1">
      <alignment horizontal="left"/>
    </xf>
    <xf numFmtId="9" fontId="6" fillId="0" borderId="7" xfId="0" applyNumberFormat="1" applyFont="1" applyFill="1" applyBorder="1" applyAlignment="1">
      <alignment horizontal="center"/>
    </xf>
    <xf numFmtId="9" fontId="6" fillId="0" borderId="22" xfId="0" applyNumberFormat="1" applyFont="1" applyFill="1" applyBorder="1" applyAlignment="1">
      <alignment horizontal="center"/>
    </xf>
    <xf numFmtId="165" fontId="12" fillId="0" borderId="4" xfId="3" applyNumberFormat="1" applyFont="1" applyFill="1" applyBorder="1" applyAlignment="1" applyProtection="1">
      <alignment horizontal="center"/>
      <protection locked="0"/>
    </xf>
    <xf numFmtId="0" fontId="46" fillId="0" borderId="0" xfId="0" applyFont="1" applyFill="1"/>
    <xf numFmtId="0" fontId="47" fillId="0" borderId="0" xfId="0" applyFont="1" applyFill="1"/>
    <xf numFmtId="165" fontId="47" fillId="0" borderId="0" xfId="3" applyNumberFormat="1" applyFont="1" applyFill="1" applyAlignment="1">
      <alignment horizontal="center"/>
    </xf>
    <xf numFmtId="38" fontId="46" fillId="0" borderId="0" xfId="0" applyNumberFormat="1" applyFont="1" applyFill="1" applyAlignment="1">
      <alignment horizontal="center"/>
    </xf>
    <xf numFmtId="0" fontId="47" fillId="2" borderId="0" xfId="0" applyFont="1" applyFill="1"/>
    <xf numFmtId="165" fontId="47" fillId="2" borderId="0" xfId="3" applyNumberFormat="1" applyFont="1" applyFill="1" applyAlignment="1">
      <alignment horizontal="center"/>
    </xf>
    <xf numFmtId="38" fontId="46" fillId="2" borderId="0" xfId="0" applyNumberFormat="1" applyFont="1" applyFill="1" applyAlignment="1">
      <alignment horizontal="center"/>
    </xf>
    <xf numFmtId="0" fontId="48" fillId="0" borderId="0" xfId="0" applyFont="1" applyFill="1"/>
    <xf numFmtId="164" fontId="46" fillId="0" borderId="0" xfId="2" applyFont="1" applyFill="1" applyAlignment="1">
      <alignment horizontal="center"/>
    </xf>
    <xf numFmtId="169" fontId="46" fillId="0" borderId="0" xfId="2" applyNumberFormat="1" applyFont="1" applyFill="1" applyAlignment="1">
      <alignment horizontal="center"/>
    </xf>
    <xf numFmtId="169" fontId="46" fillId="0" borderId="0" xfId="2" applyNumberFormat="1" applyFont="1" applyFill="1" applyAlignment="1">
      <alignment horizontal="left"/>
    </xf>
    <xf numFmtId="2" fontId="46" fillId="0" borderId="0" xfId="0" applyNumberFormat="1" applyFont="1" applyFill="1"/>
    <xf numFmtId="166" fontId="49" fillId="0" borderId="0" xfId="3" applyNumberFormat="1" applyFont="1" applyFill="1"/>
    <xf numFmtId="0" fontId="50" fillId="0" borderId="0" xfId="0" applyFont="1" applyFill="1" applyBorder="1"/>
    <xf numFmtId="0" fontId="51" fillId="0" borderId="0" xfId="0" applyFont="1" applyFill="1" applyBorder="1" applyAlignment="1">
      <alignment horizontal="center"/>
    </xf>
    <xf numFmtId="0" fontId="52" fillId="0" borderId="0" xfId="0" applyFont="1" applyFill="1" applyBorder="1" applyAlignment="1">
      <alignment horizontal="center"/>
    </xf>
    <xf numFmtId="165" fontId="53" fillId="0" borderId="0" xfId="3" applyNumberFormat="1" applyFont="1" applyFill="1" applyBorder="1" applyAlignment="1">
      <alignment horizontal="center"/>
    </xf>
    <xf numFmtId="38" fontId="52" fillId="0" borderId="0" xfId="0" applyNumberFormat="1" applyFont="1" applyFill="1" applyBorder="1" applyAlignment="1">
      <alignment horizontal="center"/>
    </xf>
    <xf numFmtId="165" fontId="54" fillId="0" borderId="0" xfId="1" applyNumberFormat="1" applyFont="1" applyFill="1" applyBorder="1" applyAlignment="1" applyProtection="1">
      <alignment horizontal="center"/>
    </xf>
    <xf numFmtId="40" fontId="52" fillId="0" borderId="0" xfId="0" applyNumberFormat="1" applyFont="1" applyFill="1" applyBorder="1" applyAlignment="1">
      <alignment horizontal="center"/>
    </xf>
    <xf numFmtId="0" fontId="46" fillId="0" borderId="0" xfId="0" applyFont="1" applyFill="1" applyBorder="1"/>
    <xf numFmtId="38" fontId="51" fillId="0" borderId="13" xfId="0" applyNumberFormat="1" applyFont="1" applyFill="1" applyBorder="1" applyAlignment="1">
      <alignment horizontal="center"/>
    </xf>
    <xf numFmtId="0" fontId="55" fillId="0" borderId="0" xfId="0" applyFont="1" applyFill="1" applyBorder="1" applyAlignment="1" applyProtection="1">
      <alignment horizontal="center"/>
      <protection locked="0"/>
    </xf>
    <xf numFmtId="40" fontId="46" fillId="0" borderId="0" xfId="0" applyNumberFormat="1" applyFont="1" applyFill="1"/>
    <xf numFmtId="0" fontId="50" fillId="0" borderId="0" xfId="0" applyFont="1" applyFill="1"/>
    <xf numFmtId="0" fontId="46" fillId="0" borderId="0" xfId="0" applyNumberFormat="1" applyFont="1" applyFill="1"/>
    <xf numFmtId="0" fontId="56" fillId="0" borderId="0" xfId="0" applyNumberFormat="1" applyFont="1" applyFill="1"/>
    <xf numFmtId="0" fontId="47" fillId="0" borderId="0" xfId="3" applyNumberFormat="1" applyFont="1" applyFill="1" applyAlignment="1">
      <alignment horizontal="center"/>
    </xf>
    <xf numFmtId="40" fontId="50" fillId="0" borderId="0" xfId="0" applyNumberFormat="1" applyFont="1" applyFill="1"/>
    <xf numFmtId="0" fontId="51" fillId="0" borderId="32" xfId="0" applyFont="1" applyFill="1" applyBorder="1" applyAlignment="1">
      <alignment horizontal="center"/>
    </xf>
    <xf numFmtId="38" fontId="51" fillId="0" borderId="5" xfId="0" applyNumberFormat="1" applyFont="1" applyFill="1" applyBorder="1" applyAlignment="1">
      <alignment horizontal="center"/>
    </xf>
    <xf numFmtId="0" fontId="57" fillId="0" borderId="6" xfId="0" quotePrefix="1" applyFont="1" applyFill="1" applyBorder="1" applyAlignment="1">
      <alignment horizontal="left"/>
    </xf>
    <xf numFmtId="0" fontId="58" fillId="0" borderId="7" xfId="0" quotePrefix="1" applyFont="1" applyFill="1" applyBorder="1" applyAlignment="1">
      <alignment horizontal="left"/>
    </xf>
    <xf numFmtId="165" fontId="57" fillId="0" borderId="7" xfId="3" quotePrefix="1" applyNumberFormat="1" applyFont="1" applyFill="1" applyBorder="1" applyAlignment="1">
      <alignment horizontal="center"/>
    </xf>
    <xf numFmtId="38" fontId="50" fillId="0" borderId="8" xfId="0" applyNumberFormat="1" applyFont="1" applyFill="1" applyBorder="1" applyAlignment="1">
      <alignment horizontal="center"/>
    </xf>
    <xf numFmtId="0" fontId="50" fillId="0" borderId="6" xfId="0" applyFont="1" applyFill="1" applyBorder="1"/>
    <xf numFmtId="0" fontId="56" fillId="0" borderId="7" xfId="0" applyFont="1" applyFill="1" applyBorder="1"/>
    <xf numFmtId="165" fontId="50" fillId="0" borderId="7" xfId="3" applyNumberFormat="1" applyFont="1" applyFill="1" applyBorder="1" applyAlignment="1">
      <alignment horizontal="center"/>
    </xf>
    <xf numFmtId="38" fontId="51" fillId="0" borderId="8" xfId="0" applyNumberFormat="1" applyFont="1" applyFill="1" applyBorder="1" applyAlignment="1">
      <alignment horizontal="center"/>
    </xf>
    <xf numFmtId="164" fontId="50" fillId="0" borderId="0" xfId="2" applyNumberFormat="1" applyFont="1" applyFill="1"/>
    <xf numFmtId="0" fontId="55" fillId="0" borderId="7" xfId="0" quotePrefix="1" applyFont="1" applyFill="1" applyBorder="1" applyAlignment="1">
      <alignment horizontal="right"/>
    </xf>
    <xf numFmtId="165" fontId="51" fillId="0" borderId="7" xfId="3" quotePrefix="1" applyNumberFormat="1" applyFont="1" applyFill="1" applyBorder="1" applyAlignment="1">
      <alignment horizontal="center"/>
    </xf>
    <xf numFmtId="0" fontId="51" fillId="0" borderId="6" xfId="0" applyFont="1" applyFill="1" applyBorder="1"/>
    <xf numFmtId="0" fontId="55" fillId="0" borderId="7" xfId="0" applyFont="1" applyFill="1" applyBorder="1"/>
    <xf numFmtId="165" fontId="51" fillId="0" borderId="7" xfId="3" applyNumberFormat="1" applyFont="1" applyFill="1" applyBorder="1" applyAlignment="1">
      <alignment horizontal="center"/>
    </xf>
    <xf numFmtId="0" fontId="59" fillId="0" borderId="6" xfId="0" quotePrefix="1" applyFont="1" applyFill="1" applyBorder="1" applyAlignment="1">
      <alignment horizontal="left"/>
    </xf>
    <xf numFmtId="0" fontId="56" fillId="0" borderId="7" xfId="0" applyFont="1" applyFill="1" applyBorder="1" applyAlignment="1">
      <alignment horizontal="left"/>
    </xf>
    <xf numFmtId="0" fontId="55" fillId="0" borderId="7" xfId="0" applyFont="1" applyFill="1" applyBorder="1" applyAlignment="1">
      <alignment horizontal="right"/>
    </xf>
    <xf numFmtId="0" fontId="50" fillId="0" borderId="6" xfId="0" applyFont="1" applyFill="1" applyBorder="1" applyAlignment="1">
      <alignment horizontal="left"/>
    </xf>
    <xf numFmtId="0" fontId="56" fillId="0" borderId="0" xfId="0" applyFont="1" applyFill="1" applyBorder="1" applyAlignment="1">
      <alignment horizontal="left"/>
    </xf>
    <xf numFmtId="38" fontId="50" fillId="0" borderId="0" xfId="0" applyNumberFormat="1" applyFont="1" applyFill="1"/>
    <xf numFmtId="40" fontId="51" fillId="0" borderId="0" xfId="0" applyNumberFormat="1" applyFont="1" applyFill="1" applyBorder="1" applyAlignment="1">
      <alignment horizontal="center"/>
    </xf>
    <xf numFmtId="165" fontId="50" fillId="0" borderId="25" xfId="3" applyNumberFormat="1" applyFont="1" applyFill="1" applyBorder="1"/>
    <xf numFmtId="0" fontId="51" fillId="0" borderId="0" xfId="0" quotePrefix="1" applyFont="1" applyFill="1" applyBorder="1" applyAlignment="1">
      <alignment horizontal="center"/>
    </xf>
    <xf numFmtId="0" fontId="56" fillId="0" borderId="0" xfId="0" quotePrefix="1" applyFont="1" applyFill="1" applyBorder="1" applyAlignment="1">
      <alignment horizontal="left"/>
    </xf>
    <xf numFmtId="165" fontId="56" fillId="0" borderId="0" xfId="3" quotePrefix="1" applyNumberFormat="1" applyFont="1" applyFill="1" applyBorder="1" applyAlignment="1">
      <alignment horizontal="center"/>
    </xf>
    <xf numFmtId="38" fontId="51" fillId="0" borderId="0" xfId="0" applyNumberFormat="1" applyFont="1" applyFill="1" applyBorder="1" applyAlignment="1">
      <alignment horizontal="center"/>
    </xf>
    <xf numFmtId="0" fontId="56" fillId="0" borderId="0" xfId="0" applyFont="1" applyFill="1" applyBorder="1"/>
    <xf numFmtId="165" fontId="56" fillId="0" borderId="0" xfId="3" applyNumberFormat="1" applyFont="1" applyFill="1" applyBorder="1" applyAlignment="1">
      <alignment horizontal="center"/>
    </xf>
    <xf numFmtId="2" fontId="50" fillId="0" borderId="0" xfId="0" applyNumberFormat="1" applyFont="1" applyFill="1"/>
    <xf numFmtId="167" fontId="50" fillId="0" borderId="0" xfId="3" applyNumberFormat="1" applyFont="1" applyFill="1" applyBorder="1" applyAlignment="1">
      <alignment horizontal="center"/>
    </xf>
    <xf numFmtId="0" fontId="56" fillId="0" borderId="0" xfId="0" applyFont="1" applyFill="1"/>
    <xf numFmtId="0" fontId="60" fillId="0" borderId="0" xfId="0" applyFont="1" applyFill="1" applyBorder="1"/>
    <xf numFmtId="165" fontId="60" fillId="0" borderId="0" xfId="3" applyNumberFormat="1" applyFont="1" applyFill="1" applyBorder="1" applyAlignment="1">
      <alignment horizontal="center"/>
    </xf>
    <xf numFmtId="165" fontId="61" fillId="0" borderId="0" xfId="3" applyNumberFormat="1" applyFont="1" applyFill="1" applyAlignment="1">
      <alignment horizontal="center"/>
    </xf>
    <xf numFmtId="38" fontId="49" fillId="0" borderId="0" xfId="0" applyNumberFormat="1" applyFont="1" applyFill="1" applyAlignment="1">
      <alignment horizontal="center"/>
    </xf>
    <xf numFmtId="38" fontId="5" fillId="0" borderId="11" xfId="0" applyNumberFormat="1" applyFont="1" applyFill="1" applyBorder="1" applyAlignment="1">
      <alignment horizontal="center"/>
    </xf>
    <xf numFmtId="165" fontId="5" fillId="0" borderId="4" xfId="3" applyNumberFormat="1" applyFont="1" applyFill="1" applyBorder="1" applyAlignment="1" applyProtection="1">
      <alignment horizontal="center"/>
      <protection locked="0"/>
    </xf>
    <xf numFmtId="10" fontId="6" fillId="0" borderId="7" xfId="3" quotePrefix="1" applyNumberFormat="1" applyFont="1" applyFill="1" applyBorder="1" applyAlignment="1">
      <alignment horizontal="center"/>
    </xf>
    <xf numFmtId="0" fontId="6" fillId="0" borderId="24" xfId="0" quotePrefix="1" applyFont="1" applyFill="1" applyBorder="1" applyAlignment="1">
      <alignment horizontal="left"/>
    </xf>
    <xf numFmtId="165" fontId="11" fillId="0" borderId="24" xfId="3" quotePrefix="1" applyNumberFormat="1" applyFont="1" applyFill="1" applyBorder="1" applyAlignment="1">
      <alignment horizontal="center"/>
    </xf>
    <xf numFmtId="165" fontId="11" fillId="0" borderId="7" xfId="3" applyNumberFormat="1" applyFont="1" applyFill="1" applyBorder="1" applyAlignment="1">
      <alignment horizontal="center"/>
    </xf>
    <xf numFmtId="165" fontId="11" fillId="0" borderId="9" xfId="3" applyNumberFormat="1" applyFont="1" applyFill="1" applyBorder="1" applyAlignment="1">
      <alignment horizontal="center"/>
    </xf>
    <xf numFmtId="164" fontId="11" fillId="3" borderId="33" xfId="2" applyFont="1" applyFill="1" applyBorder="1" applyAlignment="1">
      <alignment horizontal="center"/>
    </xf>
    <xf numFmtId="169" fontId="2" fillId="0" borderId="0" xfId="2" applyNumberFormat="1" applyFont="1" applyFill="1" applyAlignment="1">
      <alignment horizontal="center"/>
    </xf>
    <xf numFmtId="169" fontId="51" fillId="0" borderId="0" xfId="2" applyNumberFormat="1" applyFont="1" applyFill="1" applyAlignment="1">
      <alignment horizontal="center"/>
    </xf>
    <xf numFmtId="169" fontId="5" fillId="2" borderId="16" xfId="2" applyNumberFormat="1" applyFont="1" applyFill="1" applyBorder="1" applyAlignment="1">
      <alignment horizontal="center"/>
    </xf>
    <xf numFmtId="169" fontId="11" fillId="3" borderId="10" xfId="2" applyNumberFormat="1" applyFont="1" applyFill="1" applyBorder="1" applyAlignment="1">
      <alignment horizontal="center"/>
    </xf>
    <xf numFmtId="169" fontId="50" fillId="0" borderId="6" xfId="2" applyNumberFormat="1" applyFont="1" applyFill="1" applyBorder="1" applyAlignment="1">
      <alignment horizontal="center"/>
    </xf>
    <xf numFmtId="169" fontId="50" fillId="0" borderId="19" xfId="2" applyNumberFormat="1" applyFont="1" applyFill="1" applyBorder="1" applyAlignment="1">
      <alignment horizontal="center"/>
    </xf>
    <xf numFmtId="169" fontId="6" fillId="0" borderId="6" xfId="2" applyNumberFormat="1" applyFont="1" applyFill="1" applyBorder="1" applyAlignment="1">
      <alignment horizontal="center"/>
    </xf>
    <xf numFmtId="169" fontId="6" fillId="0" borderId="12" xfId="2" applyNumberFormat="1" applyFont="1" applyFill="1" applyBorder="1" applyAlignment="1">
      <alignment horizontal="center"/>
    </xf>
    <xf numFmtId="38" fontId="5" fillId="2" borderId="34" xfId="0" applyNumberFormat="1" applyFont="1" applyFill="1" applyBorder="1" applyAlignment="1">
      <alignment horizontal="center" wrapText="1"/>
    </xf>
    <xf numFmtId="169" fontId="46" fillId="0" borderId="35" xfId="2" applyNumberFormat="1" applyFont="1" applyFill="1" applyBorder="1" applyAlignment="1">
      <alignment horizontal="center"/>
    </xf>
    <xf numFmtId="169" fontId="18" fillId="6" borderId="36" xfId="2" applyNumberFormat="1" applyFont="1" applyFill="1" applyBorder="1" applyAlignment="1">
      <alignment horizontal="center" wrapText="1"/>
    </xf>
    <xf numFmtId="0" fontId="62" fillId="0" borderId="6" xfId="0" applyFont="1" applyFill="1" applyBorder="1" applyAlignment="1">
      <alignment horizontal="left"/>
    </xf>
    <xf numFmtId="165" fontId="27" fillId="0" borderId="0" xfId="3" applyNumberFormat="1" applyFont="1" applyFill="1" applyBorder="1" applyAlignment="1" applyProtection="1">
      <alignment horizontal="center"/>
      <protection locked="0"/>
    </xf>
    <xf numFmtId="165" fontId="17" fillId="0" borderId="0" xfId="3" applyNumberFormat="1"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40" fontId="45" fillId="2" borderId="27" xfId="0" applyNumberFormat="1" applyFont="1" applyFill="1" applyBorder="1" applyAlignment="1">
      <alignment horizontal="center" wrapText="1"/>
    </xf>
    <xf numFmtId="38" fontId="5" fillId="4" borderId="37" xfId="0" applyNumberFormat="1" applyFont="1" applyFill="1" applyBorder="1" applyAlignment="1">
      <alignment horizontal="center"/>
    </xf>
    <xf numFmtId="38" fontId="5" fillId="3" borderId="38" xfId="0" applyNumberFormat="1" applyFont="1" applyFill="1" applyBorder="1" applyAlignment="1">
      <alignment horizontal="center"/>
    </xf>
    <xf numFmtId="38" fontId="5" fillId="3" borderId="39" xfId="0" applyNumberFormat="1" applyFont="1" applyFill="1" applyBorder="1" applyAlignment="1">
      <alignment horizontal="center"/>
    </xf>
    <xf numFmtId="40" fontId="6" fillId="0" borderId="40" xfId="0" applyNumberFormat="1" applyFont="1" applyFill="1" applyBorder="1" applyAlignment="1">
      <alignment horizontal="center"/>
    </xf>
    <xf numFmtId="40" fontId="6" fillId="0" borderId="41" xfId="0" applyNumberFormat="1" applyFont="1" applyFill="1" applyBorder="1" applyAlignment="1">
      <alignment horizontal="center"/>
    </xf>
    <xf numFmtId="38" fontId="6" fillId="0" borderId="40" xfId="0" applyNumberFormat="1" applyFont="1" applyFill="1" applyBorder="1" applyAlignment="1">
      <alignment horizontal="center"/>
    </xf>
    <xf numFmtId="40" fontId="5" fillId="7" borderId="42" xfId="0" applyNumberFormat="1" applyFont="1" applyFill="1" applyBorder="1" applyAlignment="1">
      <alignment horizontal="center"/>
    </xf>
    <xf numFmtId="0" fontId="19" fillId="0" borderId="0" xfId="0" applyFont="1" applyFill="1"/>
    <xf numFmtId="0" fontId="46" fillId="0" borderId="0" xfId="0" applyFont="1" applyFill="1" applyAlignment="1">
      <alignment horizontal="center"/>
    </xf>
    <xf numFmtId="165" fontId="63" fillId="0" borderId="0" xfId="3" applyNumberFormat="1" applyFont="1" applyFill="1" applyBorder="1" applyAlignment="1" applyProtection="1">
      <alignment horizontal="center"/>
      <protection locked="0"/>
    </xf>
    <xf numFmtId="165" fontId="55" fillId="0" borderId="0" xfId="3" applyNumberFormat="1" applyFont="1" applyFill="1" applyBorder="1" applyAlignment="1" applyProtection="1">
      <alignment horizontal="center"/>
      <protection locked="0"/>
    </xf>
    <xf numFmtId="38" fontId="5" fillId="0" borderId="13" xfId="0" applyNumberFormat="1" applyFont="1" applyFill="1" applyBorder="1" applyAlignment="1">
      <alignment horizontal="center"/>
    </xf>
    <xf numFmtId="0" fontId="46" fillId="0" borderId="0" xfId="0" applyNumberFormat="1" applyFont="1" applyFill="1" applyAlignment="1">
      <alignment horizontal="center"/>
    </xf>
    <xf numFmtId="0" fontId="50" fillId="0" borderId="0" xfId="0" applyFont="1" applyFill="1" applyAlignment="1">
      <alignment horizontal="center"/>
    </xf>
    <xf numFmtId="40" fontId="50" fillId="0" borderId="0" xfId="0" applyNumberFormat="1" applyFont="1" applyFill="1" applyAlignment="1">
      <alignment horizontal="center"/>
    </xf>
    <xf numFmtId="0" fontId="51" fillId="0" borderId="0" xfId="0" applyFont="1" applyFill="1" applyAlignment="1">
      <alignment horizontal="center"/>
    </xf>
    <xf numFmtId="170" fontId="50" fillId="0" borderId="0" xfId="0" applyNumberFormat="1" applyFont="1" applyFill="1" applyAlignment="1">
      <alignment horizontal="center"/>
    </xf>
    <xf numFmtId="38" fontId="50" fillId="0" borderId="0" xfId="0" applyNumberFormat="1" applyFont="1" applyFill="1" applyAlignment="1">
      <alignment horizontal="center"/>
    </xf>
    <xf numFmtId="168" fontId="51" fillId="0" borderId="0" xfId="0" applyNumberFormat="1" applyFont="1" applyFill="1" applyAlignment="1">
      <alignment horizontal="center"/>
    </xf>
    <xf numFmtId="0" fontId="11" fillId="3" borderId="10" xfId="0" applyFont="1" applyFill="1" applyBorder="1" applyAlignment="1">
      <alignment horizontal="center"/>
    </xf>
    <xf numFmtId="0" fontId="50" fillId="0" borderId="6" xfId="0" applyFont="1" applyFill="1" applyBorder="1" applyAlignment="1">
      <alignment horizontal="center"/>
    </xf>
    <xf numFmtId="0" fontId="50" fillId="0" borderId="19" xfId="0" applyFont="1" applyFill="1" applyBorder="1" applyAlignment="1">
      <alignment horizontal="center"/>
    </xf>
    <xf numFmtId="0" fontId="6" fillId="0" borderId="6" xfId="0" applyFont="1" applyFill="1" applyBorder="1" applyAlignment="1">
      <alignment horizontal="center"/>
    </xf>
    <xf numFmtId="0" fontId="6" fillId="0" borderId="12" xfId="0" applyFont="1" applyFill="1" applyBorder="1" applyAlignment="1">
      <alignment horizontal="center"/>
    </xf>
    <xf numFmtId="38" fontId="5" fillId="0" borderId="8" xfId="0" applyNumberFormat="1" applyFont="1" applyFill="1" applyBorder="1" applyAlignment="1">
      <alignment horizontal="center"/>
    </xf>
    <xf numFmtId="164" fontId="46" fillId="0" borderId="0" xfId="2" applyNumberFormat="1" applyFont="1" applyFill="1" applyAlignment="1">
      <alignment horizontal="center"/>
    </xf>
    <xf numFmtId="164" fontId="52" fillId="0" borderId="0" xfId="2" applyNumberFormat="1" applyFont="1" applyFill="1" applyBorder="1" applyAlignment="1">
      <alignment horizontal="center"/>
    </xf>
    <xf numFmtId="0" fontId="64" fillId="8" borderId="27" xfId="0" applyFont="1" applyFill="1" applyBorder="1" applyAlignment="1">
      <alignment horizontal="center"/>
    </xf>
    <xf numFmtId="171" fontId="46" fillId="0" borderId="0" xfId="2" applyNumberFormat="1" applyFont="1" applyFill="1" applyAlignment="1">
      <alignment horizontal="center"/>
    </xf>
    <xf numFmtId="0" fontId="6" fillId="9" borderId="1" xfId="0" applyFont="1" applyFill="1" applyBorder="1" applyAlignment="1">
      <alignment horizontal="left"/>
    </xf>
    <xf numFmtId="0" fontId="6" fillId="9" borderId="2" xfId="0" applyFont="1" applyFill="1" applyBorder="1"/>
    <xf numFmtId="38" fontId="5" fillId="0" borderId="11" xfId="0" applyNumberFormat="1" applyFont="1" applyFill="1" applyBorder="1" applyAlignment="1" applyProtection="1">
      <alignment horizontal="center"/>
      <protection locked="0"/>
    </xf>
    <xf numFmtId="38" fontId="51" fillId="0" borderId="13" xfId="0" applyNumberFormat="1" applyFont="1" applyFill="1" applyBorder="1" applyAlignment="1" applyProtection="1">
      <alignment horizontal="center"/>
      <protection locked="0"/>
    </xf>
    <xf numFmtId="38" fontId="12" fillId="0" borderId="31" xfId="0" applyNumberFormat="1" applyFont="1" applyFill="1" applyBorder="1" applyAlignment="1" applyProtection="1">
      <alignment horizontal="center"/>
      <protection locked="0"/>
    </xf>
    <xf numFmtId="0" fontId="46" fillId="0" borderId="0" xfId="0" applyFont="1" applyFill="1" applyProtection="1">
      <protection locked="0"/>
    </xf>
    <xf numFmtId="164" fontId="46" fillId="0" borderId="0" xfId="2" applyFont="1" applyFill="1" applyAlignment="1" applyProtection="1">
      <alignment horizontal="center"/>
      <protection locked="0"/>
    </xf>
    <xf numFmtId="2" fontId="4" fillId="0" borderId="0" xfId="3" applyNumberFormat="1" applyFont="1" applyFill="1" applyAlignment="1">
      <alignment horizontal="center"/>
    </xf>
    <xf numFmtId="2" fontId="17" fillId="3" borderId="25" xfId="0" applyNumberFormat="1" applyFont="1" applyFill="1" applyBorder="1" applyAlignment="1">
      <alignment horizontal="center"/>
    </xf>
    <xf numFmtId="2" fontId="17" fillId="3" borderId="26" xfId="0" applyNumberFormat="1" applyFont="1" applyFill="1" applyBorder="1" applyAlignment="1">
      <alignment horizontal="center"/>
    </xf>
    <xf numFmtId="0" fontId="11" fillId="0" borderId="24" xfId="0" quotePrefix="1" applyFont="1" applyFill="1" applyBorder="1" applyAlignment="1">
      <alignment horizontal="center"/>
    </xf>
    <xf numFmtId="0" fontId="11" fillId="0" borderId="22" xfId="0" quotePrefix="1" applyFont="1" applyFill="1" applyBorder="1" applyAlignment="1">
      <alignment horizontal="center"/>
    </xf>
    <xf numFmtId="0" fontId="11" fillId="0" borderId="7" xfId="0" quotePrefix="1" applyFont="1" applyFill="1" applyBorder="1" applyAlignment="1">
      <alignment horizontal="center"/>
    </xf>
    <xf numFmtId="0" fontId="11" fillId="0" borderId="9" xfId="0" quotePrefix="1" applyFont="1" applyFill="1" applyBorder="1" applyAlignment="1">
      <alignment horizontal="center"/>
    </xf>
    <xf numFmtId="164" fontId="65" fillId="0" borderId="0" xfId="2" applyFont="1" applyFill="1" applyAlignment="1">
      <alignment horizontal="center"/>
    </xf>
    <xf numFmtId="41" fontId="50" fillId="0" borderId="0" xfId="4" applyFont="1" applyFill="1"/>
    <xf numFmtId="41" fontId="46" fillId="0" borderId="0" xfId="4" applyFont="1" applyFill="1"/>
  </cellXfs>
  <cellStyles count="5">
    <cellStyle name="Hipervínculo" xfId="1" builtinId="8"/>
    <cellStyle name="Millares" xfId="2" builtinId="3"/>
    <cellStyle name="Millares [0]" xfId="4" builtinId="6"/>
    <cellStyle name="Normal" xfId="0" builtinId="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39586</xdr:colOff>
      <xdr:row>23</xdr:row>
      <xdr:rowOff>138174</xdr:rowOff>
    </xdr:from>
    <xdr:to>
      <xdr:col>8</xdr:col>
      <xdr:colOff>372020</xdr:colOff>
      <xdr:row>46</xdr:row>
      <xdr:rowOff>179596</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rot="16200000">
          <a:off x="11221392" y="7130068"/>
          <a:ext cx="4715022" cy="332434"/>
        </a:xfrm>
        <a:prstGeom prst="roundRect">
          <a:avLst>
            <a:gd name="adj" fmla="val 16667"/>
          </a:avLst>
        </a:prstGeom>
        <a:solidFill>
          <a:srgbClr val="FFFF99"/>
        </a:solidFill>
        <a:ln w="9525">
          <a:noFill/>
          <a:round/>
          <a:headEnd/>
          <a:tailEnd/>
        </a:ln>
        <a:effectLst>
          <a:outerShdw dist="35921" dir="2700000" algn="ctr" rotWithShape="0">
            <a:srgbClr val="FFCC99"/>
          </a:outerShdw>
        </a:effectLst>
      </xdr:spPr>
      <xdr:txBody>
        <a:bodyPr vertOverflow="clip" wrap="square" lIns="27432" tIns="22860" rIns="0" bIns="0" anchor="t" upright="1"/>
        <a:lstStyle/>
        <a:p>
          <a:pPr algn="l" rtl="1">
            <a:defRPr sz="1000"/>
          </a:pPr>
          <a:endParaRPr lang="es-ES" sz="1000" b="0"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C</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R</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G</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T</a:t>
          </a:r>
        </a:p>
        <a:p>
          <a:pPr algn="l" rtl="1">
            <a:defRPr sz="1000"/>
          </a:pPr>
          <a:r>
            <a:rPr lang="es-ES" sz="1000" b="1" i="0" strike="noStrike">
              <a:solidFill>
                <a:srgbClr val="000000"/>
              </a:solidFill>
              <a:latin typeface="Arial"/>
              <a:cs typeface="Arial"/>
            </a:rPr>
            <a:t>O</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D</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M</a:t>
          </a:r>
        </a:p>
        <a:p>
          <a:pPr algn="l" rtl="1">
            <a:defRPr sz="1000"/>
          </a:pPr>
          <a:r>
            <a:rPr lang="es-ES" sz="1000" b="1" i="0" strike="noStrike">
              <a:solidFill>
                <a:srgbClr val="000000"/>
              </a:solidFill>
              <a:latin typeface="Arial"/>
              <a:cs typeface="Arial"/>
            </a:rPr>
            <a:t>O</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R</a:t>
          </a:r>
        </a:p>
        <a:p>
          <a:pPr algn="l" rtl="1">
            <a:defRPr sz="1000"/>
          </a:pPr>
          <a:r>
            <a:rPr lang="es-ES" sz="1000" b="1" i="0" strike="noStrike">
              <a:solidFill>
                <a:srgbClr val="000000"/>
              </a:solidFill>
              <a:latin typeface="Arial"/>
              <a:cs typeface="Arial"/>
            </a:rPr>
            <a:t>A</a:t>
          </a:r>
        </a:p>
        <a:p>
          <a:pPr algn="l" rtl="1">
            <a:defRPr sz="1000"/>
          </a:pPr>
          <a:endParaRPr lang="es-ES" sz="10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318135</xdr:colOff>
      <xdr:row>20</xdr:row>
      <xdr:rowOff>200025</xdr:rowOff>
    </xdr:from>
    <xdr:to>
      <xdr:col>5</xdr:col>
      <xdr:colOff>690064</xdr:colOff>
      <xdr:row>44</xdr:row>
      <xdr:rowOff>49539</xdr:rowOff>
    </xdr:to>
    <xdr:sp macro="" textlink="">
      <xdr:nvSpPr>
        <xdr:cNvPr id="1025" name="AutoShape 1">
          <a:extLst>
            <a:ext uri="{FF2B5EF4-FFF2-40B4-BE49-F238E27FC236}">
              <a16:creationId xmlns:a16="http://schemas.microsoft.com/office/drawing/2014/main" id="{00000000-0008-0000-0900-000001040000}"/>
            </a:ext>
          </a:extLst>
        </xdr:cNvPr>
        <xdr:cNvSpPr>
          <a:spLocks noChangeArrowheads="1"/>
        </xdr:cNvSpPr>
      </xdr:nvSpPr>
      <xdr:spPr bwMode="auto">
        <a:xfrm rot="16200000">
          <a:off x="6772275" y="6858000"/>
          <a:ext cx="5553075" cy="352425"/>
        </a:xfrm>
        <a:prstGeom prst="roundRect">
          <a:avLst>
            <a:gd name="adj" fmla="val 16667"/>
          </a:avLst>
        </a:prstGeom>
        <a:solidFill>
          <a:srgbClr val="FFFF99"/>
        </a:solidFill>
        <a:ln w="9525">
          <a:noFill/>
          <a:round/>
          <a:headEnd/>
          <a:tailEnd/>
        </a:ln>
        <a:effectLst>
          <a:outerShdw dist="35921" dir="2700000" algn="ctr" rotWithShape="0">
            <a:srgbClr val="FFCC99"/>
          </a:outerShdw>
        </a:effectLst>
      </xdr:spPr>
      <xdr:txBody>
        <a:bodyPr vertOverflow="clip" wrap="square" lIns="27432" tIns="22860" rIns="0" bIns="0" anchor="t" upright="1"/>
        <a:lstStyle/>
        <a:p>
          <a:pPr algn="l" rtl="1">
            <a:defRPr sz="1000"/>
          </a:pPr>
          <a:endParaRPr lang="es-ES" sz="1000" b="0" i="0" strike="noStrike">
            <a:solidFill>
              <a:srgbClr val="000000"/>
            </a:solidFill>
            <a:latin typeface="Arial"/>
            <a:cs typeface="Arial"/>
          </a:endParaRPr>
        </a:p>
        <a:p>
          <a:pPr algn="l" rtl="1">
            <a:defRPr sz="1000"/>
          </a:pPr>
          <a:endParaRPr lang="es-ES" sz="1000" b="0"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C</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R</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G</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T</a:t>
          </a:r>
        </a:p>
        <a:p>
          <a:pPr algn="l" rtl="1">
            <a:defRPr sz="1000"/>
          </a:pPr>
          <a:r>
            <a:rPr lang="es-ES" sz="1000" b="1" i="0" strike="noStrike">
              <a:solidFill>
                <a:srgbClr val="000000"/>
              </a:solidFill>
              <a:latin typeface="Arial"/>
              <a:cs typeface="Arial"/>
            </a:rPr>
            <a:t>O</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D</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M</a:t>
          </a:r>
        </a:p>
        <a:p>
          <a:pPr algn="l" rtl="1">
            <a:defRPr sz="1000"/>
          </a:pPr>
          <a:r>
            <a:rPr lang="es-ES" sz="1000" b="1" i="0" strike="noStrike">
              <a:solidFill>
                <a:srgbClr val="000000"/>
              </a:solidFill>
              <a:latin typeface="Arial"/>
              <a:cs typeface="Arial"/>
            </a:rPr>
            <a:t>O</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R</a:t>
          </a:r>
        </a:p>
        <a:p>
          <a:pPr algn="l" rtl="1">
            <a:defRPr sz="1000"/>
          </a:pPr>
          <a:r>
            <a:rPr lang="es-ES" sz="1000" b="1" i="0" strike="noStrike">
              <a:solidFill>
                <a:srgbClr val="000000"/>
              </a:solidFill>
              <a:latin typeface="Arial"/>
              <a:cs typeface="Arial"/>
            </a:rPr>
            <a:t>A</a:t>
          </a:r>
        </a:p>
        <a:p>
          <a:pPr algn="l" rtl="1">
            <a:defRPr sz="1000"/>
          </a:pPr>
          <a:endParaRPr lang="es-ES" sz="1000" b="1" i="0" strike="noStrike">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333375</xdr:colOff>
      <xdr:row>20</xdr:row>
      <xdr:rowOff>226695</xdr:rowOff>
    </xdr:from>
    <xdr:to>
      <xdr:col>6</xdr:col>
      <xdr:colOff>4729</xdr:colOff>
      <xdr:row>44</xdr:row>
      <xdr:rowOff>47641</xdr:rowOff>
    </xdr:to>
    <xdr:sp macro="" textlink="">
      <xdr:nvSpPr>
        <xdr:cNvPr id="1025" name="AutoShape 1">
          <a:extLst>
            <a:ext uri="{FF2B5EF4-FFF2-40B4-BE49-F238E27FC236}">
              <a16:creationId xmlns:a16="http://schemas.microsoft.com/office/drawing/2014/main" id="{00000000-0008-0000-0A00-000001040000}"/>
            </a:ext>
          </a:extLst>
        </xdr:cNvPr>
        <xdr:cNvSpPr>
          <a:spLocks noChangeArrowheads="1"/>
        </xdr:cNvSpPr>
      </xdr:nvSpPr>
      <xdr:spPr bwMode="auto">
        <a:xfrm rot="16200000">
          <a:off x="6772275" y="6858000"/>
          <a:ext cx="5553075" cy="352425"/>
        </a:xfrm>
        <a:prstGeom prst="roundRect">
          <a:avLst>
            <a:gd name="adj" fmla="val 16667"/>
          </a:avLst>
        </a:prstGeom>
        <a:solidFill>
          <a:srgbClr val="FFFF99"/>
        </a:solidFill>
        <a:ln w="9525">
          <a:noFill/>
          <a:round/>
          <a:headEnd/>
          <a:tailEnd/>
        </a:ln>
        <a:effectLst>
          <a:outerShdw dist="35921" dir="2700000" algn="ctr" rotWithShape="0">
            <a:srgbClr val="FFCC99"/>
          </a:outerShdw>
        </a:effectLst>
      </xdr:spPr>
      <xdr:txBody>
        <a:bodyPr vertOverflow="clip" wrap="square" lIns="27432" tIns="22860" rIns="0" bIns="0" anchor="t" upright="1"/>
        <a:lstStyle/>
        <a:p>
          <a:pPr algn="l" rtl="1">
            <a:defRPr sz="1000"/>
          </a:pPr>
          <a:endParaRPr lang="es-ES" sz="1000" b="0" i="0" strike="noStrike">
            <a:solidFill>
              <a:srgbClr val="000000"/>
            </a:solidFill>
            <a:latin typeface="Arial"/>
            <a:cs typeface="Arial"/>
          </a:endParaRPr>
        </a:p>
        <a:p>
          <a:pPr algn="l" rtl="1">
            <a:defRPr sz="1000"/>
          </a:pPr>
          <a:endParaRPr lang="es-ES" sz="1000" b="0"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C</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R</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G</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T</a:t>
          </a:r>
        </a:p>
        <a:p>
          <a:pPr algn="l" rtl="1">
            <a:defRPr sz="1000"/>
          </a:pPr>
          <a:r>
            <a:rPr lang="es-ES" sz="1000" b="1" i="0" strike="noStrike">
              <a:solidFill>
                <a:srgbClr val="000000"/>
              </a:solidFill>
              <a:latin typeface="Arial"/>
              <a:cs typeface="Arial"/>
            </a:rPr>
            <a:t>O</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D</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M</a:t>
          </a:r>
        </a:p>
        <a:p>
          <a:pPr algn="l" rtl="1">
            <a:defRPr sz="1000"/>
          </a:pPr>
          <a:r>
            <a:rPr lang="es-ES" sz="1000" b="1" i="0" strike="noStrike">
              <a:solidFill>
                <a:srgbClr val="000000"/>
              </a:solidFill>
              <a:latin typeface="Arial"/>
              <a:cs typeface="Arial"/>
            </a:rPr>
            <a:t>O</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R</a:t>
          </a:r>
        </a:p>
        <a:p>
          <a:pPr algn="l" rtl="1">
            <a:defRPr sz="1000"/>
          </a:pPr>
          <a:r>
            <a:rPr lang="es-ES" sz="1000" b="1" i="0" strike="noStrike">
              <a:solidFill>
                <a:srgbClr val="000000"/>
              </a:solidFill>
              <a:latin typeface="Arial"/>
              <a:cs typeface="Arial"/>
            </a:rPr>
            <a:t>A</a:t>
          </a:r>
        </a:p>
        <a:p>
          <a:pPr algn="l" rtl="1">
            <a:defRPr sz="1000"/>
          </a:pPr>
          <a:endParaRPr lang="es-ES" sz="1000" b="1"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39586</xdr:colOff>
      <xdr:row>23</xdr:row>
      <xdr:rowOff>138174</xdr:rowOff>
    </xdr:from>
    <xdr:to>
      <xdr:col>8</xdr:col>
      <xdr:colOff>372020</xdr:colOff>
      <xdr:row>46</xdr:row>
      <xdr:rowOff>179596</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16200000">
          <a:off x="11191759" y="7202163"/>
          <a:ext cx="4762230" cy="332434"/>
        </a:xfrm>
        <a:prstGeom prst="roundRect">
          <a:avLst>
            <a:gd name="adj" fmla="val 16667"/>
          </a:avLst>
        </a:prstGeom>
        <a:solidFill>
          <a:srgbClr val="FFFF99"/>
        </a:solidFill>
        <a:ln w="9525">
          <a:noFill/>
          <a:round/>
          <a:headEnd/>
          <a:tailEnd/>
        </a:ln>
        <a:effectLst>
          <a:outerShdw dist="35921" dir="2700000" algn="ctr" rotWithShape="0">
            <a:srgbClr val="FFCC99"/>
          </a:outerShdw>
        </a:effectLst>
      </xdr:spPr>
      <xdr:txBody>
        <a:bodyPr vertOverflow="clip" wrap="square" lIns="27432" tIns="22860" rIns="0" bIns="0" anchor="t" upright="1"/>
        <a:lstStyle/>
        <a:p>
          <a:pPr algn="l" rtl="1">
            <a:defRPr sz="1000"/>
          </a:pPr>
          <a:endParaRPr lang="es-ES" sz="1000" b="0"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C</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R</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G</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T</a:t>
          </a:r>
        </a:p>
        <a:p>
          <a:pPr algn="l" rtl="1">
            <a:defRPr sz="1000"/>
          </a:pPr>
          <a:r>
            <a:rPr lang="es-ES" sz="1000" b="1" i="0" strike="noStrike">
              <a:solidFill>
                <a:srgbClr val="000000"/>
              </a:solidFill>
              <a:latin typeface="Arial"/>
              <a:cs typeface="Arial"/>
            </a:rPr>
            <a:t>O</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D</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M</a:t>
          </a:r>
        </a:p>
        <a:p>
          <a:pPr algn="l" rtl="1">
            <a:defRPr sz="1000"/>
          </a:pPr>
          <a:r>
            <a:rPr lang="es-ES" sz="1000" b="1" i="0" strike="noStrike">
              <a:solidFill>
                <a:srgbClr val="000000"/>
              </a:solidFill>
              <a:latin typeface="Arial"/>
              <a:cs typeface="Arial"/>
            </a:rPr>
            <a:t>O</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R</a:t>
          </a:r>
        </a:p>
        <a:p>
          <a:pPr algn="l" rtl="1">
            <a:defRPr sz="1000"/>
          </a:pPr>
          <a:r>
            <a:rPr lang="es-ES" sz="1000" b="1" i="0" strike="noStrike">
              <a:solidFill>
                <a:srgbClr val="000000"/>
              </a:solidFill>
              <a:latin typeface="Arial"/>
              <a:cs typeface="Arial"/>
            </a:rPr>
            <a:t>A</a:t>
          </a:r>
        </a:p>
        <a:p>
          <a:pPr algn="l" rtl="1">
            <a:defRPr sz="1000"/>
          </a:pPr>
          <a:endParaRPr lang="es-ES" sz="10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39586</xdr:colOff>
      <xdr:row>23</xdr:row>
      <xdr:rowOff>138174</xdr:rowOff>
    </xdr:from>
    <xdr:to>
      <xdr:col>8</xdr:col>
      <xdr:colOff>411504</xdr:colOff>
      <xdr:row>46</xdr:row>
      <xdr:rowOff>204266</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rot="16200000">
          <a:off x="9112661" y="7867199"/>
          <a:ext cx="5542967" cy="371918"/>
        </a:xfrm>
        <a:prstGeom prst="roundRect">
          <a:avLst>
            <a:gd name="adj" fmla="val 16667"/>
          </a:avLst>
        </a:prstGeom>
        <a:solidFill>
          <a:srgbClr val="FFFF99"/>
        </a:solidFill>
        <a:ln w="9525">
          <a:noFill/>
          <a:round/>
          <a:headEnd/>
          <a:tailEnd/>
        </a:ln>
        <a:effectLst>
          <a:outerShdw dist="35921" dir="2700000" algn="ctr" rotWithShape="0">
            <a:srgbClr val="FFCC99"/>
          </a:outerShdw>
        </a:effectLst>
      </xdr:spPr>
      <xdr:txBody>
        <a:bodyPr vertOverflow="clip" wrap="square" lIns="27432" tIns="22860" rIns="0" bIns="0" anchor="t" upright="1"/>
        <a:lstStyle/>
        <a:p>
          <a:pPr algn="l" rtl="1">
            <a:defRPr sz="1000"/>
          </a:pPr>
          <a:endParaRPr lang="es-ES" sz="1000" b="0" i="0" strike="noStrike">
            <a:solidFill>
              <a:srgbClr val="000000"/>
            </a:solidFill>
            <a:latin typeface="Arial"/>
            <a:cs typeface="Arial"/>
          </a:endParaRPr>
        </a:p>
        <a:p>
          <a:pPr algn="l" rtl="1">
            <a:defRPr sz="1000"/>
          </a:pPr>
          <a:endParaRPr lang="es-ES" sz="1000" b="0"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C</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R</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G</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T</a:t>
          </a:r>
        </a:p>
        <a:p>
          <a:pPr algn="l" rtl="1">
            <a:defRPr sz="1000"/>
          </a:pPr>
          <a:r>
            <a:rPr lang="es-ES" sz="1000" b="1" i="0" strike="noStrike">
              <a:solidFill>
                <a:srgbClr val="000000"/>
              </a:solidFill>
              <a:latin typeface="Arial"/>
              <a:cs typeface="Arial"/>
            </a:rPr>
            <a:t>O</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D</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M</a:t>
          </a:r>
        </a:p>
        <a:p>
          <a:pPr algn="l" rtl="1">
            <a:defRPr sz="1000"/>
          </a:pPr>
          <a:r>
            <a:rPr lang="es-ES" sz="1000" b="1" i="0" strike="noStrike">
              <a:solidFill>
                <a:srgbClr val="000000"/>
              </a:solidFill>
              <a:latin typeface="Arial"/>
              <a:cs typeface="Arial"/>
            </a:rPr>
            <a:t>O</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R</a:t>
          </a:r>
        </a:p>
        <a:p>
          <a:pPr algn="l" rtl="1">
            <a:defRPr sz="1000"/>
          </a:pPr>
          <a:r>
            <a:rPr lang="es-ES" sz="1000" b="1" i="0" strike="noStrike">
              <a:solidFill>
                <a:srgbClr val="000000"/>
              </a:solidFill>
              <a:latin typeface="Arial"/>
              <a:cs typeface="Arial"/>
            </a:rPr>
            <a:t>A</a:t>
          </a:r>
        </a:p>
        <a:p>
          <a:pPr algn="l" rtl="1">
            <a:defRPr sz="1000"/>
          </a:pPr>
          <a:endParaRPr lang="es-ES" sz="1000" b="1"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39586</xdr:colOff>
      <xdr:row>23</xdr:row>
      <xdr:rowOff>138174</xdr:rowOff>
    </xdr:from>
    <xdr:to>
      <xdr:col>8</xdr:col>
      <xdr:colOff>411504</xdr:colOff>
      <xdr:row>46</xdr:row>
      <xdr:rowOff>204266</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rot="16200000">
          <a:off x="9112661" y="7762424"/>
          <a:ext cx="5542967" cy="371918"/>
        </a:xfrm>
        <a:prstGeom prst="roundRect">
          <a:avLst>
            <a:gd name="adj" fmla="val 16667"/>
          </a:avLst>
        </a:prstGeom>
        <a:solidFill>
          <a:srgbClr val="FFFF99"/>
        </a:solidFill>
        <a:ln w="9525">
          <a:noFill/>
          <a:round/>
          <a:headEnd/>
          <a:tailEnd/>
        </a:ln>
        <a:effectLst>
          <a:outerShdw dist="35921" dir="2700000" algn="ctr" rotWithShape="0">
            <a:srgbClr val="FFCC99"/>
          </a:outerShdw>
        </a:effectLst>
      </xdr:spPr>
      <xdr:txBody>
        <a:bodyPr vertOverflow="clip" wrap="square" lIns="27432" tIns="22860" rIns="0" bIns="0" anchor="t" upright="1"/>
        <a:lstStyle/>
        <a:p>
          <a:pPr algn="l" rtl="1">
            <a:defRPr sz="1000"/>
          </a:pPr>
          <a:endParaRPr lang="es-ES" sz="1000" b="0" i="0" strike="noStrike">
            <a:solidFill>
              <a:srgbClr val="000000"/>
            </a:solidFill>
            <a:latin typeface="Arial"/>
            <a:cs typeface="Arial"/>
          </a:endParaRPr>
        </a:p>
        <a:p>
          <a:pPr algn="l" rtl="1">
            <a:defRPr sz="1000"/>
          </a:pPr>
          <a:endParaRPr lang="es-ES" sz="1000" b="0"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C</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R</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G</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T</a:t>
          </a:r>
        </a:p>
        <a:p>
          <a:pPr algn="l" rtl="1">
            <a:defRPr sz="1000"/>
          </a:pPr>
          <a:r>
            <a:rPr lang="es-ES" sz="1000" b="1" i="0" strike="noStrike">
              <a:solidFill>
                <a:srgbClr val="000000"/>
              </a:solidFill>
              <a:latin typeface="Arial"/>
              <a:cs typeface="Arial"/>
            </a:rPr>
            <a:t>O</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D</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M</a:t>
          </a:r>
        </a:p>
        <a:p>
          <a:pPr algn="l" rtl="1">
            <a:defRPr sz="1000"/>
          </a:pPr>
          <a:r>
            <a:rPr lang="es-ES" sz="1000" b="1" i="0" strike="noStrike">
              <a:solidFill>
                <a:srgbClr val="000000"/>
              </a:solidFill>
              <a:latin typeface="Arial"/>
              <a:cs typeface="Arial"/>
            </a:rPr>
            <a:t>O</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R</a:t>
          </a:r>
        </a:p>
        <a:p>
          <a:pPr algn="l" rtl="1">
            <a:defRPr sz="1000"/>
          </a:pPr>
          <a:r>
            <a:rPr lang="es-ES" sz="1000" b="1" i="0" strike="noStrike">
              <a:solidFill>
                <a:srgbClr val="000000"/>
              </a:solidFill>
              <a:latin typeface="Arial"/>
              <a:cs typeface="Arial"/>
            </a:rPr>
            <a:t>A</a:t>
          </a:r>
        </a:p>
        <a:p>
          <a:pPr algn="l" rtl="1">
            <a:defRPr sz="1000"/>
          </a:pPr>
          <a:endParaRPr lang="es-ES" sz="1000" b="1"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39586</xdr:colOff>
      <xdr:row>23</xdr:row>
      <xdr:rowOff>138174</xdr:rowOff>
    </xdr:from>
    <xdr:to>
      <xdr:col>8</xdr:col>
      <xdr:colOff>411504</xdr:colOff>
      <xdr:row>46</xdr:row>
      <xdr:rowOff>204266</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rot="16200000">
          <a:off x="9112661" y="7762424"/>
          <a:ext cx="5542967" cy="371918"/>
        </a:xfrm>
        <a:prstGeom prst="roundRect">
          <a:avLst>
            <a:gd name="adj" fmla="val 16667"/>
          </a:avLst>
        </a:prstGeom>
        <a:solidFill>
          <a:srgbClr val="FFFF99"/>
        </a:solidFill>
        <a:ln w="9525">
          <a:noFill/>
          <a:round/>
          <a:headEnd/>
          <a:tailEnd/>
        </a:ln>
        <a:effectLst>
          <a:outerShdw dist="35921" dir="2700000" algn="ctr" rotWithShape="0">
            <a:srgbClr val="FFCC99"/>
          </a:outerShdw>
        </a:effectLst>
      </xdr:spPr>
      <xdr:txBody>
        <a:bodyPr vertOverflow="clip" wrap="square" lIns="27432" tIns="22860" rIns="0" bIns="0" anchor="t" upright="1"/>
        <a:lstStyle/>
        <a:p>
          <a:pPr algn="l" rtl="1">
            <a:defRPr sz="1000"/>
          </a:pPr>
          <a:endParaRPr lang="es-ES" sz="1000" b="0" i="0" strike="noStrike">
            <a:solidFill>
              <a:srgbClr val="000000"/>
            </a:solidFill>
            <a:latin typeface="Arial"/>
            <a:cs typeface="Arial"/>
          </a:endParaRPr>
        </a:p>
        <a:p>
          <a:pPr algn="l" rtl="1">
            <a:defRPr sz="1000"/>
          </a:pPr>
          <a:endParaRPr lang="es-ES" sz="1000" b="0"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C</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R</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G</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T</a:t>
          </a:r>
        </a:p>
        <a:p>
          <a:pPr algn="l" rtl="1">
            <a:defRPr sz="1000"/>
          </a:pPr>
          <a:r>
            <a:rPr lang="es-ES" sz="1000" b="1" i="0" strike="noStrike">
              <a:solidFill>
                <a:srgbClr val="000000"/>
              </a:solidFill>
              <a:latin typeface="Arial"/>
              <a:cs typeface="Arial"/>
            </a:rPr>
            <a:t>O</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D</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M</a:t>
          </a:r>
        </a:p>
        <a:p>
          <a:pPr algn="l" rtl="1">
            <a:defRPr sz="1000"/>
          </a:pPr>
          <a:r>
            <a:rPr lang="es-ES" sz="1000" b="1" i="0" strike="noStrike">
              <a:solidFill>
                <a:srgbClr val="000000"/>
              </a:solidFill>
              <a:latin typeface="Arial"/>
              <a:cs typeface="Arial"/>
            </a:rPr>
            <a:t>O</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R</a:t>
          </a:r>
        </a:p>
        <a:p>
          <a:pPr algn="l" rtl="1">
            <a:defRPr sz="1000"/>
          </a:pPr>
          <a:r>
            <a:rPr lang="es-ES" sz="1000" b="1" i="0" strike="noStrike">
              <a:solidFill>
                <a:srgbClr val="000000"/>
              </a:solidFill>
              <a:latin typeface="Arial"/>
              <a:cs typeface="Arial"/>
            </a:rPr>
            <a:t>A</a:t>
          </a:r>
        </a:p>
        <a:p>
          <a:pPr algn="l" rtl="1">
            <a:defRPr sz="1000"/>
          </a:pPr>
          <a:endParaRPr lang="es-ES" sz="10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39586</xdr:colOff>
      <xdr:row>23</xdr:row>
      <xdr:rowOff>138174</xdr:rowOff>
    </xdr:from>
    <xdr:to>
      <xdr:col>8</xdr:col>
      <xdr:colOff>411504</xdr:colOff>
      <xdr:row>46</xdr:row>
      <xdr:rowOff>204266</xdr:rowOff>
    </xdr:to>
    <xdr:sp macro="" textlink="">
      <xdr:nvSpPr>
        <xdr:cNvPr id="3" name="AutoShape 1">
          <a:extLst>
            <a:ext uri="{FF2B5EF4-FFF2-40B4-BE49-F238E27FC236}">
              <a16:creationId xmlns:a16="http://schemas.microsoft.com/office/drawing/2014/main" id="{00000000-0008-0000-0500-000003000000}"/>
            </a:ext>
          </a:extLst>
        </xdr:cNvPr>
        <xdr:cNvSpPr>
          <a:spLocks noChangeArrowheads="1"/>
        </xdr:cNvSpPr>
      </xdr:nvSpPr>
      <xdr:spPr bwMode="auto">
        <a:xfrm rot="16200000">
          <a:off x="9450504" y="7729134"/>
          <a:ext cx="5547773" cy="381454"/>
        </a:xfrm>
        <a:prstGeom prst="roundRect">
          <a:avLst>
            <a:gd name="adj" fmla="val 16667"/>
          </a:avLst>
        </a:prstGeom>
        <a:solidFill>
          <a:srgbClr val="FFFF99"/>
        </a:solidFill>
        <a:ln w="9525">
          <a:noFill/>
          <a:round/>
          <a:headEnd/>
          <a:tailEnd/>
        </a:ln>
        <a:effectLst>
          <a:outerShdw dist="35921" dir="2700000" algn="ctr" rotWithShape="0">
            <a:srgbClr val="FFCC99"/>
          </a:outerShdw>
        </a:effectLst>
      </xdr:spPr>
      <xdr:txBody>
        <a:bodyPr vertOverflow="clip" wrap="square" lIns="27432" tIns="22860" rIns="0" bIns="0" anchor="t" upright="1"/>
        <a:lstStyle/>
        <a:p>
          <a:pPr algn="l" rtl="1">
            <a:defRPr sz="1000"/>
          </a:pPr>
          <a:endParaRPr lang="es-ES" sz="1000" b="0" i="0" strike="noStrike">
            <a:solidFill>
              <a:srgbClr val="000000"/>
            </a:solidFill>
            <a:latin typeface="Arial"/>
            <a:cs typeface="Arial"/>
          </a:endParaRPr>
        </a:p>
        <a:p>
          <a:pPr algn="l" rtl="1">
            <a:defRPr sz="1000"/>
          </a:pPr>
          <a:endParaRPr lang="es-ES" sz="1000" b="0"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C</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R</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G</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T</a:t>
          </a:r>
        </a:p>
        <a:p>
          <a:pPr algn="l" rtl="1">
            <a:defRPr sz="1000"/>
          </a:pPr>
          <a:r>
            <a:rPr lang="es-ES" sz="1000" b="1" i="0" strike="noStrike">
              <a:solidFill>
                <a:srgbClr val="000000"/>
              </a:solidFill>
              <a:latin typeface="Arial"/>
              <a:cs typeface="Arial"/>
            </a:rPr>
            <a:t>O</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D</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M</a:t>
          </a:r>
        </a:p>
        <a:p>
          <a:pPr algn="l" rtl="1">
            <a:defRPr sz="1000"/>
          </a:pPr>
          <a:r>
            <a:rPr lang="es-ES" sz="1000" b="1" i="0" strike="noStrike">
              <a:solidFill>
                <a:srgbClr val="000000"/>
              </a:solidFill>
              <a:latin typeface="Arial"/>
              <a:cs typeface="Arial"/>
            </a:rPr>
            <a:t>O</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R</a:t>
          </a:r>
        </a:p>
        <a:p>
          <a:pPr algn="l" rtl="1">
            <a:defRPr sz="1000"/>
          </a:pPr>
          <a:r>
            <a:rPr lang="es-ES" sz="1000" b="1" i="0" strike="noStrike">
              <a:solidFill>
                <a:srgbClr val="000000"/>
              </a:solidFill>
              <a:latin typeface="Arial"/>
              <a:cs typeface="Arial"/>
            </a:rPr>
            <a:t>A</a:t>
          </a:r>
        </a:p>
        <a:p>
          <a:pPr algn="l" rtl="1">
            <a:defRPr sz="1000"/>
          </a:pPr>
          <a:endParaRPr lang="es-ES" sz="1000" b="1"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318135</xdr:colOff>
      <xdr:row>20</xdr:row>
      <xdr:rowOff>201930</xdr:rowOff>
    </xdr:from>
    <xdr:to>
      <xdr:col>5</xdr:col>
      <xdr:colOff>690064</xdr:colOff>
      <xdr:row>44</xdr:row>
      <xdr:rowOff>49547</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rot="16200000">
          <a:off x="7079198" y="6762532"/>
          <a:ext cx="5516897" cy="381454"/>
        </a:xfrm>
        <a:prstGeom prst="roundRect">
          <a:avLst>
            <a:gd name="adj" fmla="val 16667"/>
          </a:avLst>
        </a:prstGeom>
        <a:solidFill>
          <a:srgbClr val="FFFF99"/>
        </a:solidFill>
        <a:ln w="9525">
          <a:noFill/>
          <a:round/>
          <a:headEnd/>
          <a:tailEnd/>
        </a:ln>
        <a:effectLst>
          <a:outerShdw dist="35921" dir="2700000" algn="ctr" rotWithShape="0">
            <a:srgbClr val="FFCC99"/>
          </a:outerShdw>
        </a:effectLst>
      </xdr:spPr>
      <xdr:txBody>
        <a:bodyPr vertOverflow="clip" wrap="square" lIns="27432" tIns="22860" rIns="0" bIns="0" anchor="t" upright="1"/>
        <a:lstStyle/>
        <a:p>
          <a:pPr algn="l" rtl="1">
            <a:defRPr sz="1000"/>
          </a:pPr>
          <a:endParaRPr lang="es-ES" sz="1000" b="0" i="0" strike="noStrike">
            <a:solidFill>
              <a:srgbClr val="000000"/>
            </a:solidFill>
            <a:latin typeface="Arial"/>
            <a:cs typeface="Arial"/>
          </a:endParaRPr>
        </a:p>
        <a:p>
          <a:pPr algn="l" rtl="1">
            <a:defRPr sz="1000"/>
          </a:pPr>
          <a:endParaRPr lang="es-ES" sz="1000" b="0"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C</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R</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G</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T</a:t>
          </a:r>
        </a:p>
        <a:p>
          <a:pPr algn="l" rtl="1">
            <a:defRPr sz="1000"/>
          </a:pPr>
          <a:r>
            <a:rPr lang="es-ES" sz="1000" b="1" i="0" strike="noStrike">
              <a:solidFill>
                <a:srgbClr val="000000"/>
              </a:solidFill>
              <a:latin typeface="Arial"/>
              <a:cs typeface="Arial"/>
            </a:rPr>
            <a:t>O</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D</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M</a:t>
          </a:r>
        </a:p>
        <a:p>
          <a:pPr algn="l" rtl="1">
            <a:defRPr sz="1000"/>
          </a:pPr>
          <a:r>
            <a:rPr lang="es-ES" sz="1000" b="1" i="0" strike="noStrike">
              <a:solidFill>
                <a:srgbClr val="000000"/>
              </a:solidFill>
              <a:latin typeface="Arial"/>
              <a:cs typeface="Arial"/>
            </a:rPr>
            <a:t>O</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R</a:t>
          </a:r>
        </a:p>
        <a:p>
          <a:pPr algn="l" rtl="1">
            <a:defRPr sz="1000"/>
          </a:pPr>
          <a:r>
            <a:rPr lang="es-ES" sz="1000" b="1" i="0" strike="noStrike">
              <a:solidFill>
                <a:srgbClr val="000000"/>
              </a:solidFill>
              <a:latin typeface="Arial"/>
              <a:cs typeface="Arial"/>
            </a:rPr>
            <a:t>A</a:t>
          </a:r>
        </a:p>
        <a:p>
          <a:pPr algn="l" rtl="1">
            <a:defRPr sz="1000"/>
          </a:pPr>
          <a:endParaRPr lang="es-ES" sz="1000" b="1"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316230</xdr:colOff>
      <xdr:row>20</xdr:row>
      <xdr:rowOff>200025</xdr:rowOff>
    </xdr:from>
    <xdr:to>
      <xdr:col>5</xdr:col>
      <xdr:colOff>680212</xdr:colOff>
      <xdr:row>44</xdr:row>
      <xdr:rowOff>49533</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rot="16200000">
          <a:off x="7080904" y="6781781"/>
          <a:ext cx="5499738" cy="360086"/>
        </a:xfrm>
        <a:prstGeom prst="roundRect">
          <a:avLst>
            <a:gd name="adj" fmla="val 16667"/>
          </a:avLst>
        </a:prstGeom>
        <a:solidFill>
          <a:srgbClr val="FFFF99"/>
        </a:solidFill>
        <a:ln w="9525">
          <a:noFill/>
          <a:round/>
          <a:headEnd/>
          <a:tailEnd/>
        </a:ln>
        <a:effectLst>
          <a:outerShdw dist="35921" dir="2700000" algn="ctr" rotWithShape="0">
            <a:srgbClr val="FFCC99"/>
          </a:outerShdw>
        </a:effectLst>
      </xdr:spPr>
      <xdr:txBody>
        <a:bodyPr vertOverflow="clip" wrap="square" lIns="27432" tIns="22860" rIns="0" bIns="0" anchor="t" upright="1"/>
        <a:lstStyle/>
        <a:p>
          <a:pPr algn="l" rtl="1">
            <a:defRPr sz="1000"/>
          </a:pPr>
          <a:endParaRPr lang="es-ES" sz="1000" b="0" i="0" strike="noStrike">
            <a:solidFill>
              <a:srgbClr val="000000"/>
            </a:solidFill>
            <a:latin typeface="Arial"/>
            <a:cs typeface="Arial"/>
          </a:endParaRPr>
        </a:p>
        <a:p>
          <a:pPr algn="l" rtl="1">
            <a:defRPr sz="1000"/>
          </a:pPr>
          <a:endParaRPr lang="es-ES" sz="1000" b="0"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C</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R</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G</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T</a:t>
          </a:r>
        </a:p>
        <a:p>
          <a:pPr algn="l" rtl="1">
            <a:defRPr sz="1000"/>
          </a:pPr>
          <a:r>
            <a:rPr lang="es-ES" sz="1000" b="1" i="0" strike="noStrike">
              <a:solidFill>
                <a:srgbClr val="000000"/>
              </a:solidFill>
              <a:latin typeface="Arial"/>
              <a:cs typeface="Arial"/>
            </a:rPr>
            <a:t>O</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D</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M</a:t>
          </a:r>
        </a:p>
        <a:p>
          <a:pPr algn="l" rtl="1">
            <a:defRPr sz="1000"/>
          </a:pPr>
          <a:r>
            <a:rPr lang="es-ES" sz="1000" b="1" i="0" strike="noStrike">
              <a:solidFill>
                <a:srgbClr val="000000"/>
              </a:solidFill>
              <a:latin typeface="Arial"/>
              <a:cs typeface="Arial"/>
            </a:rPr>
            <a:t>O</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R</a:t>
          </a:r>
        </a:p>
        <a:p>
          <a:pPr algn="l" rtl="1">
            <a:defRPr sz="1000"/>
          </a:pPr>
          <a:r>
            <a:rPr lang="es-ES" sz="1000" b="1" i="0" strike="noStrike">
              <a:solidFill>
                <a:srgbClr val="000000"/>
              </a:solidFill>
              <a:latin typeface="Arial"/>
              <a:cs typeface="Arial"/>
            </a:rPr>
            <a:t>A</a:t>
          </a:r>
        </a:p>
        <a:p>
          <a:pPr algn="l" rtl="1">
            <a:defRPr sz="1000"/>
          </a:pPr>
          <a:endParaRPr lang="es-ES" sz="1000" b="1"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318135</xdr:colOff>
      <xdr:row>20</xdr:row>
      <xdr:rowOff>201930</xdr:rowOff>
    </xdr:from>
    <xdr:to>
      <xdr:col>5</xdr:col>
      <xdr:colOff>690064</xdr:colOff>
      <xdr:row>44</xdr:row>
      <xdr:rowOff>51470</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bwMode="auto">
        <a:xfrm rot="16200000">
          <a:off x="6773245" y="6845600"/>
          <a:ext cx="5554986" cy="360086"/>
        </a:xfrm>
        <a:prstGeom prst="roundRect">
          <a:avLst>
            <a:gd name="adj" fmla="val 16667"/>
          </a:avLst>
        </a:prstGeom>
        <a:solidFill>
          <a:srgbClr val="FFFF99"/>
        </a:solidFill>
        <a:ln w="9525">
          <a:noFill/>
          <a:round/>
          <a:headEnd/>
          <a:tailEnd/>
        </a:ln>
        <a:effectLst>
          <a:outerShdw dist="35921" dir="2700000" algn="ctr" rotWithShape="0">
            <a:srgbClr val="FFCC99"/>
          </a:outerShdw>
        </a:effectLst>
      </xdr:spPr>
      <xdr:txBody>
        <a:bodyPr vertOverflow="clip" wrap="square" lIns="27432" tIns="22860" rIns="0" bIns="0" anchor="t" upright="1"/>
        <a:lstStyle/>
        <a:p>
          <a:pPr algn="l" rtl="1">
            <a:defRPr sz="1000"/>
          </a:pPr>
          <a:endParaRPr lang="es-ES" sz="1000" b="0" i="0" strike="noStrike">
            <a:solidFill>
              <a:srgbClr val="000000"/>
            </a:solidFill>
            <a:latin typeface="Arial"/>
            <a:cs typeface="Arial"/>
          </a:endParaRPr>
        </a:p>
        <a:p>
          <a:pPr algn="l" rtl="1">
            <a:defRPr sz="1000"/>
          </a:pPr>
          <a:endParaRPr lang="es-ES" sz="1000" b="0"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C</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R</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A</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G</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T</a:t>
          </a:r>
        </a:p>
        <a:p>
          <a:pPr algn="l" rtl="1">
            <a:defRPr sz="1000"/>
          </a:pPr>
          <a:r>
            <a:rPr lang="es-ES" sz="1000" b="1" i="0" strike="noStrike">
              <a:solidFill>
                <a:srgbClr val="000000"/>
              </a:solidFill>
              <a:latin typeface="Arial"/>
              <a:cs typeface="Arial"/>
            </a:rPr>
            <a:t>O</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D</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endParaRPr lang="es-ES" sz="1000" b="1" i="0" strike="noStrike">
            <a:solidFill>
              <a:srgbClr val="000000"/>
            </a:solidFill>
            <a:latin typeface="Arial"/>
            <a:cs typeface="Arial"/>
          </a:endParaRP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M</a:t>
          </a:r>
        </a:p>
        <a:p>
          <a:pPr algn="l" rtl="1">
            <a:defRPr sz="1000"/>
          </a:pPr>
          <a:r>
            <a:rPr lang="es-ES" sz="1000" b="1" i="0" strike="noStrike">
              <a:solidFill>
                <a:srgbClr val="000000"/>
              </a:solidFill>
              <a:latin typeface="Arial"/>
              <a:cs typeface="Arial"/>
            </a:rPr>
            <a:t>O</a:t>
          </a:r>
        </a:p>
        <a:p>
          <a:pPr algn="l" rtl="1">
            <a:defRPr sz="1000"/>
          </a:pPr>
          <a:r>
            <a:rPr lang="es-ES" sz="1000" b="1" i="0" strike="noStrike">
              <a:solidFill>
                <a:srgbClr val="000000"/>
              </a:solidFill>
              <a:latin typeface="Arial"/>
              <a:cs typeface="Arial"/>
            </a:rPr>
            <a:t>S</a:t>
          </a:r>
        </a:p>
        <a:p>
          <a:pPr algn="l" rtl="1">
            <a:defRPr sz="1000"/>
          </a:pPr>
          <a:r>
            <a:rPr lang="es-ES" sz="1000" b="1" i="0" strike="noStrike">
              <a:solidFill>
                <a:srgbClr val="000000"/>
              </a:solidFill>
              <a:latin typeface="Arial"/>
              <a:cs typeface="Arial"/>
            </a:rPr>
            <a:t>Q</a:t>
          </a:r>
        </a:p>
        <a:p>
          <a:pPr algn="l" rtl="1">
            <a:defRPr sz="1000"/>
          </a:pPr>
          <a:r>
            <a:rPr lang="es-ES" sz="1000" b="1" i="0" strike="noStrike">
              <a:solidFill>
                <a:srgbClr val="000000"/>
              </a:solidFill>
              <a:latin typeface="Arial"/>
              <a:cs typeface="Arial"/>
            </a:rPr>
            <a:t>U</a:t>
          </a:r>
        </a:p>
        <a:p>
          <a:pPr algn="l" rtl="1">
            <a:defRPr sz="1000"/>
          </a:pPr>
          <a:r>
            <a:rPr lang="es-ES" sz="1000" b="1" i="0" strike="noStrike">
              <a:solidFill>
                <a:srgbClr val="000000"/>
              </a:solidFill>
              <a:latin typeface="Arial"/>
              <a:cs typeface="Arial"/>
            </a:rPr>
            <a:t>E</a:t>
          </a:r>
        </a:p>
        <a:p>
          <a:pPr algn="l" rtl="1">
            <a:defRPr sz="1000"/>
          </a:pPr>
          <a:r>
            <a:rPr lang="es-ES" sz="1000" b="1" i="0" strike="noStrike">
              <a:solidFill>
                <a:srgbClr val="000000"/>
              </a:solidFill>
              <a:latin typeface="Arial"/>
              <a:cs typeface="Arial"/>
            </a:rPr>
            <a:t>R</a:t>
          </a:r>
        </a:p>
        <a:p>
          <a:pPr algn="l" rtl="1">
            <a:defRPr sz="1000"/>
          </a:pPr>
          <a:r>
            <a:rPr lang="es-ES" sz="1000" b="1" i="0" strike="noStrike">
              <a:solidFill>
                <a:srgbClr val="000000"/>
              </a:solidFill>
              <a:latin typeface="Arial"/>
              <a:cs typeface="Arial"/>
            </a:rPr>
            <a:t>A</a:t>
          </a:r>
        </a:p>
        <a:p>
          <a:pPr algn="l" rtl="1">
            <a:defRPr sz="1000"/>
          </a:pPr>
          <a:endParaRPr lang="es-ES" sz="10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65536"/>
  <sheetViews>
    <sheetView tabSelected="1" topLeftCell="B1" zoomScale="120" zoomScaleNormal="120" zoomScalePageLayoutView="120" workbookViewId="0">
      <selection activeCell="F4" sqref="F4"/>
    </sheetView>
  </sheetViews>
  <sheetFormatPr baseColWidth="10" defaultColWidth="11.44140625" defaultRowHeight="13.2" x14ac:dyDescent="0.25"/>
  <cols>
    <col min="1" max="1" width="3.33203125" style="225" customWidth="1"/>
    <col min="2" max="2" width="45.33203125" style="225" customWidth="1"/>
    <col min="3" max="3" width="59.44140625" style="226" customWidth="1"/>
    <col min="4" max="4" width="11" style="227" customWidth="1"/>
    <col min="5" max="5" width="17.33203125" style="228" customWidth="1"/>
    <col min="6" max="6" width="17.44140625" style="234" customWidth="1"/>
    <col min="7" max="7" width="13.88671875" style="208" customWidth="1"/>
    <col min="8" max="8" width="7.6640625" style="225" customWidth="1"/>
    <col min="9" max="9" width="13.33203125" style="225" bestFit="1" customWidth="1"/>
    <col min="10" max="10" width="12" style="225" bestFit="1" customWidth="1"/>
    <col min="11" max="16384" width="11.44140625" style="225"/>
  </cols>
  <sheetData>
    <row r="1" spans="2:256" ht="11.25" customHeight="1" x14ac:dyDescent="0.25"/>
    <row r="2" spans="2:256" ht="18" customHeight="1" x14ac:dyDescent="0.3">
      <c r="B2" s="87" t="s">
        <v>0</v>
      </c>
      <c r="C2" s="229"/>
      <c r="D2" s="230"/>
      <c r="E2" s="231"/>
    </row>
    <row r="3" spans="2:256" ht="14.25" customHeight="1" thickBot="1" x14ac:dyDescent="0.3"/>
    <row r="4" spans="2:256" ht="18.75" customHeight="1" thickBot="1" x14ac:dyDescent="0.4">
      <c r="B4" s="342" t="s">
        <v>1</v>
      </c>
      <c r="C4" s="232"/>
      <c r="E4" s="233"/>
      <c r="I4" s="360"/>
    </row>
    <row r="5" spans="2:256" ht="18.75" customHeight="1" x14ac:dyDescent="0.3">
      <c r="B5" s="344" t="s">
        <v>2</v>
      </c>
      <c r="C5" s="76">
        <v>828116</v>
      </c>
      <c r="E5" s="358"/>
      <c r="F5" s="340"/>
      <c r="G5" s="209"/>
      <c r="I5" s="299"/>
    </row>
    <row r="6" spans="2:256" ht="18.75" customHeight="1" thickBot="1" x14ac:dyDescent="0.35">
      <c r="B6" s="345" t="s">
        <v>3</v>
      </c>
      <c r="C6" s="82">
        <v>97032</v>
      </c>
      <c r="E6" s="350"/>
      <c r="F6" s="233"/>
      <c r="G6" s="209"/>
      <c r="I6" s="235"/>
      <c r="J6" s="236"/>
      <c r="IV6" s="237">
        <v>5.2199999999999998E-3</v>
      </c>
    </row>
    <row r="7" spans="2:256" ht="13.5" customHeight="1" x14ac:dyDescent="0.3">
      <c r="B7" s="238"/>
      <c r="C7" s="239"/>
      <c r="G7" s="209"/>
      <c r="IV7" s="237">
        <v>1.044E-2</v>
      </c>
    </row>
    <row r="8" spans="2:256" ht="12.75" customHeight="1" x14ac:dyDescent="0.25">
      <c r="B8" s="238"/>
      <c r="C8" s="238"/>
      <c r="G8" s="209"/>
      <c r="IV8" s="237">
        <v>2.436E-2</v>
      </c>
    </row>
    <row r="9" spans="2:256" ht="12" customHeight="1" thickBot="1" x14ac:dyDescent="0.3">
      <c r="B9" s="9" t="s">
        <v>4</v>
      </c>
      <c r="C9" s="240" t="s">
        <v>5</v>
      </c>
      <c r="D9" s="241"/>
      <c r="E9" s="242"/>
      <c r="IV9" s="237">
        <v>4.3499999999999997E-2</v>
      </c>
    </row>
    <row r="10" spans="2:256" ht="18.75" customHeight="1" x14ac:dyDescent="0.3">
      <c r="B10" s="11" t="s">
        <v>6</v>
      </c>
      <c r="C10" s="346">
        <v>828116</v>
      </c>
      <c r="D10" s="243"/>
      <c r="E10" s="242"/>
      <c r="F10" s="343"/>
      <c r="G10" s="311"/>
      <c r="H10" s="245"/>
      <c r="IV10" s="237">
        <v>6.9599999999999995E-2</v>
      </c>
    </row>
    <row r="11" spans="2:256" ht="18.75" customHeight="1" x14ac:dyDescent="0.3">
      <c r="B11" s="13" t="s">
        <v>7</v>
      </c>
      <c r="C11" s="292">
        <v>1.044E-2</v>
      </c>
      <c r="D11" s="241"/>
      <c r="E11" s="244"/>
      <c r="G11" s="312"/>
      <c r="H11" s="245"/>
    </row>
    <row r="12" spans="2:256" ht="18.75" customHeight="1" thickBot="1" x14ac:dyDescent="0.35">
      <c r="B12" s="15" t="s">
        <v>8</v>
      </c>
      <c r="C12" s="347">
        <v>0</v>
      </c>
      <c r="D12" s="241"/>
      <c r="E12" s="242"/>
      <c r="G12" s="313"/>
      <c r="H12" s="245"/>
      <c r="IR12" s="248"/>
      <c r="IV12" s="249"/>
    </row>
    <row r="13" spans="2:256" s="1" customFormat="1" ht="18.75" customHeight="1" thickBot="1" x14ac:dyDescent="0.35">
      <c r="B13" s="15" t="s">
        <v>9</v>
      </c>
      <c r="C13" s="348">
        <v>3100</v>
      </c>
      <c r="D13" s="111" t="s">
        <v>10</v>
      </c>
      <c r="E13" s="10"/>
      <c r="F13" s="106"/>
      <c r="G13" s="17"/>
      <c r="H13" s="12"/>
      <c r="IR13" s="16"/>
      <c r="IV13" s="18" t="s">
        <v>10</v>
      </c>
    </row>
    <row r="14" spans="2:256" ht="10.5" customHeight="1" thickBot="1" x14ac:dyDescent="0.35">
      <c r="B14" s="250"/>
      <c r="C14" s="251"/>
      <c r="D14" s="252"/>
      <c r="F14" s="308"/>
      <c r="G14" s="312"/>
      <c r="H14" s="245"/>
      <c r="IR14" s="248"/>
    </row>
    <row r="15" spans="2:256" s="249" customFormat="1" ht="41.25" customHeight="1" x14ac:dyDescent="0.3">
      <c r="B15" s="96" t="s">
        <v>11</v>
      </c>
      <c r="C15" s="97" t="s">
        <v>12</v>
      </c>
      <c r="D15" s="98" t="s">
        <v>13</v>
      </c>
      <c r="E15" s="307" t="s">
        <v>14</v>
      </c>
      <c r="F15" s="309" t="s">
        <v>15</v>
      </c>
      <c r="G15" s="314" t="s">
        <v>16</v>
      </c>
      <c r="H15" s="245"/>
      <c r="IR15" s="253"/>
    </row>
    <row r="16" spans="2:256" s="249" customFormat="1" ht="9" customHeight="1" x14ac:dyDescent="0.3">
      <c r="B16" s="254"/>
      <c r="C16" s="239"/>
      <c r="D16" s="239"/>
      <c r="E16" s="255"/>
      <c r="F16" s="255"/>
      <c r="G16" s="107"/>
      <c r="IR16" s="253"/>
    </row>
    <row r="17" spans="2:252" s="249" customFormat="1" ht="15.6" x14ac:dyDescent="0.3">
      <c r="B17" s="256" t="s">
        <v>17</v>
      </c>
      <c r="C17" s="257"/>
      <c r="D17" s="258"/>
      <c r="E17" s="259"/>
      <c r="F17" s="259"/>
      <c r="G17" s="108"/>
      <c r="IR17" s="253"/>
    </row>
    <row r="18" spans="2:252" s="249" customFormat="1" ht="15.6" x14ac:dyDescent="0.3">
      <c r="B18" s="26" t="s">
        <v>18</v>
      </c>
      <c r="C18" s="27" t="s">
        <v>19</v>
      </c>
      <c r="D18" s="28"/>
      <c r="E18" s="29">
        <f>IF(C10&lt;C5,FALSE,C10)</f>
        <v>828116</v>
      </c>
      <c r="F18" s="29">
        <f>+E18</f>
        <v>828116</v>
      </c>
      <c r="G18" s="103">
        <f t="shared" ref="G18:G23" si="0">+E18/$C$13</f>
        <v>267.13419354838709</v>
      </c>
      <c r="IR18" s="253"/>
    </row>
    <row r="19" spans="2:252" s="249" customFormat="1" ht="15.6" x14ac:dyDescent="0.3">
      <c r="B19" s="26" t="s">
        <v>20</v>
      </c>
      <c r="C19" s="27" t="s">
        <v>21</v>
      </c>
      <c r="D19" s="28"/>
      <c r="E19" s="29">
        <f>IF(E18+E20+E21+E22&lt;=(C5*2),C6,0)</f>
        <v>97032</v>
      </c>
      <c r="F19" s="29">
        <f>+E19</f>
        <v>97032</v>
      </c>
      <c r="G19" s="103">
        <f t="shared" si="0"/>
        <v>31.300645161290323</v>
      </c>
      <c r="I19" s="284"/>
    </row>
    <row r="20" spans="2:252" s="249" customFormat="1" ht="15.6" x14ac:dyDescent="0.3">
      <c r="B20" s="26" t="s">
        <v>22</v>
      </c>
      <c r="C20" s="27" t="s">
        <v>23</v>
      </c>
      <c r="D20" s="262"/>
      <c r="E20" s="339">
        <f>+G60+G63</f>
        <v>0</v>
      </c>
      <c r="F20" s="42">
        <f>+E20</f>
        <v>0</v>
      </c>
      <c r="G20" s="103">
        <f t="shared" si="0"/>
        <v>0</v>
      </c>
      <c r="J20" s="264"/>
    </row>
    <row r="21" spans="2:252" s="249" customFormat="1" ht="15.6" x14ac:dyDescent="0.3">
      <c r="B21" s="26" t="s">
        <v>24</v>
      </c>
      <c r="C21" s="27" t="s">
        <v>25</v>
      </c>
      <c r="D21" s="262"/>
      <c r="E21" s="339">
        <f>+G61+G62+G64</f>
        <v>0</v>
      </c>
      <c r="F21" s="42">
        <f>+E21</f>
        <v>0</v>
      </c>
      <c r="G21" s="103">
        <f t="shared" si="0"/>
        <v>0</v>
      </c>
    </row>
    <row r="22" spans="2:252" s="249" customFormat="1" ht="15.6" x14ac:dyDescent="0.3">
      <c r="B22" s="26" t="s">
        <v>26</v>
      </c>
      <c r="C22" s="27" t="s">
        <v>27</v>
      </c>
      <c r="D22" s="262"/>
      <c r="E22" s="339">
        <f>+G65+G66+G67+G68</f>
        <v>0</v>
      </c>
      <c r="F22" s="42">
        <f>+E22</f>
        <v>0</v>
      </c>
      <c r="G22" s="103">
        <f t="shared" si="0"/>
        <v>0</v>
      </c>
    </row>
    <row r="23" spans="2:252" s="249" customFormat="1" ht="15.6" x14ac:dyDescent="0.3">
      <c r="B23" s="148" t="s">
        <v>28</v>
      </c>
      <c r="C23" s="265"/>
      <c r="D23" s="266"/>
      <c r="E23" s="30">
        <f>SUM(E18:E22)</f>
        <v>925148</v>
      </c>
      <c r="F23" s="30">
        <f>SUM(F18:F22)</f>
        <v>925148</v>
      </c>
      <c r="G23" s="104">
        <f t="shared" si="0"/>
        <v>298.43483870967742</v>
      </c>
    </row>
    <row r="24" spans="2:252" s="249" customFormat="1" ht="15.6" x14ac:dyDescent="0.3">
      <c r="B24" s="267"/>
      <c r="C24" s="268"/>
      <c r="D24" s="269"/>
      <c r="E24" s="263"/>
      <c r="F24" s="263"/>
      <c r="G24" s="108"/>
    </row>
    <row r="25" spans="2:252" s="249" customFormat="1" ht="15.6" x14ac:dyDescent="0.3">
      <c r="B25" s="270" t="s">
        <v>29</v>
      </c>
      <c r="C25" s="257"/>
      <c r="D25" s="258"/>
      <c r="E25" s="263"/>
      <c r="F25" s="263"/>
      <c r="G25" s="108"/>
    </row>
    <row r="26" spans="2:252" s="249" customFormat="1" ht="15.6" x14ac:dyDescent="0.3">
      <c r="B26" s="26" t="s">
        <v>30</v>
      </c>
      <c r="C26" s="27" t="s">
        <v>31</v>
      </c>
      <c r="D26" s="35">
        <v>8.3333333333333343E-2</v>
      </c>
      <c r="E26" s="29">
        <f>E23*D26</f>
        <v>77095.666666666672</v>
      </c>
      <c r="F26" s="29">
        <f>+E26</f>
        <v>77095.666666666672</v>
      </c>
      <c r="G26" s="103">
        <f>+E26/$C$13</f>
        <v>24.86956989247312</v>
      </c>
    </row>
    <row r="27" spans="2:252" s="249" customFormat="1" ht="15.6" x14ac:dyDescent="0.3">
      <c r="B27" s="26" t="s">
        <v>32</v>
      </c>
      <c r="C27" s="27" t="s">
        <v>33</v>
      </c>
      <c r="D27" s="36">
        <v>0.12</v>
      </c>
      <c r="E27" s="29">
        <f>+E26*D27</f>
        <v>9251.48</v>
      </c>
      <c r="F27" s="29">
        <f>+E27</f>
        <v>9251.48</v>
      </c>
      <c r="G27" s="103">
        <f>+E27/$C$13</f>
        <v>2.984348387096774</v>
      </c>
    </row>
    <row r="28" spans="2:252" s="249" customFormat="1" ht="15.6" x14ac:dyDescent="0.3">
      <c r="B28" s="26" t="s">
        <v>34</v>
      </c>
      <c r="C28" s="27" t="s">
        <v>31</v>
      </c>
      <c r="D28" s="35">
        <v>8.3333333333333343E-2</v>
      </c>
      <c r="E28" s="29">
        <f>E23*D28</f>
        <v>77095.666666666672</v>
      </c>
      <c r="F28" s="29">
        <f>+E28</f>
        <v>77095.666666666672</v>
      </c>
      <c r="G28" s="103">
        <f>+E28/$C$13</f>
        <v>24.86956989247312</v>
      </c>
    </row>
    <row r="29" spans="2:252" s="249" customFormat="1" ht="15.6" x14ac:dyDescent="0.3">
      <c r="B29" s="26" t="s">
        <v>35</v>
      </c>
      <c r="C29" s="37" t="s">
        <v>36</v>
      </c>
      <c r="D29" s="35">
        <v>4.1666666666666664E-2</v>
      </c>
      <c r="E29" s="29">
        <f>(E18+E20)*D29</f>
        <v>34504.833333333328</v>
      </c>
      <c r="F29" s="29">
        <f>+E29</f>
        <v>34504.833333333328</v>
      </c>
      <c r="G29" s="103">
        <f>+E29/$C$13</f>
        <v>11.130591397849461</v>
      </c>
    </row>
    <row r="30" spans="2:252" s="249" customFormat="1" ht="15.6" x14ac:dyDescent="0.3">
      <c r="B30" s="177" t="s">
        <v>37</v>
      </c>
      <c r="C30" s="38"/>
      <c r="D30" s="33"/>
      <c r="E30" s="30">
        <f>SUM(E26:E29)</f>
        <v>197947.64666666667</v>
      </c>
      <c r="F30" s="30">
        <f>SUM(F26:F29)</f>
        <v>197947.64666666667</v>
      </c>
      <c r="G30" s="104">
        <f>+E30/$C$13</f>
        <v>63.854079569892477</v>
      </c>
    </row>
    <row r="31" spans="2:252" s="249" customFormat="1" ht="15.6" x14ac:dyDescent="0.3">
      <c r="B31" s="260"/>
      <c r="C31" s="261"/>
      <c r="D31" s="262"/>
      <c r="E31" s="259"/>
      <c r="F31" s="259"/>
      <c r="G31" s="108"/>
      <c r="H31" s="238"/>
    </row>
    <row r="32" spans="2:252" s="249" customFormat="1" ht="15.6" x14ac:dyDescent="0.3">
      <c r="B32" s="256" t="s">
        <v>38</v>
      </c>
      <c r="C32" s="257"/>
      <c r="D32" s="258"/>
      <c r="E32" s="259"/>
      <c r="F32" s="259"/>
      <c r="G32" s="108"/>
      <c r="H32" s="238"/>
    </row>
    <row r="33" spans="2:14" s="249" customFormat="1" ht="15.6" x14ac:dyDescent="0.3">
      <c r="B33" s="310" t="s">
        <v>39</v>
      </c>
      <c r="C33" s="85">
        <f>ROUND(IF($E$18+E20+E21+E22&lt;=($C$5*25),ROUND($E$18+E20+E21+E22,-3),ROUND($C$5*25,-3))*0.125,-2)</f>
        <v>103500</v>
      </c>
      <c r="D33" s="36">
        <v>8.5000000000000006E-2</v>
      </c>
      <c r="E33" s="29">
        <f>C33-E73</f>
        <v>70400</v>
      </c>
      <c r="F33" s="29">
        <v>0</v>
      </c>
      <c r="G33" s="103">
        <f t="shared" ref="G33:G38" si="1">+E33/$C$13</f>
        <v>22.70967741935484</v>
      </c>
      <c r="H33" s="274"/>
      <c r="I33" s="275"/>
    </row>
    <row r="34" spans="2:14" s="249" customFormat="1" ht="15.6" x14ac:dyDescent="0.3">
      <c r="B34" s="26" t="s">
        <v>40</v>
      </c>
      <c r="C34" s="85">
        <f>ROUND(IF($E$18+E20+E21+E22&lt;=($C$5*25),ROUND($E$18+E20+E21+E22,-3),ROUND($C$5*25,-3))*0.16,-2)</f>
        <v>132500</v>
      </c>
      <c r="D34" s="36">
        <v>0.12</v>
      </c>
      <c r="E34" s="29">
        <f>C34-E74</f>
        <v>99400</v>
      </c>
      <c r="F34" s="29">
        <f>+E34</f>
        <v>99400</v>
      </c>
      <c r="G34" s="103">
        <f t="shared" si="1"/>
        <v>32.064516129032256</v>
      </c>
      <c r="H34" s="276"/>
    </row>
    <row r="35" spans="2:14" s="249" customFormat="1" ht="15.6" x14ac:dyDescent="0.3">
      <c r="B35" s="26" t="s">
        <v>41</v>
      </c>
      <c r="C35" s="37" t="s">
        <v>42</v>
      </c>
      <c r="D35" s="28">
        <f>C11</f>
        <v>1.044E-2</v>
      </c>
      <c r="E35" s="29">
        <f>ROUND(IF($E$18+E21+E20+E22&lt;=($C$5*20),ROUND($E$18+E20+E21+E22,-3),ROUND($C$5*20,-3))*D35,-2)</f>
        <v>8600</v>
      </c>
      <c r="F35" s="29">
        <f>+E35</f>
        <v>8600</v>
      </c>
      <c r="G35" s="103">
        <f t="shared" si="1"/>
        <v>2.774193548387097</v>
      </c>
      <c r="H35" s="238"/>
    </row>
    <row r="36" spans="2:14" s="249" customFormat="1" ht="15.6" x14ac:dyDescent="0.3">
      <c r="B36" s="26" t="s">
        <v>43</v>
      </c>
      <c r="C36" s="271"/>
      <c r="D36" s="36">
        <v>8.5000000000000006E-2</v>
      </c>
      <c r="E36" s="29">
        <f>ROUND(IF($E$29&lt;=($C$5*25),ROUND($E$29,-3),ROUND($C$5*25,-3))*D36,-2)</f>
        <v>3000</v>
      </c>
      <c r="F36" s="29">
        <v>0</v>
      </c>
      <c r="G36" s="103">
        <f t="shared" si="1"/>
        <v>0.967741935483871</v>
      </c>
    </row>
    <row r="37" spans="2:14" s="249" customFormat="1" ht="15.6" x14ac:dyDescent="0.3">
      <c r="B37" s="26" t="s">
        <v>44</v>
      </c>
      <c r="C37" s="271"/>
      <c r="D37" s="36">
        <v>0.12</v>
      </c>
      <c r="E37" s="29">
        <f>ROUND(IF($E$29&lt;=($C$5*25),ROUND($E$29,-3),ROUND($C$5*25,-3))*D37,-2)</f>
        <v>4200</v>
      </c>
      <c r="F37" s="29">
        <f>+E37</f>
        <v>4200</v>
      </c>
      <c r="G37" s="103">
        <f t="shared" si="1"/>
        <v>1.3548387096774193</v>
      </c>
    </row>
    <row r="38" spans="2:14" s="249" customFormat="1" ht="15.6" x14ac:dyDescent="0.3">
      <c r="B38" s="177" t="s">
        <v>45</v>
      </c>
      <c r="C38" s="272"/>
      <c r="D38" s="269"/>
      <c r="E38" s="30">
        <f>SUM(E33:E37)</f>
        <v>185600</v>
      </c>
      <c r="F38" s="30">
        <f>SUM(F33:F37)</f>
        <v>112200</v>
      </c>
      <c r="G38" s="104">
        <f t="shared" si="1"/>
        <v>59.87096774193548</v>
      </c>
    </row>
    <row r="39" spans="2:14" s="249" customFormat="1" ht="15.6" x14ac:dyDescent="0.3">
      <c r="B39" s="260"/>
      <c r="C39" s="261"/>
      <c r="D39" s="262"/>
      <c r="E39" s="259"/>
      <c r="F39" s="259"/>
      <c r="G39" s="108"/>
      <c r="J39" s="359"/>
    </row>
    <row r="40" spans="2:14" s="249" customFormat="1" ht="15.6" x14ac:dyDescent="0.3">
      <c r="B40" s="256" t="s">
        <v>46</v>
      </c>
      <c r="C40" s="257"/>
      <c r="D40" s="258"/>
      <c r="E40" s="259"/>
      <c r="F40" s="259"/>
      <c r="G40" s="108"/>
    </row>
    <row r="41" spans="2:14" s="249" customFormat="1" ht="15.6" x14ac:dyDescent="0.3">
      <c r="B41" s="26" t="s">
        <v>47</v>
      </c>
      <c r="C41" s="37" t="s">
        <v>48</v>
      </c>
      <c r="D41" s="36">
        <v>0.09</v>
      </c>
      <c r="E41" s="29">
        <f>ROUND(ROUND(E18+E20+E21+E22,-3)*D41,-2)</f>
        <v>74500</v>
      </c>
      <c r="F41" s="29">
        <f>ROUND(ROUND(F18+F20+F21+F22,-3)*0.04,-2)</f>
        <v>33100</v>
      </c>
      <c r="G41" s="103">
        <f>+E41/$C$13</f>
        <v>24.032258064516128</v>
      </c>
    </row>
    <row r="42" spans="2:14" s="249" customFormat="1" ht="15.6" x14ac:dyDescent="0.3">
      <c r="B42" s="26" t="s">
        <v>49</v>
      </c>
      <c r="C42" s="37"/>
      <c r="D42" s="36">
        <v>0.09</v>
      </c>
      <c r="E42" s="29">
        <f>ROUND(ROUND(E29,-3)*D42,-2)</f>
        <v>3200</v>
      </c>
      <c r="F42" s="29">
        <f>ROUND(ROUND(F29,-3)*0.04,-2)</f>
        <v>1400</v>
      </c>
      <c r="G42" s="103">
        <f>+E42/$C$13</f>
        <v>1.032258064516129</v>
      </c>
    </row>
    <row r="43" spans="2:14" s="249" customFormat="1" ht="15.6" x14ac:dyDescent="0.3">
      <c r="B43" s="177" t="s">
        <v>50</v>
      </c>
      <c r="C43" s="38"/>
      <c r="D43" s="33"/>
      <c r="E43" s="30">
        <f>SUM(E41:E42)</f>
        <v>77700</v>
      </c>
      <c r="F43" s="30">
        <f>SUM(F41:F42)</f>
        <v>34500</v>
      </c>
      <c r="G43" s="104">
        <f>+E43/$C$13</f>
        <v>25.06451612903226</v>
      </c>
    </row>
    <row r="44" spans="2:14" s="249" customFormat="1" ht="15.6" x14ac:dyDescent="0.3">
      <c r="B44" s="273"/>
      <c r="C44" s="271"/>
      <c r="D44" s="262"/>
      <c r="E44" s="259"/>
      <c r="F44" s="259"/>
      <c r="G44" s="108"/>
    </row>
    <row r="45" spans="2:14" s="249" customFormat="1" ht="15.6" x14ac:dyDescent="0.3">
      <c r="B45" s="256" t="s">
        <v>51</v>
      </c>
      <c r="C45" s="257"/>
      <c r="D45" s="258"/>
      <c r="E45" s="259"/>
      <c r="F45" s="259"/>
      <c r="G45" s="108"/>
      <c r="N45" s="249" t="s">
        <v>52</v>
      </c>
    </row>
    <row r="46" spans="2:14" s="249" customFormat="1" ht="15.6" x14ac:dyDescent="0.3">
      <c r="B46" s="39" t="s">
        <v>53</v>
      </c>
      <c r="C46" s="37" t="s">
        <v>54</v>
      </c>
      <c r="D46" s="293"/>
      <c r="E46" s="29">
        <f>IF(E18+E20+E21+E22&lt;=C5*2,(C12*3)/12,0)</f>
        <v>0</v>
      </c>
      <c r="F46" s="29">
        <f>+E46</f>
        <v>0</v>
      </c>
      <c r="G46" s="104">
        <f>+E46/$C$13</f>
        <v>0</v>
      </c>
    </row>
    <row r="47" spans="2:14" s="249" customFormat="1" ht="15.6" x14ac:dyDescent="0.3">
      <c r="B47" s="260"/>
      <c r="C47" s="261"/>
      <c r="D47" s="262"/>
      <c r="E47" s="277"/>
      <c r="F47" s="277"/>
      <c r="G47" s="108"/>
    </row>
    <row r="48" spans="2:14" s="249" customFormat="1" ht="15.6" x14ac:dyDescent="0.3">
      <c r="B48" s="31" t="s">
        <v>55</v>
      </c>
      <c r="C48" s="32"/>
      <c r="D48" s="33"/>
      <c r="E48" s="30">
        <f>E23+E30+E38+E43+E46</f>
        <v>1386395.6466666667</v>
      </c>
      <c r="F48" s="30">
        <f>F23+F30+F38+F43+F46</f>
        <v>1269795.6466666667</v>
      </c>
      <c r="G48" s="104">
        <f>+E48/$C$13</f>
        <v>447.22440215053763</v>
      </c>
      <c r="I48" s="275"/>
    </row>
    <row r="49" spans="1:10" s="249" customFormat="1" ht="16.2" thickBot="1" x14ac:dyDescent="0.35">
      <c r="B49" s="80" t="s">
        <v>56</v>
      </c>
      <c r="C49" s="43"/>
      <c r="D49" s="44"/>
      <c r="E49" s="93">
        <f>+(E48/(E23-E19))-1</f>
        <v>0.67415633397575547</v>
      </c>
      <c r="F49" s="93">
        <f>+(F48/(F23-F19))-1</f>
        <v>0.53335480375535149</v>
      </c>
      <c r="G49" s="109"/>
    </row>
    <row r="50" spans="1:10" s="249" customFormat="1" ht="15.6" x14ac:dyDescent="0.3">
      <c r="B50" s="278"/>
      <c r="C50" s="279"/>
      <c r="D50" s="280"/>
      <c r="E50" s="281"/>
      <c r="F50" s="300"/>
      <c r="G50" s="110"/>
    </row>
    <row r="51" spans="1:10" s="249" customFormat="1" ht="16.2" thickBot="1" x14ac:dyDescent="0.35">
      <c r="B51" s="278"/>
      <c r="C51" s="279"/>
      <c r="D51" s="280"/>
      <c r="E51" s="281"/>
      <c r="F51" s="300"/>
      <c r="G51" s="110"/>
    </row>
    <row r="52" spans="1:10" s="249" customFormat="1" ht="15.6" x14ac:dyDescent="0.3">
      <c r="A52" s="225"/>
      <c r="B52" s="74" t="s">
        <v>57</v>
      </c>
      <c r="C52" s="294"/>
      <c r="D52" s="295"/>
      <c r="E52" s="187">
        <f>E48*12</f>
        <v>16636747.760000002</v>
      </c>
      <c r="F52" s="315">
        <f>F48*12</f>
        <v>15237547.760000002</v>
      </c>
      <c r="G52" s="321">
        <f>+E52/$C$13</f>
        <v>5366.6928258064518</v>
      </c>
      <c r="H52" s="225"/>
    </row>
    <row r="53" spans="1:10" s="249" customFormat="1" ht="15.6" x14ac:dyDescent="0.3">
      <c r="A53" s="225"/>
      <c r="B53" s="26" t="s">
        <v>58</v>
      </c>
      <c r="C53" s="27"/>
      <c r="D53" s="296"/>
      <c r="E53" s="29">
        <v>297</v>
      </c>
      <c r="F53" s="316">
        <v>297</v>
      </c>
      <c r="G53" s="320">
        <v>297</v>
      </c>
      <c r="H53" s="225"/>
    </row>
    <row r="54" spans="1:10" s="249" customFormat="1" ht="15.6" x14ac:dyDescent="0.3">
      <c r="A54" s="225"/>
      <c r="B54" s="26" t="s">
        <v>59</v>
      </c>
      <c r="C54" s="27"/>
      <c r="D54" s="296"/>
      <c r="E54" s="29">
        <f>E52/E53</f>
        <v>56015.985723905731</v>
      </c>
      <c r="F54" s="316">
        <f>F52/F53</f>
        <v>51304.874612794621</v>
      </c>
      <c r="G54" s="318">
        <f>+E54/$C$13</f>
        <v>18.069672814163138</v>
      </c>
      <c r="H54" s="225"/>
    </row>
    <row r="55" spans="1:10" s="249" customFormat="1" ht="16.2" thickBot="1" x14ac:dyDescent="0.35">
      <c r="A55" s="225"/>
      <c r="B55" s="188" t="s">
        <v>60</v>
      </c>
      <c r="C55" s="69"/>
      <c r="D55" s="297"/>
      <c r="E55" s="82">
        <f>E54/8</f>
        <v>7001.9982154882164</v>
      </c>
      <c r="F55" s="317">
        <f>F54/8</f>
        <v>6413.1093265993277</v>
      </c>
      <c r="G55" s="319">
        <f>+E55/$C$13</f>
        <v>2.2587091017703922</v>
      </c>
      <c r="H55" s="225"/>
    </row>
    <row r="56" spans="1:10" s="249" customFormat="1" ht="15.6" x14ac:dyDescent="0.3">
      <c r="A56" s="225"/>
      <c r="B56" s="238"/>
      <c r="C56" s="282"/>
      <c r="D56" s="283"/>
      <c r="E56" s="281"/>
      <c r="F56" s="234"/>
      <c r="G56" s="208"/>
      <c r="H56" s="225"/>
    </row>
    <row r="57" spans="1:10" s="249" customFormat="1" ht="16.2" thickBot="1" x14ac:dyDescent="0.35">
      <c r="A57" s="225"/>
      <c r="B57" s="238"/>
      <c r="C57" s="282"/>
      <c r="D57" s="283"/>
      <c r="E57" s="281"/>
      <c r="F57" s="234"/>
      <c r="G57" s="208"/>
      <c r="H57" s="225"/>
    </row>
    <row r="58" spans="1:10" s="249" customFormat="1" ht="16.2" thickBot="1" x14ac:dyDescent="0.35">
      <c r="A58" s="225"/>
      <c r="B58" s="45" t="s">
        <v>61</v>
      </c>
      <c r="C58" s="46"/>
      <c r="D58" s="47" t="s">
        <v>13</v>
      </c>
      <c r="E58" s="48" t="s">
        <v>62</v>
      </c>
      <c r="F58" s="301" t="s">
        <v>63</v>
      </c>
      <c r="G58" s="49" t="s">
        <v>62</v>
      </c>
    </row>
    <row r="59" spans="1:10" s="249" customFormat="1" ht="15.6" x14ac:dyDescent="0.3">
      <c r="A59" s="225"/>
      <c r="B59" s="50" t="s">
        <v>64</v>
      </c>
      <c r="C59" s="51" t="s">
        <v>65</v>
      </c>
      <c r="D59" s="52"/>
      <c r="E59" s="213">
        <f>(E18/30)/8</f>
        <v>3450.4833333333331</v>
      </c>
      <c r="F59" s="302"/>
      <c r="G59" s="298"/>
      <c r="H59" s="225"/>
      <c r="I59" s="253"/>
    </row>
    <row r="60" spans="1:10" s="249" customFormat="1" ht="15.6" x14ac:dyDescent="0.3">
      <c r="A60" s="225"/>
      <c r="B60" s="39" t="s">
        <v>66</v>
      </c>
      <c r="C60" s="37" t="s">
        <v>67</v>
      </c>
      <c r="D60" s="54">
        <v>0.35</v>
      </c>
      <c r="E60" s="214">
        <f>$E$59*D60</f>
        <v>1207.6691666666666</v>
      </c>
      <c r="F60" s="303"/>
      <c r="G60" s="190">
        <f t="shared" ref="G60:G68" si="2">E60*F60</f>
        <v>0</v>
      </c>
      <c r="H60" s="225"/>
      <c r="I60" s="284"/>
      <c r="J60" s="264"/>
    </row>
    <row r="61" spans="1:10" s="249" customFormat="1" ht="15.6" x14ac:dyDescent="0.3">
      <c r="A61" s="225"/>
      <c r="B61" s="39" t="s">
        <v>68</v>
      </c>
      <c r="C61" s="37" t="s">
        <v>69</v>
      </c>
      <c r="D61" s="54">
        <v>0.75</v>
      </c>
      <c r="E61" s="214">
        <f>$E$59*D61</f>
        <v>2587.8624999999997</v>
      </c>
      <c r="F61" s="303"/>
      <c r="G61" s="190">
        <f t="shared" si="2"/>
        <v>0</v>
      </c>
      <c r="H61" s="225"/>
      <c r="I61" s="284"/>
    </row>
    <row r="62" spans="1:10" s="249" customFormat="1" ht="15.6" x14ac:dyDescent="0.3">
      <c r="A62" s="225"/>
      <c r="B62" s="56" t="s">
        <v>70</v>
      </c>
      <c r="C62" s="57" t="s">
        <v>71</v>
      </c>
      <c r="D62" s="58">
        <v>1.75</v>
      </c>
      <c r="E62" s="214">
        <f>$E$59*D62</f>
        <v>6038.3458333333328</v>
      </c>
      <c r="F62" s="304"/>
      <c r="G62" s="190">
        <f t="shared" si="2"/>
        <v>0</v>
      </c>
      <c r="H62" s="225"/>
      <c r="I62" s="253"/>
    </row>
    <row r="63" spans="1:10" s="249" customFormat="1" ht="15.6" x14ac:dyDescent="0.3">
      <c r="A63" s="225"/>
      <c r="B63" s="26" t="s">
        <v>72</v>
      </c>
      <c r="C63" s="27" t="s">
        <v>73</v>
      </c>
      <c r="D63" s="222">
        <v>1.1000000000000001</v>
      </c>
      <c r="E63" s="215">
        <f t="shared" ref="E63:E68" si="3">$E$59*D63</f>
        <v>3795.5316666666668</v>
      </c>
      <c r="F63" s="304"/>
      <c r="G63" s="190">
        <f t="shared" si="2"/>
        <v>0</v>
      </c>
      <c r="H63" s="225"/>
      <c r="I63" s="253"/>
    </row>
    <row r="64" spans="1:10" s="249" customFormat="1" ht="15.6" x14ac:dyDescent="0.3">
      <c r="A64" s="225"/>
      <c r="B64" s="86" t="s">
        <v>74</v>
      </c>
      <c r="C64" s="27" t="s">
        <v>75</v>
      </c>
      <c r="D64" s="223">
        <v>2.1</v>
      </c>
      <c r="E64" s="215">
        <f t="shared" si="3"/>
        <v>7246.0149999999994</v>
      </c>
      <c r="F64" s="304"/>
      <c r="G64" s="190">
        <f t="shared" si="2"/>
        <v>0</v>
      </c>
      <c r="H64" s="225"/>
      <c r="J64" s="253"/>
    </row>
    <row r="65" spans="1:10" s="249" customFormat="1" ht="15.6" x14ac:dyDescent="0.3">
      <c r="A65" s="225"/>
      <c r="B65" s="59" t="s">
        <v>76</v>
      </c>
      <c r="C65" s="60" t="s">
        <v>77</v>
      </c>
      <c r="D65" s="61">
        <v>1.25</v>
      </c>
      <c r="E65" s="215">
        <f t="shared" si="3"/>
        <v>4313.1041666666661</v>
      </c>
      <c r="F65" s="303"/>
      <c r="G65" s="190">
        <f t="shared" si="2"/>
        <v>0</v>
      </c>
      <c r="H65" s="225"/>
      <c r="J65" s="253"/>
    </row>
    <row r="66" spans="1:10" s="249" customFormat="1" ht="15.6" x14ac:dyDescent="0.3">
      <c r="A66" s="225"/>
      <c r="B66" s="62" t="s">
        <v>78</v>
      </c>
      <c r="C66" s="37" t="s">
        <v>79</v>
      </c>
      <c r="D66" s="54">
        <v>1.75</v>
      </c>
      <c r="E66" s="215">
        <f t="shared" si="3"/>
        <v>6038.3458333333328</v>
      </c>
      <c r="F66" s="305"/>
      <c r="G66" s="190">
        <f t="shared" si="2"/>
        <v>0</v>
      </c>
      <c r="H66" s="225"/>
    </row>
    <row r="67" spans="1:10" s="249" customFormat="1" ht="15.6" x14ac:dyDescent="0.3">
      <c r="A67" s="225"/>
      <c r="B67" s="62" t="s">
        <v>80</v>
      </c>
      <c r="C67" s="37" t="s">
        <v>81</v>
      </c>
      <c r="D67" s="54">
        <v>2</v>
      </c>
      <c r="E67" s="215">
        <f t="shared" si="3"/>
        <v>6900.9666666666662</v>
      </c>
      <c r="F67" s="305"/>
      <c r="G67" s="190">
        <f t="shared" si="2"/>
        <v>0</v>
      </c>
      <c r="H67" s="225"/>
    </row>
    <row r="68" spans="1:10" s="249" customFormat="1" ht="16.2" thickBot="1" x14ac:dyDescent="0.35">
      <c r="A68" s="225"/>
      <c r="B68" s="63" t="s">
        <v>82</v>
      </c>
      <c r="C68" s="64" t="s">
        <v>83</v>
      </c>
      <c r="D68" s="65">
        <v>2.5</v>
      </c>
      <c r="E68" s="216">
        <f t="shared" si="3"/>
        <v>8626.2083333333321</v>
      </c>
      <c r="F68" s="306"/>
      <c r="G68" s="193">
        <f t="shared" si="2"/>
        <v>0</v>
      </c>
      <c r="H68" s="225"/>
    </row>
    <row r="69" spans="1:10" s="249" customFormat="1" ht="16.2" thickBot="1" x14ac:dyDescent="0.35">
      <c r="A69" s="225"/>
      <c r="B69" s="95" t="s">
        <v>84</v>
      </c>
      <c r="C69" s="226"/>
      <c r="D69" s="227"/>
      <c r="E69" s="228"/>
      <c r="F69" s="234"/>
      <c r="G69" s="66">
        <f>SUM(G60:G68)</f>
        <v>0</v>
      </c>
      <c r="H69" s="225"/>
      <c r="I69" s="208"/>
    </row>
    <row r="70" spans="1:10" s="249" customFormat="1" ht="16.2" thickBot="1" x14ac:dyDescent="0.35">
      <c r="A70" s="225"/>
      <c r="B70" s="238"/>
      <c r="C70" s="282"/>
      <c r="D70" s="283"/>
      <c r="E70" s="281"/>
      <c r="F70" s="234"/>
      <c r="G70" s="208"/>
      <c r="H70" s="225"/>
    </row>
    <row r="71" spans="1:10" s="249" customFormat="1" ht="16.2" thickBot="1" x14ac:dyDescent="0.35">
      <c r="A71" s="225"/>
      <c r="B71" s="113" t="s">
        <v>85</v>
      </c>
      <c r="C71" s="114"/>
      <c r="D71" s="105" t="s">
        <v>13</v>
      </c>
      <c r="E71" s="48" t="s">
        <v>62</v>
      </c>
      <c r="F71" s="234"/>
      <c r="G71" s="208"/>
      <c r="H71" s="225"/>
    </row>
    <row r="72" spans="1:10" s="249" customFormat="1" ht="15.6" x14ac:dyDescent="0.3">
      <c r="A72" s="225"/>
      <c r="B72" s="74" t="s">
        <v>86</v>
      </c>
      <c r="C72" s="67" t="s">
        <v>87</v>
      </c>
      <c r="D72" s="295"/>
      <c r="E72" s="291"/>
      <c r="F72" s="234"/>
      <c r="G72" s="208"/>
      <c r="H72" s="225"/>
    </row>
    <row r="73" spans="1:10" s="249" customFormat="1" ht="15.6" x14ac:dyDescent="0.3">
      <c r="A73" s="225"/>
      <c r="B73" s="26" t="s">
        <v>88</v>
      </c>
      <c r="C73" s="27" t="s">
        <v>89</v>
      </c>
      <c r="D73" s="54">
        <v>0.04</v>
      </c>
      <c r="E73" s="217">
        <f>ROUND(IF($E$18+E20+E21+E22&lt;=($C$5*25),ROUND($E$18+E20+E21+E22,-3),ROUND($C$5*25,-3))*D73,-2)</f>
        <v>33100</v>
      </c>
      <c r="F73" s="234"/>
      <c r="H73" s="225"/>
    </row>
    <row r="74" spans="1:10" s="249" customFormat="1" ht="15.6" x14ac:dyDescent="0.3">
      <c r="A74" s="225"/>
      <c r="B74" s="26" t="s">
        <v>90</v>
      </c>
      <c r="C74" s="37" t="s">
        <v>91</v>
      </c>
      <c r="D74" s="54">
        <v>0.04</v>
      </c>
      <c r="E74" s="217">
        <f>ROUND(IF($E$18+E20+E21+E22&lt;=($C$5*25),ROUND($E$18+E20+E21+E22,-3),ROUND($C$5*25,-3))*D74,-2)</f>
        <v>33100</v>
      </c>
      <c r="F74" s="234"/>
      <c r="G74" s="208"/>
      <c r="H74" s="225"/>
    </row>
    <row r="75" spans="1:10" s="249" customFormat="1" ht="15.6" x14ac:dyDescent="0.3">
      <c r="A75" s="225"/>
      <c r="B75" s="26" t="s">
        <v>92</v>
      </c>
      <c r="C75" s="37" t="s">
        <v>93</v>
      </c>
      <c r="D75" s="79">
        <f>IF(E18+E20+E21+E22&lt;(C5*4),0,0.01)</f>
        <v>0</v>
      </c>
      <c r="E75" s="29">
        <f>IF(E18+E20+E21+E22&lt;(C5*4),0,(E18+E20+E21+E22)*D75)</f>
        <v>0</v>
      </c>
      <c r="F75" s="234"/>
      <c r="G75" s="208"/>
      <c r="H75" s="225"/>
    </row>
    <row r="76" spans="1:10" s="249" customFormat="1" ht="15.6" x14ac:dyDescent="0.3">
      <c r="A76" s="225"/>
      <c r="B76" s="26" t="s">
        <v>94</v>
      </c>
      <c r="C76" s="37" t="s">
        <v>95</v>
      </c>
      <c r="D76" s="36">
        <f>IF(E18+E20+E21+E22&lt;C81,D81,IF(E18+E20+E21+E22&lt;C82,D82,IF(E18+E20+E21+E22&lt;C83,D83,IF(E18+E20+E21+E22&lt;C84,D84,IF(E18+E20+E21+E22&lt;C85,D85,D86)))))</f>
        <v>0</v>
      </c>
      <c r="E76" s="195">
        <f>(E18+E20+E21+E22)*D76</f>
        <v>0</v>
      </c>
      <c r="F76" s="234"/>
      <c r="G76" s="208"/>
      <c r="H76" s="225"/>
    </row>
    <row r="77" spans="1:10" s="249" customFormat="1" ht="16.2" thickBot="1" x14ac:dyDescent="0.35">
      <c r="A77" s="225"/>
      <c r="B77" s="94" t="s">
        <v>96</v>
      </c>
      <c r="C77" s="69"/>
      <c r="D77" s="196"/>
      <c r="E77" s="70">
        <f>SUM(E72:E76)</f>
        <v>66200</v>
      </c>
      <c r="F77" s="234"/>
      <c r="G77" s="208"/>
      <c r="H77" s="225"/>
    </row>
    <row r="78" spans="1:10" s="249" customFormat="1" ht="15.6" x14ac:dyDescent="0.3">
      <c r="A78" s="225"/>
      <c r="B78" s="238"/>
      <c r="C78" s="282"/>
      <c r="D78" s="283"/>
      <c r="E78" s="281"/>
      <c r="F78" s="234"/>
      <c r="G78" s="208"/>
      <c r="H78" s="225"/>
    </row>
    <row r="79" spans="1:10" ht="16.2" thickBot="1" x14ac:dyDescent="0.35">
      <c r="B79" s="238"/>
      <c r="C79" s="282"/>
      <c r="D79" s="285"/>
      <c r="E79" s="281"/>
    </row>
    <row r="80" spans="1:10" ht="16.2" thickBot="1" x14ac:dyDescent="0.35">
      <c r="B80" s="71" t="s">
        <v>97</v>
      </c>
      <c r="C80" s="72"/>
      <c r="D80" s="19"/>
      <c r="E80" s="73"/>
    </row>
    <row r="81" spans="2:5" s="225" customFormat="1" ht="15.6" x14ac:dyDescent="0.3">
      <c r="B81" s="74" t="s">
        <v>98</v>
      </c>
      <c r="C81" s="218">
        <f>$C$5*16</f>
        <v>13249856</v>
      </c>
      <c r="D81" s="75">
        <v>0</v>
      </c>
      <c r="E81" s="76"/>
    </row>
    <row r="82" spans="2:5" s="225" customFormat="1" ht="15.6" x14ac:dyDescent="0.3">
      <c r="B82" s="39" t="s">
        <v>99</v>
      </c>
      <c r="C82" s="219">
        <f>$C$5*17</f>
        <v>14077972</v>
      </c>
      <c r="D82" s="77">
        <v>2E-3</v>
      </c>
      <c r="E82" s="78"/>
    </row>
    <row r="83" spans="2:5" s="225" customFormat="1" ht="15.6" x14ac:dyDescent="0.3">
      <c r="B83" s="39" t="s">
        <v>100</v>
      </c>
      <c r="C83" s="220">
        <f>$C$5*18</f>
        <v>14906088</v>
      </c>
      <c r="D83" s="79">
        <v>4.0000000000000001E-3</v>
      </c>
      <c r="E83" s="29"/>
    </row>
    <row r="84" spans="2:5" s="225" customFormat="1" ht="15.6" x14ac:dyDescent="0.3">
      <c r="B84" s="39" t="s">
        <v>101</v>
      </c>
      <c r="C84" s="220">
        <f>$C$5*19</f>
        <v>15734204</v>
      </c>
      <c r="D84" s="79">
        <v>6.0000000000000001E-3</v>
      </c>
      <c r="E84" s="29"/>
    </row>
    <row r="85" spans="2:5" s="225" customFormat="1" ht="15.6" x14ac:dyDescent="0.3">
      <c r="B85" s="39" t="s">
        <v>102</v>
      </c>
      <c r="C85" s="220">
        <f>$C$5*20</f>
        <v>16562320</v>
      </c>
      <c r="D85" s="79">
        <v>8.0000000000000002E-3</v>
      </c>
      <c r="E85" s="29"/>
    </row>
    <row r="86" spans="2:5" s="225" customFormat="1" ht="16.2" thickBot="1" x14ac:dyDescent="0.35">
      <c r="B86" s="80" t="s">
        <v>103</v>
      </c>
      <c r="C86" s="221">
        <f>+C85</f>
        <v>16562320</v>
      </c>
      <c r="D86" s="81">
        <v>0.01</v>
      </c>
      <c r="E86" s="82"/>
    </row>
    <row r="87" spans="2:5" s="225" customFormat="1" x14ac:dyDescent="0.25">
      <c r="B87" s="245"/>
      <c r="C87" s="287"/>
      <c r="D87" s="288"/>
      <c r="E87" s="149" t="str">
        <f>+B69</f>
        <v>V 1.0 -23.12. 2018</v>
      </c>
    </row>
    <row r="88" spans="2:5" s="225" customFormat="1" ht="14.4" x14ac:dyDescent="0.3">
      <c r="C88" s="226"/>
      <c r="D88" s="289"/>
      <c r="E88" s="290"/>
    </row>
    <row r="89" spans="2:5" s="225" customFormat="1" ht="15.6" x14ac:dyDescent="0.3">
      <c r="C89" s="286"/>
      <c r="D89" s="227"/>
      <c r="E89" s="228"/>
    </row>
    <row r="90" spans="2:5" s="225" customFormat="1" ht="15.6" x14ac:dyDescent="0.3">
      <c r="B90" s="349"/>
      <c r="C90" s="286"/>
      <c r="D90" s="227"/>
      <c r="E90" s="228"/>
    </row>
    <row r="91" spans="2:5" s="225" customFormat="1" ht="15.6" x14ac:dyDescent="0.3">
      <c r="C91" s="286"/>
      <c r="D91" s="227"/>
      <c r="E91" s="228"/>
    </row>
    <row r="92" spans="2:5" s="225" customFormat="1" ht="15.6" x14ac:dyDescent="0.3">
      <c r="C92" s="286"/>
      <c r="D92" s="227"/>
      <c r="E92" s="228"/>
    </row>
    <row r="93" spans="2:5" s="225" customFormat="1" ht="15.6" x14ac:dyDescent="0.3">
      <c r="C93" s="286"/>
      <c r="D93" s="227"/>
      <c r="E93" s="228"/>
    </row>
    <row r="94" spans="2:5" s="225" customFormat="1" ht="15.6" x14ac:dyDescent="0.3">
      <c r="C94" s="286"/>
      <c r="D94" s="227"/>
      <c r="E94" s="228"/>
    </row>
    <row r="95" spans="2:5" s="225" customFormat="1" ht="15.6" x14ac:dyDescent="0.3">
      <c r="C95" s="286"/>
      <c r="D95" s="227"/>
      <c r="E95" s="228"/>
    </row>
    <row r="96" spans="2:5" s="225" customFormat="1" ht="15.6" x14ac:dyDescent="0.3">
      <c r="C96" s="286"/>
      <c r="D96" s="227"/>
      <c r="E96" s="228"/>
    </row>
    <row r="97" spans="3:3" s="225" customFormat="1" ht="15.6" x14ac:dyDescent="0.3">
      <c r="C97" s="286"/>
    </row>
    <row r="98" spans="3:3" s="225" customFormat="1" ht="15.6" x14ac:dyDescent="0.3">
      <c r="C98" s="286"/>
    </row>
    <row r="99" spans="3:3" s="225" customFormat="1" ht="15.6" x14ac:dyDescent="0.3">
      <c r="C99" s="286"/>
    </row>
    <row r="65536" spans="256:256" s="225" customFormat="1" x14ac:dyDescent="0.25">
      <c r="IV65536" s="322">
        <v>2017</v>
      </c>
    </row>
  </sheetData>
  <sheetProtection password="CCF3" sheet="1" objects="1" scenarios="1"/>
  <phoneticPr fontId="7" type="noConversion"/>
  <dataValidations count="2">
    <dataValidation type="list" allowBlank="1" showInputMessage="1" showErrorMessage="1" sqref="C11" xr:uid="{00000000-0002-0000-0000-000000000000}">
      <formula1>$IV$6:$IV$10</formula1>
    </dataValidation>
    <dataValidation type="list" allowBlank="1" showInputMessage="1" showErrorMessage="1" sqref="D13" xr:uid="{00000000-0002-0000-0000-000001000000}">
      <formula1>$IV$13:$IV$16</formula1>
    </dataValidation>
  </dataValidations>
  <pageMargins left="0.25" right="0.25" top="0.75" bottom="0.75" header="0.3" footer="0.3"/>
  <pageSetup scale="10" orientation="portrait" horizontalDpi="0" verticalDpi="0"/>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26"/>
    <pageSetUpPr fitToPage="1"/>
  </sheetPr>
  <dimension ref="A1:IV65536"/>
  <sheetViews>
    <sheetView showGridLines="0" zoomScaleSheetLayoutView="70" workbookViewId="0">
      <selection activeCell="H33" sqref="H33"/>
    </sheetView>
  </sheetViews>
  <sheetFormatPr baseColWidth="10" defaultColWidth="11.44140625" defaultRowHeight="13.2" x14ac:dyDescent="0.25"/>
  <cols>
    <col min="1" max="1" width="3.33203125" style="1" customWidth="1"/>
    <col min="2" max="2" width="45.33203125" style="1" customWidth="1"/>
    <col min="3" max="3" width="58.88671875" style="2" customWidth="1"/>
    <col min="4" max="4" width="11" style="3" customWidth="1"/>
    <col min="5" max="5" width="17.33203125" style="4" customWidth="1"/>
    <col min="6" max="6" width="10.44140625" style="5" customWidth="1"/>
    <col min="7" max="7" width="13.88671875" style="5" customWidth="1"/>
    <col min="8" max="8" width="7.6640625" style="1" customWidth="1"/>
    <col min="9" max="9" width="13.33203125" style="1" bestFit="1" customWidth="1"/>
    <col min="10" max="10" width="12" style="1" bestFit="1" customWidth="1"/>
    <col min="11" max="16384" width="11.44140625" style="1"/>
  </cols>
  <sheetData>
    <row r="1" spans="1:256" ht="11.25" customHeight="1" x14ac:dyDescent="0.25">
      <c r="A1" s="155"/>
      <c r="B1" s="155"/>
      <c r="C1" s="115"/>
      <c r="D1" s="116"/>
      <c r="F1" s="156"/>
      <c r="G1" s="156"/>
    </row>
    <row r="2" spans="1:256" ht="18" customHeight="1" x14ac:dyDescent="0.3">
      <c r="A2" s="155"/>
      <c r="B2" s="87" t="s">
        <v>0</v>
      </c>
      <c r="C2" s="88"/>
      <c r="D2" s="89"/>
      <c r="E2" s="90"/>
      <c r="F2" s="156"/>
      <c r="G2" s="156"/>
    </row>
    <row r="3" spans="1:256" ht="14.25" customHeight="1" thickBot="1" x14ac:dyDescent="0.3">
      <c r="A3" s="155"/>
      <c r="B3" s="155"/>
      <c r="C3" s="115"/>
      <c r="D3" s="116"/>
      <c r="F3" s="156"/>
      <c r="G3" s="156"/>
    </row>
    <row r="4" spans="1:256" ht="18.75" customHeight="1" thickBot="1" x14ac:dyDescent="0.4">
      <c r="A4" s="155"/>
      <c r="B4" s="146" t="s">
        <v>145</v>
      </c>
      <c r="C4" s="117"/>
      <c r="D4" s="116"/>
      <c r="F4" s="156"/>
      <c r="G4" s="156"/>
    </row>
    <row r="5" spans="1:256" ht="18.75" customHeight="1" x14ac:dyDescent="0.3">
      <c r="A5" s="155"/>
      <c r="B5" s="6" t="s">
        <v>2</v>
      </c>
      <c r="C5" s="76">
        <v>515000</v>
      </c>
      <c r="D5" s="116"/>
      <c r="E5" s="351"/>
      <c r="F5" s="156"/>
      <c r="G5" s="156"/>
      <c r="I5" s="156"/>
    </row>
    <row r="6" spans="1:256" ht="18.75" customHeight="1" thickBot="1" x14ac:dyDescent="0.35">
      <c r="A6" s="155"/>
      <c r="B6" s="159" t="s">
        <v>3</v>
      </c>
      <c r="C6" s="82">
        <v>61500</v>
      </c>
      <c r="D6" s="116"/>
      <c r="F6" s="156"/>
      <c r="G6" s="156"/>
      <c r="I6" s="160"/>
      <c r="J6" s="150"/>
      <c r="IV6" s="7">
        <v>5.2199999999999998E-3</v>
      </c>
    </row>
    <row r="7" spans="1:256" ht="13.5" customHeight="1" x14ac:dyDescent="0.3">
      <c r="A7" s="155"/>
      <c r="B7" s="161"/>
      <c r="C7" s="162"/>
      <c r="D7" s="116"/>
      <c r="F7" s="156"/>
      <c r="G7" s="156"/>
      <c r="IV7" s="7">
        <v>1.044E-2</v>
      </c>
    </row>
    <row r="8" spans="1:256" ht="12.75" customHeight="1" x14ac:dyDescent="0.25">
      <c r="A8" s="155"/>
      <c r="B8" s="161"/>
      <c r="C8" s="161"/>
      <c r="D8" s="116"/>
      <c r="F8" s="156"/>
      <c r="G8" s="156"/>
      <c r="IV8" s="7">
        <v>2.436E-2</v>
      </c>
    </row>
    <row r="9" spans="1:256" ht="12" customHeight="1" thickBot="1" x14ac:dyDescent="0.3">
      <c r="A9" s="155"/>
      <c r="B9" s="9" t="s">
        <v>4</v>
      </c>
      <c r="C9" s="147" t="s">
        <v>130</v>
      </c>
      <c r="D9" s="118"/>
      <c r="E9" s="10"/>
      <c r="F9" s="156"/>
      <c r="G9" s="156"/>
      <c r="IV9" s="7">
        <v>4.3499999999999997E-2</v>
      </c>
    </row>
    <row r="10" spans="1:256" ht="18.75" customHeight="1" x14ac:dyDescent="0.3">
      <c r="A10" s="155"/>
      <c r="B10" s="11" t="s">
        <v>6</v>
      </c>
      <c r="C10" s="100">
        <v>515000</v>
      </c>
      <c r="D10" s="119"/>
      <c r="E10" s="163"/>
      <c r="F10" s="156"/>
      <c r="G10" s="120"/>
      <c r="H10" s="12"/>
      <c r="IV10" s="7">
        <v>6.9599999999999995E-2</v>
      </c>
    </row>
    <row r="11" spans="1:256" ht="18.75" customHeight="1" x14ac:dyDescent="0.3">
      <c r="A11" s="155"/>
      <c r="B11" s="13" t="s">
        <v>7</v>
      </c>
      <c r="C11" s="14">
        <v>5.2199999999999998E-3</v>
      </c>
      <c r="D11" s="118"/>
      <c r="E11" s="10"/>
      <c r="F11" s="156"/>
      <c r="G11" s="120"/>
      <c r="H11" s="12"/>
    </row>
    <row r="12" spans="1:256" ht="18.75" customHeight="1" thickBot="1" x14ac:dyDescent="0.35">
      <c r="A12" s="155"/>
      <c r="B12" s="15" t="s">
        <v>8</v>
      </c>
      <c r="C12" s="164"/>
      <c r="D12" s="118"/>
      <c r="E12" s="10"/>
      <c r="F12" s="156"/>
      <c r="G12" s="121"/>
      <c r="H12" s="12"/>
      <c r="IR12" s="16"/>
      <c r="IV12" s="18"/>
    </row>
    <row r="13" spans="1:256" ht="10.5" customHeight="1" x14ac:dyDescent="0.3">
      <c r="A13" s="155"/>
      <c r="B13" s="161"/>
      <c r="C13" s="121"/>
      <c r="D13" s="118"/>
      <c r="E13" s="10"/>
      <c r="F13" s="156"/>
      <c r="G13" s="120"/>
      <c r="H13" s="12"/>
      <c r="IR13" s="16"/>
    </row>
    <row r="14" spans="1:256" ht="10.5" customHeight="1" thickBot="1" x14ac:dyDescent="0.35">
      <c r="A14" s="155"/>
      <c r="B14" s="165"/>
      <c r="C14" s="122"/>
      <c r="D14" s="123"/>
      <c r="F14" s="166"/>
      <c r="G14" s="120"/>
      <c r="H14" s="12"/>
      <c r="IR14" s="16"/>
    </row>
    <row r="15" spans="1:256" s="18" customFormat="1" ht="18.75" customHeight="1" x14ac:dyDescent="0.3">
      <c r="A15" s="167"/>
      <c r="B15" s="96" t="s">
        <v>11</v>
      </c>
      <c r="C15" s="97" t="s">
        <v>12</v>
      </c>
      <c r="D15" s="98" t="s">
        <v>13</v>
      </c>
      <c r="E15" s="99" t="s">
        <v>131</v>
      </c>
      <c r="F15" s="168"/>
      <c r="G15" s="120"/>
      <c r="H15" s="12"/>
      <c r="IR15" s="20"/>
    </row>
    <row r="16" spans="1:256" s="18" customFormat="1" ht="9" customHeight="1" x14ac:dyDescent="0.3">
      <c r="A16" s="167"/>
      <c r="B16" s="169"/>
      <c r="C16" s="162"/>
      <c r="D16" s="162"/>
      <c r="E16" s="21"/>
      <c r="F16" s="168"/>
      <c r="G16" s="168"/>
      <c r="IR16" s="20"/>
    </row>
    <row r="17" spans="1:252" s="18" customFormat="1" ht="18.75" customHeight="1" x14ac:dyDescent="0.3">
      <c r="A17" s="167"/>
      <c r="B17" s="22" t="s">
        <v>17</v>
      </c>
      <c r="C17" s="23"/>
      <c r="D17" s="24"/>
      <c r="E17" s="25"/>
      <c r="F17" s="168"/>
      <c r="G17" s="168"/>
      <c r="IR17" s="20"/>
    </row>
    <row r="18" spans="1:252" s="18" customFormat="1" ht="18.75" customHeight="1" x14ac:dyDescent="0.3">
      <c r="A18" s="167"/>
      <c r="B18" s="26" t="s">
        <v>18</v>
      </c>
      <c r="C18" s="27" t="s">
        <v>19</v>
      </c>
      <c r="D18" s="170"/>
      <c r="E18" s="29">
        <f>IF(C10&lt;C5,FALSE,C10)</f>
        <v>515000</v>
      </c>
      <c r="F18" s="171"/>
      <c r="G18" s="168"/>
      <c r="IR18" s="20"/>
    </row>
    <row r="19" spans="1:252" s="18" customFormat="1" ht="18.75" customHeight="1" x14ac:dyDescent="0.3">
      <c r="A19" s="167"/>
      <c r="B19" s="26" t="s">
        <v>20</v>
      </c>
      <c r="C19" s="27" t="s">
        <v>146</v>
      </c>
      <c r="D19" s="170"/>
      <c r="E19" s="29">
        <f>IF(E18+E20+E21+E22&lt;=(C5*2),C6,0)</f>
        <v>61500</v>
      </c>
      <c r="F19" s="171"/>
      <c r="G19" s="168"/>
    </row>
    <row r="20" spans="1:252" s="18" customFormat="1" ht="18.75" customHeight="1" x14ac:dyDescent="0.3">
      <c r="A20" s="167"/>
      <c r="B20" s="26" t="s">
        <v>22</v>
      </c>
      <c r="C20" s="27" t="s">
        <v>23</v>
      </c>
      <c r="D20" s="170"/>
      <c r="E20" s="34"/>
      <c r="F20" s="171"/>
      <c r="G20" s="168"/>
      <c r="J20" s="151"/>
    </row>
    <row r="21" spans="1:252" s="18" customFormat="1" ht="18.75" customHeight="1" x14ac:dyDescent="0.3">
      <c r="A21" s="167"/>
      <c r="B21" s="26" t="s">
        <v>118</v>
      </c>
      <c r="C21" s="27" t="s">
        <v>25</v>
      </c>
      <c r="D21" s="170"/>
      <c r="E21" s="34"/>
      <c r="F21" s="171"/>
      <c r="G21" s="168"/>
    </row>
    <row r="22" spans="1:252" s="18" customFormat="1" ht="18.75" customHeight="1" x14ac:dyDescent="0.3">
      <c r="A22" s="167"/>
      <c r="B22" s="26" t="s">
        <v>26</v>
      </c>
      <c r="C22" s="27" t="s">
        <v>110</v>
      </c>
      <c r="D22" s="170"/>
      <c r="E22" s="34"/>
      <c r="F22" s="171"/>
      <c r="G22" s="168"/>
    </row>
    <row r="23" spans="1:252" s="18" customFormat="1" ht="18.75" customHeight="1" x14ac:dyDescent="0.3">
      <c r="A23" s="167"/>
      <c r="B23" s="148" t="s">
        <v>28</v>
      </c>
      <c r="C23" s="125"/>
      <c r="D23" s="172"/>
      <c r="E23" s="30">
        <f>SUM(E18:E22)</f>
        <v>576500</v>
      </c>
      <c r="F23" s="173"/>
      <c r="G23" s="173"/>
    </row>
    <row r="24" spans="1:252" s="18" customFormat="1" ht="18.75" customHeight="1" x14ac:dyDescent="0.3">
      <c r="A24" s="167"/>
      <c r="B24" s="174"/>
      <c r="C24" s="126"/>
      <c r="D24" s="175"/>
      <c r="E24" s="34"/>
      <c r="F24" s="173"/>
      <c r="G24" s="173"/>
    </row>
    <row r="25" spans="1:252" s="18" customFormat="1" ht="18.75" customHeight="1" x14ac:dyDescent="0.3">
      <c r="A25" s="167"/>
      <c r="B25" s="101" t="s">
        <v>29</v>
      </c>
      <c r="C25" s="23"/>
      <c r="D25" s="24"/>
      <c r="E25" s="34"/>
      <c r="F25" s="173"/>
      <c r="G25" s="173"/>
    </row>
    <row r="26" spans="1:252" s="18" customFormat="1" ht="18.75" customHeight="1" x14ac:dyDescent="0.3">
      <c r="A26" s="167"/>
      <c r="B26" s="26" t="s">
        <v>30</v>
      </c>
      <c r="C26" s="27" t="s">
        <v>31</v>
      </c>
      <c r="D26" s="35">
        <v>8.3333333333333343E-2</v>
      </c>
      <c r="E26" s="29">
        <f>E23*D26</f>
        <v>48041.666666666672</v>
      </c>
      <c r="F26" s="168"/>
      <c r="G26" s="168"/>
    </row>
    <row r="27" spans="1:252" s="18" customFormat="1" ht="18.75" customHeight="1" x14ac:dyDescent="0.3">
      <c r="A27" s="167"/>
      <c r="B27" s="26" t="s">
        <v>32</v>
      </c>
      <c r="C27" s="27" t="s">
        <v>33</v>
      </c>
      <c r="D27" s="36">
        <v>0.12</v>
      </c>
      <c r="E27" s="29">
        <f>+E26*D27</f>
        <v>5765</v>
      </c>
      <c r="F27" s="168"/>
      <c r="G27" s="168"/>
    </row>
    <row r="28" spans="1:252" s="18" customFormat="1" ht="18.75" customHeight="1" x14ac:dyDescent="0.3">
      <c r="A28" s="167"/>
      <c r="B28" s="26" t="s">
        <v>34</v>
      </c>
      <c r="C28" s="27" t="s">
        <v>31</v>
      </c>
      <c r="D28" s="35">
        <v>8.3333333333333343E-2</v>
      </c>
      <c r="E28" s="29">
        <f>E23*D28</f>
        <v>48041.666666666672</v>
      </c>
      <c r="F28" s="168"/>
      <c r="G28" s="168"/>
    </row>
    <row r="29" spans="1:252" s="18" customFormat="1" ht="18.75" customHeight="1" x14ac:dyDescent="0.3">
      <c r="A29" s="167"/>
      <c r="B29" s="26" t="s">
        <v>35</v>
      </c>
      <c r="C29" s="37" t="s">
        <v>36</v>
      </c>
      <c r="D29" s="35">
        <v>4.1666666666666664E-2</v>
      </c>
      <c r="E29" s="29">
        <f>(E18+E20)*D29</f>
        <v>21458.333333333332</v>
      </c>
      <c r="F29" s="168"/>
      <c r="G29" s="176"/>
    </row>
    <row r="30" spans="1:252" s="18" customFormat="1" ht="18.75" customHeight="1" x14ac:dyDescent="0.3">
      <c r="A30" s="167"/>
      <c r="B30" s="177" t="s">
        <v>37</v>
      </c>
      <c r="C30" s="128"/>
      <c r="D30" s="175"/>
      <c r="E30" s="30">
        <f>SUM(E26:E29)</f>
        <v>123306.66666666667</v>
      </c>
      <c r="F30" s="168"/>
      <c r="G30" s="168"/>
    </row>
    <row r="31" spans="1:252" s="18" customFormat="1" ht="18.75" customHeight="1" x14ac:dyDescent="0.3">
      <c r="A31" s="167"/>
      <c r="B31" s="178"/>
      <c r="C31" s="124"/>
      <c r="D31" s="170"/>
      <c r="E31" s="25"/>
      <c r="F31" s="168"/>
      <c r="G31" s="168"/>
      <c r="H31" s="8"/>
    </row>
    <row r="32" spans="1:252" s="18" customFormat="1" ht="18.75" customHeight="1" x14ac:dyDescent="0.3">
      <c r="A32" s="167"/>
      <c r="B32" s="22" t="s">
        <v>38</v>
      </c>
      <c r="C32" s="23"/>
      <c r="D32" s="24"/>
      <c r="E32" s="25"/>
      <c r="F32" s="168"/>
      <c r="G32" s="168"/>
      <c r="H32" s="8"/>
    </row>
    <row r="33" spans="1:9" s="18" customFormat="1" ht="18.75" customHeight="1" x14ac:dyDescent="0.3">
      <c r="A33" s="167"/>
      <c r="B33" s="39" t="s">
        <v>39</v>
      </c>
      <c r="C33" s="85">
        <f>ROUND(IF($E$18+E20+E21+E22&lt;=($C$5*25),ROUND($E$18+E20+E21+E22,-3),ROUND($C$5*25,-3))*0.125,-2)</f>
        <v>64400</v>
      </c>
      <c r="D33" s="36">
        <v>8.5000000000000006E-2</v>
      </c>
      <c r="E33" s="29">
        <f>C33-E73</f>
        <v>43800</v>
      </c>
      <c r="F33" s="168"/>
      <c r="G33" s="179"/>
      <c r="H33" s="40"/>
      <c r="I33" s="144"/>
    </row>
    <row r="34" spans="1:9" s="18" customFormat="1" ht="18.75" customHeight="1" x14ac:dyDescent="0.3">
      <c r="A34" s="167"/>
      <c r="B34" s="26" t="s">
        <v>40</v>
      </c>
      <c r="C34" s="85">
        <f>ROUND(IF($E$18+E20+E21+E22&lt;=($C$5*25),ROUND($E$18+E20+E21+E22,-3),ROUND($C$5*25,-3))*0.16,-2)</f>
        <v>82400</v>
      </c>
      <c r="D34" s="36">
        <v>0.12</v>
      </c>
      <c r="E34" s="29">
        <f>C34-E74</f>
        <v>61800</v>
      </c>
      <c r="F34" s="168"/>
      <c r="G34" s="179"/>
      <c r="H34" s="41"/>
    </row>
    <row r="35" spans="1:9" s="18" customFormat="1" ht="18.75" customHeight="1" x14ac:dyDescent="0.3">
      <c r="A35" s="167"/>
      <c r="B35" s="26" t="s">
        <v>119</v>
      </c>
      <c r="C35" s="37" t="s">
        <v>42</v>
      </c>
      <c r="D35" s="28">
        <f>C11</f>
        <v>5.2199999999999998E-3</v>
      </c>
      <c r="E35" s="29">
        <f>ROUND(IF($E$18+E21+E20+E22&lt;=($C$5*20),ROUND($E$18+E20+E21+E22,-3),ROUND($C$5*20,-3))*D35,-2)</f>
        <v>2700</v>
      </c>
      <c r="F35" s="168"/>
      <c r="G35" s="168"/>
      <c r="H35" s="8"/>
    </row>
    <row r="36" spans="1:9" s="18" customFormat="1" ht="18.75" customHeight="1" x14ac:dyDescent="0.3">
      <c r="A36" s="167"/>
      <c r="B36" s="26" t="s">
        <v>43</v>
      </c>
      <c r="C36" s="127"/>
      <c r="D36" s="36">
        <v>8.5000000000000006E-2</v>
      </c>
      <c r="E36" s="29">
        <f>ROUND(IF($E$29&lt;=($C$5*25),ROUND($E$29,-3),ROUND($C$5*25,-3))*D36,-2)</f>
        <v>1800</v>
      </c>
      <c r="F36" s="168"/>
      <c r="G36" s="168"/>
    </row>
    <row r="37" spans="1:9" s="18" customFormat="1" ht="18.75" customHeight="1" x14ac:dyDescent="0.3">
      <c r="A37" s="167"/>
      <c r="B37" s="26" t="s">
        <v>44</v>
      </c>
      <c r="C37" s="127"/>
      <c r="D37" s="36">
        <v>0.12</v>
      </c>
      <c r="E37" s="29">
        <f>ROUND(IF($E$29&lt;=($C$5*25),ROUND($E$29,-3),ROUND($C$5*25,-3))*D37,-2)</f>
        <v>2500</v>
      </c>
      <c r="F37" s="168"/>
      <c r="G37" s="168"/>
    </row>
    <row r="38" spans="1:9" s="18" customFormat="1" ht="18.75" customHeight="1" x14ac:dyDescent="0.3">
      <c r="A38" s="167"/>
      <c r="B38" s="177" t="s">
        <v>45</v>
      </c>
      <c r="C38" s="128"/>
      <c r="D38" s="175"/>
      <c r="E38" s="30">
        <f>SUM(E33:E37)</f>
        <v>112600</v>
      </c>
      <c r="F38" s="168"/>
      <c r="G38" s="168"/>
    </row>
    <row r="39" spans="1:9" s="18" customFormat="1" ht="18.75" customHeight="1" x14ac:dyDescent="0.3">
      <c r="A39" s="167"/>
      <c r="B39" s="178"/>
      <c r="C39" s="124"/>
      <c r="D39" s="170"/>
      <c r="E39" s="25"/>
      <c r="F39" s="168"/>
      <c r="G39" s="168"/>
    </row>
    <row r="40" spans="1:9" s="18" customFormat="1" ht="18.75" customHeight="1" x14ac:dyDescent="0.3">
      <c r="A40" s="167"/>
      <c r="B40" s="22" t="s">
        <v>46</v>
      </c>
      <c r="C40" s="23"/>
      <c r="D40" s="24"/>
      <c r="E40" s="25"/>
      <c r="F40" s="168"/>
      <c r="G40" s="168"/>
    </row>
    <row r="41" spans="1:9" s="18" customFormat="1" ht="18.75" customHeight="1" x14ac:dyDescent="0.3">
      <c r="A41" s="167"/>
      <c r="B41" s="26" t="s">
        <v>47</v>
      </c>
      <c r="C41" s="37" t="s">
        <v>137</v>
      </c>
      <c r="D41" s="36">
        <v>0.09</v>
      </c>
      <c r="E41" s="29">
        <f>ROUND(ROUND(E18+E20+E21+E22,-3)*D41,-2)</f>
        <v>46400</v>
      </c>
      <c r="F41" s="168"/>
      <c r="G41" s="168"/>
    </row>
    <row r="42" spans="1:9" s="18" customFormat="1" ht="18.75" customHeight="1" x14ac:dyDescent="0.3">
      <c r="A42" s="167"/>
      <c r="B42" s="26" t="s">
        <v>49</v>
      </c>
      <c r="C42" s="127"/>
      <c r="D42" s="36">
        <v>0.09</v>
      </c>
      <c r="E42" s="29">
        <f>ROUND(ROUND(E29,-3)*D42,-2)</f>
        <v>1900</v>
      </c>
      <c r="F42" s="168"/>
      <c r="G42" s="168"/>
    </row>
    <row r="43" spans="1:9" s="18" customFormat="1" ht="18.75" customHeight="1" x14ac:dyDescent="0.3">
      <c r="A43" s="167"/>
      <c r="B43" s="177" t="s">
        <v>50</v>
      </c>
      <c r="C43" s="128"/>
      <c r="D43" s="175"/>
      <c r="E43" s="30">
        <f>SUM(E41:E42)</f>
        <v>48300</v>
      </c>
      <c r="F43" s="168"/>
      <c r="G43" s="168"/>
    </row>
    <row r="44" spans="1:9" s="18" customFormat="1" ht="18.75" customHeight="1" x14ac:dyDescent="0.3">
      <c r="A44" s="167"/>
      <c r="B44" s="180"/>
      <c r="C44" s="127"/>
      <c r="D44" s="170"/>
      <c r="E44" s="25"/>
      <c r="F44" s="168"/>
      <c r="G44" s="168"/>
    </row>
    <row r="45" spans="1:9" s="18" customFormat="1" ht="18.75" customHeight="1" x14ac:dyDescent="0.3">
      <c r="A45" s="167"/>
      <c r="B45" s="22" t="s">
        <v>51</v>
      </c>
      <c r="C45" s="23"/>
      <c r="D45" s="24"/>
      <c r="E45" s="25"/>
      <c r="F45" s="168"/>
      <c r="G45" s="168"/>
    </row>
    <row r="46" spans="1:9" s="18" customFormat="1" ht="18.75" customHeight="1" x14ac:dyDescent="0.3">
      <c r="A46" s="167"/>
      <c r="B46" s="39" t="s">
        <v>53</v>
      </c>
      <c r="C46" s="37" t="s">
        <v>54</v>
      </c>
      <c r="D46" s="181"/>
      <c r="E46" s="29">
        <f>IF(E18+E20+E21+E22&lt;=C5*2,(C12*3)/12,0)</f>
        <v>0</v>
      </c>
      <c r="F46" s="168"/>
      <c r="G46" s="168"/>
    </row>
    <row r="47" spans="1:9" s="18" customFormat="1" ht="18.75" customHeight="1" x14ac:dyDescent="0.3">
      <c r="A47" s="167"/>
      <c r="B47" s="178"/>
      <c r="C47" s="124"/>
      <c r="D47" s="170"/>
      <c r="E47" s="182"/>
      <c r="F47" s="168"/>
      <c r="G47" s="168"/>
    </row>
    <row r="48" spans="1:9" s="18" customFormat="1" ht="18.75" customHeight="1" x14ac:dyDescent="0.3">
      <c r="A48" s="167"/>
      <c r="B48" s="31" t="s">
        <v>55</v>
      </c>
      <c r="C48" s="126"/>
      <c r="D48" s="175"/>
      <c r="E48" s="30">
        <f>E23+E30+E38+E43+E46</f>
        <v>860706.66666666663</v>
      </c>
      <c r="F48" s="183"/>
      <c r="G48" s="173"/>
    </row>
    <row r="49" spans="1:10" s="18" customFormat="1" ht="18.75" customHeight="1" thickBot="1" x14ac:dyDescent="0.35">
      <c r="A49" s="167"/>
      <c r="B49" s="80" t="s">
        <v>56</v>
      </c>
      <c r="C49" s="129"/>
      <c r="D49" s="130"/>
      <c r="E49" s="93">
        <f>+(E48/(E23-E19))-1</f>
        <v>0.67127508090614874</v>
      </c>
      <c r="F49" s="173"/>
      <c r="G49" s="173"/>
    </row>
    <row r="50" spans="1:10" s="18" customFormat="1" ht="13.5" customHeight="1" x14ac:dyDescent="0.3">
      <c r="A50" s="167"/>
      <c r="B50" s="184"/>
      <c r="C50" s="131"/>
      <c r="D50" s="132"/>
      <c r="E50" s="185"/>
      <c r="F50" s="173"/>
      <c r="G50" s="173"/>
    </row>
    <row r="51" spans="1:10" s="18" customFormat="1" ht="13.5" customHeight="1" thickBot="1" x14ac:dyDescent="0.35">
      <c r="A51" s="167"/>
      <c r="B51" s="184"/>
      <c r="C51" s="131"/>
      <c r="D51" s="132"/>
      <c r="E51" s="185"/>
      <c r="F51" s="173"/>
      <c r="G51" s="173"/>
    </row>
    <row r="52" spans="1:10" s="18" customFormat="1" ht="18.75" customHeight="1" x14ac:dyDescent="0.3">
      <c r="A52" s="155"/>
      <c r="B52" s="74" t="s">
        <v>138</v>
      </c>
      <c r="C52" s="186"/>
      <c r="D52" s="133"/>
      <c r="E52" s="187">
        <f>E48*12</f>
        <v>10328480</v>
      </c>
      <c r="F52" s="156"/>
      <c r="G52" s="156"/>
      <c r="H52" s="1"/>
    </row>
    <row r="53" spans="1:10" s="18" customFormat="1" ht="18.75" customHeight="1" x14ac:dyDescent="0.3">
      <c r="A53" s="155"/>
      <c r="B53" s="26" t="s">
        <v>147</v>
      </c>
      <c r="C53" s="124"/>
      <c r="D53" s="134"/>
      <c r="E53" s="29">
        <f>24+24+26+24+24+24+25+24+26+25+24+25</f>
        <v>295</v>
      </c>
      <c r="F53" s="156"/>
      <c r="G53" s="156"/>
      <c r="H53" s="1"/>
    </row>
    <row r="54" spans="1:10" s="18" customFormat="1" ht="18.75" customHeight="1" x14ac:dyDescent="0.3">
      <c r="A54" s="155"/>
      <c r="B54" s="26" t="s">
        <v>59</v>
      </c>
      <c r="C54" s="124"/>
      <c r="D54" s="134"/>
      <c r="E54" s="29">
        <f>E52/E53</f>
        <v>35011.796610169491</v>
      </c>
      <c r="F54" s="156"/>
      <c r="G54" s="156"/>
      <c r="H54" s="1"/>
    </row>
    <row r="55" spans="1:10" s="18" customFormat="1" ht="18.75" customHeight="1" thickBot="1" x14ac:dyDescent="0.35">
      <c r="A55" s="155"/>
      <c r="B55" s="188" t="s">
        <v>60</v>
      </c>
      <c r="C55" s="135"/>
      <c r="D55" s="136"/>
      <c r="E55" s="82">
        <f>E54/8</f>
        <v>4376.4745762711864</v>
      </c>
      <c r="F55" s="156"/>
      <c r="G55" s="156"/>
      <c r="H55" s="1"/>
    </row>
    <row r="56" spans="1:10" s="18" customFormat="1" ht="11.25" customHeight="1" x14ac:dyDescent="0.3">
      <c r="A56" s="155"/>
      <c r="B56" s="161"/>
      <c r="C56" s="137"/>
      <c r="D56" s="138"/>
      <c r="E56" s="185"/>
      <c r="F56" s="156"/>
      <c r="G56" s="156"/>
      <c r="H56" s="1"/>
    </row>
    <row r="57" spans="1:10" s="18" customFormat="1" ht="11.25" customHeight="1" thickBot="1" x14ac:dyDescent="0.35">
      <c r="A57" s="155"/>
      <c r="B57" s="161"/>
      <c r="C57" s="137"/>
      <c r="D57" s="138"/>
      <c r="E57" s="185"/>
      <c r="F57" s="156"/>
      <c r="G57" s="156"/>
      <c r="H57" s="1"/>
    </row>
    <row r="58" spans="1:10" s="18" customFormat="1" ht="18.75" customHeight="1" thickBot="1" x14ac:dyDescent="0.35">
      <c r="A58" s="155"/>
      <c r="B58" s="45" t="s">
        <v>61</v>
      </c>
      <c r="C58" s="46"/>
      <c r="D58" s="47" t="s">
        <v>13</v>
      </c>
      <c r="E58" s="48" t="s">
        <v>62</v>
      </c>
      <c r="F58" s="47" t="s">
        <v>63</v>
      </c>
      <c r="G58" s="49" t="s">
        <v>62</v>
      </c>
    </row>
    <row r="59" spans="1:10" s="18" customFormat="1" ht="18.75" customHeight="1" x14ac:dyDescent="0.3">
      <c r="A59" s="155"/>
      <c r="B59" s="50" t="s">
        <v>64</v>
      </c>
      <c r="C59" s="51" t="s">
        <v>112</v>
      </c>
      <c r="D59" s="52"/>
      <c r="E59" s="53">
        <f>(E18/30)/8</f>
        <v>2145.8333333333335</v>
      </c>
      <c r="F59" s="139"/>
      <c r="G59" s="152"/>
      <c r="H59" s="1"/>
    </row>
    <row r="60" spans="1:10" s="18" customFormat="1" ht="18.75" customHeight="1" x14ac:dyDescent="0.3">
      <c r="A60" s="155"/>
      <c r="B60" s="39" t="s">
        <v>66</v>
      </c>
      <c r="C60" s="37" t="s">
        <v>113</v>
      </c>
      <c r="D60" s="54">
        <v>0.35</v>
      </c>
      <c r="E60" s="55">
        <f>$E$59*D60</f>
        <v>751.04166666666663</v>
      </c>
      <c r="F60" s="189"/>
      <c r="G60" s="190">
        <f t="shared" ref="G60:G68" si="0">E60*F60</f>
        <v>0</v>
      </c>
      <c r="H60" s="1"/>
      <c r="I60" s="83"/>
      <c r="J60" s="151"/>
    </row>
    <row r="61" spans="1:10" s="18" customFormat="1" ht="18.75" customHeight="1" x14ac:dyDescent="0.3">
      <c r="A61" s="155"/>
      <c r="B61" s="39" t="s">
        <v>68</v>
      </c>
      <c r="C61" s="37" t="s">
        <v>69</v>
      </c>
      <c r="D61" s="54">
        <v>0.75</v>
      </c>
      <c r="E61" s="55">
        <f>$E$59*D61</f>
        <v>1609.375</v>
      </c>
      <c r="F61" s="189"/>
      <c r="G61" s="190">
        <f t="shared" si="0"/>
        <v>0</v>
      </c>
      <c r="H61" s="1"/>
      <c r="I61" s="83"/>
    </row>
    <row r="62" spans="1:10" s="18" customFormat="1" ht="18.75" customHeight="1" x14ac:dyDescent="0.3">
      <c r="A62" s="155"/>
      <c r="B62" s="56" t="s">
        <v>70</v>
      </c>
      <c r="C62" s="57" t="s">
        <v>71</v>
      </c>
      <c r="D62" s="58">
        <v>1.75</v>
      </c>
      <c r="E62" s="55">
        <f>$E$59*D62</f>
        <v>3755.2083333333335</v>
      </c>
      <c r="F62" s="191"/>
      <c r="G62" s="190">
        <f t="shared" si="0"/>
        <v>0</v>
      </c>
      <c r="H62" s="1"/>
    </row>
    <row r="63" spans="1:10" s="18" customFormat="1" ht="18.75" customHeight="1" x14ac:dyDescent="0.3">
      <c r="A63" s="155"/>
      <c r="B63" s="26" t="s">
        <v>72</v>
      </c>
      <c r="C63" s="27" t="s">
        <v>73</v>
      </c>
      <c r="D63" s="91">
        <v>1.1000000000000001</v>
      </c>
      <c r="E63" s="84">
        <f t="shared" ref="E63:E68" si="1">$E$59*D63</f>
        <v>2360.416666666667</v>
      </c>
      <c r="F63" s="191"/>
      <c r="G63" s="190">
        <f t="shared" si="0"/>
        <v>0</v>
      </c>
      <c r="H63" s="1"/>
    </row>
    <row r="64" spans="1:10" s="18" customFormat="1" ht="18.75" customHeight="1" x14ac:dyDescent="0.3">
      <c r="A64" s="155"/>
      <c r="B64" s="86" t="s">
        <v>74</v>
      </c>
      <c r="C64" s="27" t="s">
        <v>75</v>
      </c>
      <c r="D64" s="92">
        <v>2.1</v>
      </c>
      <c r="E64" s="84">
        <f t="shared" si="1"/>
        <v>4506.2500000000009</v>
      </c>
      <c r="F64" s="191"/>
      <c r="G64" s="190">
        <f t="shared" si="0"/>
        <v>0</v>
      </c>
      <c r="H64" s="1"/>
      <c r="J64" s="20"/>
    </row>
    <row r="65" spans="1:10" s="18" customFormat="1" ht="18.75" customHeight="1" x14ac:dyDescent="0.3">
      <c r="A65" s="155"/>
      <c r="B65" s="59" t="s">
        <v>76</v>
      </c>
      <c r="C65" s="60" t="s">
        <v>77</v>
      </c>
      <c r="D65" s="61">
        <v>1.25</v>
      </c>
      <c r="E65" s="84">
        <f t="shared" si="1"/>
        <v>2682.291666666667</v>
      </c>
      <c r="F65" s="189"/>
      <c r="G65" s="190">
        <f t="shared" si="0"/>
        <v>0</v>
      </c>
      <c r="H65" s="1"/>
      <c r="J65" s="20"/>
    </row>
    <row r="66" spans="1:10" s="18" customFormat="1" ht="18.75" customHeight="1" x14ac:dyDescent="0.3">
      <c r="A66" s="155"/>
      <c r="B66" s="62" t="s">
        <v>78</v>
      </c>
      <c r="C66" s="37" t="s">
        <v>79</v>
      </c>
      <c r="D66" s="54">
        <v>1.75</v>
      </c>
      <c r="E66" s="84">
        <f t="shared" si="1"/>
        <v>3755.2083333333335</v>
      </c>
      <c r="F66" s="189"/>
      <c r="G66" s="190">
        <f t="shared" si="0"/>
        <v>0</v>
      </c>
      <c r="H66" s="1"/>
    </row>
    <row r="67" spans="1:10" s="18" customFormat="1" ht="18.75" customHeight="1" x14ac:dyDescent="0.3">
      <c r="A67" s="155"/>
      <c r="B67" s="62" t="s">
        <v>80</v>
      </c>
      <c r="C67" s="37" t="s">
        <v>81</v>
      </c>
      <c r="D67" s="54">
        <v>2</v>
      </c>
      <c r="E67" s="84">
        <f t="shared" si="1"/>
        <v>4291.666666666667</v>
      </c>
      <c r="F67" s="189"/>
      <c r="G67" s="190">
        <f t="shared" si="0"/>
        <v>0</v>
      </c>
      <c r="H67" s="1"/>
    </row>
    <row r="68" spans="1:10" s="18" customFormat="1" ht="18.75" customHeight="1" thickBot="1" x14ac:dyDescent="0.35">
      <c r="A68" s="155"/>
      <c r="B68" s="63" t="s">
        <v>82</v>
      </c>
      <c r="C68" s="64" t="s">
        <v>83</v>
      </c>
      <c r="D68" s="65">
        <v>2.5</v>
      </c>
      <c r="E68" s="102">
        <f t="shared" si="1"/>
        <v>5364.5833333333339</v>
      </c>
      <c r="F68" s="192"/>
      <c r="G68" s="193">
        <f t="shared" si="0"/>
        <v>0</v>
      </c>
      <c r="H68" s="1"/>
    </row>
    <row r="69" spans="1:10" s="18" customFormat="1" ht="18.75" customHeight="1" thickBot="1" x14ac:dyDescent="0.35">
      <c r="A69" s="155"/>
      <c r="B69" s="95" t="s">
        <v>148</v>
      </c>
      <c r="C69" s="115"/>
      <c r="D69" s="116"/>
      <c r="E69" s="4"/>
      <c r="F69" s="156"/>
      <c r="G69" s="66">
        <f>SUM(G60:G68)</f>
        <v>0</v>
      </c>
      <c r="H69" s="1"/>
    </row>
    <row r="70" spans="1:10" s="18" customFormat="1" ht="13.5" customHeight="1" thickBot="1" x14ac:dyDescent="0.35">
      <c r="A70" s="155"/>
      <c r="B70" s="161"/>
      <c r="C70" s="137"/>
      <c r="D70" s="138"/>
      <c r="E70" s="185"/>
      <c r="F70" s="156"/>
      <c r="G70" s="156"/>
      <c r="H70" s="1"/>
    </row>
    <row r="71" spans="1:10" s="18" customFormat="1" ht="18.75" customHeight="1" thickBot="1" x14ac:dyDescent="0.35">
      <c r="A71" s="155"/>
      <c r="B71" s="113" t="s">
        <v>85</v>
      </c>
      <c r="C71" s="114"/>
      <c r="D71" s="105" t="s">
        <v>13</v>
      </c>
      <c r="E71" s="48" t="s">
        <v>62</v>
      </c>
      <c r="F71" s="156"/>
      <c r="G71" s="156"/>
      <c r="H71" s="1"/>
    </row>
    <row r="72" spans="1:10" s="18" customFormat="1" ht="18.75" customHeight="1" x14ac:dyDescent="0.3">
      <c r="A72" s="155"/>
      <c r="B72" s="74" t="s">
        <v>86</v>
      </c>
      <c r="C72" s="67" t="s">
        <v>87</v>
      </c>
      <c r="D72" s="133"/>
      <c r="E72" s="194"/>
      <c r="F72" s="156"/>
      <c r="G72" s="156"/>
      <c r="H72" s="1"/>
    </row>
    <row r="73" spans="1:10" s="18" customFormat="1" ht="18.75" customHeight="1" x14ac:dyDescent="0.3">
      <c r="A73" s="155"/>
      <c r="B73" s="26" t="s">
        <v>88</v>
      </c>
      <c r="C73" s="27" t="s">
        <v>89</v>
      </c>
      <c r="D73" s="54">
        <v>0.04</v>
      </c>
      <c r="E73" s="68">
        <f>ROUND(IF($E$18+E20+E21+E22&lt;=($C$5*25),ROUND($E$18+E20+E21+E22,-3),ROUND($C$5*25,-3))*D73,-2)</f>
        <v>20600</v>
      </c>
      <c r="F73" s="156"/>
      <c r="G73" s="156"/>
      <c r="H73" s="1"/>
    </row>
    <row r="74" spans="1:10" s="18" customFormat="1" ht="18.75" customHeight="1" x14ac:dyDescent="0.3">
      <c r="A74" s="155"/>
      <c r="B74" s="26" t="s">
        <v>90</v>
      </c>
      <c r="C74" s="37" t="s">
        <v>91</v>
      </c>
      <c r="D74" s="54">
        <v>0.04</v>
      </c>
      <c r="E74" s="68">
        <f>ROUND(IF($E$18+E20+E21+E22&lt;=($C$5*25),ROUND($E$18+E20+E21+E22,-3),ROUND($C$5*25,-3))*D74,-2)</f>
        <v>20600</v>
      </c>
      <c r="F74" s="156"/>
      <c r="G74" s="156"/>
      <c r="H74" s="1"/>
    </row>
    <row r="75" spans="1:10" s="18" customFormat="1" ht="18.75" customHeight="1" x14ac:dyDescent="0.3">
      <c r="A75" s="155"/>
      <c r="B75" s="26" t="s">
        <v>92</v>
      </c>
      <c r="C75" s="37" t="s">
        <v>93</v>
      </c>
      <c r="D75" s="79">
        <f>IF(E18+E20+E21+E22&lt;(C5*4),0,0.01)</f>
        <v>0</v>
      </c>
      <c r="E75" s="29">
        <f>IF(E18+E20+E21+E22&lt;(C5*4),0,(E18+E20+E21+E22)*D75)</f>
        <v>0</v>
      </c>
      <c r="F75" s="156"/>
      <c r="G75" s="156"/>
      <c r="H75" s="1"/>
    </row>
    <row r="76" spans="1:10" s="18" customFormat="1" ht="18.75" customHeight="1" x14ac:dyDescent="0.3">
      <c r="A76" s="155"/>
      <c r="B76" s="26" t="s">
        <v>94</v>
      </c>
      <c r="C76" s="37" t="s">
        <v>95</v>
      </c>
      <c r="D76" s="36">
        <f>IF(E18+E20+E21+E22&lt;C81,D81,IF(E18+E20+E21+E22&lt;C82,D82,IF(E18+E20+E21+E22&lt;C83,D83,IF(E18+E20+E21+E22&lt;C84,D84,IF(E18+E20+E21+E22&lt;C85,D85,D86)))))</f>
        <v>0</v>
      </c>
      <c r="E76" s="195">
        <f>(E18+E20+E21+E22)*D76</f>
        <v>0</v>
      </c>
      <c r="F76" s="156"/>
      <c r="G76" s="156"/>
      <c r="H76" s="1"/>
    </row>
    <row r="77" spans="1:10" s="18" customFormat="1" ht="18.75" customHeight="1" thickBot="1" x14ac:dyDescent="0.35">
      <c r="A77" s="155"/>
      <c r="B77" s="94" t="s">
        <v>96</v>
      </c>
      <c r="C77" s="69"/>
      <c r="D77" s="196"/>
      <c r="E77" s="70">
        <f>SUM(E72:E76)</f>
        <v>41200</v>
      </c>
      <c r="F77" s="156"/>
      <c r="G77" s="156"/>
      <c r="H77" s="1"/>
    </row>
    <row r="78" spans="1:10" s="18" customFormat="1" ht="13.5" customHeight="1" x14ac:dyDescent="0.3">
      <c r="A78" s="155"/>
      <c r="B78" s="161"/>
      <c r="C78" s="137"/>
      <c r="D78" s="138"/>
      <c r="E78" s="185"/>
      <c r="F78" s="156"/>
      <c r="G78" s="156"/>
      <c r="H78" s="1"/>
    </row>
    <row r="79" spans="1:10" ht="13.5" customHeight="1" thickBot="1" x14ac:dyDescent="0.35">
      <c r="A79" s="155"/>
      <c r="B79" s="161"/>
      <c r="C79" s="137"/>
      <c r="D79" s="197"/>
      <c r="E79" s="185"/>
      <c r="F79" s="156"/>
      <c r="G79" s="156"/>
    </row>
    <row r="80" spans="1:10" ht="16.2" thickBot="1" x14ac:dyDescent="0.35">
      <c r="A80" s="155"/>
      <c r="B80" s="71" t="s">
        <v>97</v>
      </c>
      <c r="C80" s="140"/>
      <c r="D80" s="168"/>
      <c r="E80" s="179"/>
      <c r="F80" s="156"/>
      <c r="G80" s="156"/>
    </row>
    <row r="81" spans="1:256" ht="15.6" x14ac:dyDescent="0.3">
      <c r="A81" s="155"/>
      <c r="B81" s="74" t="s">
        <v>98</v>
      </c>
      <c r="C81" s="198">
        <f>$C$5*16</f>
        <v>8240000</v>
      </c>
      <c r="D81" s="75">
        <v>0</v>
      </c>
      <c r="E81" s="199"/>
      <c r="F81" s="156"/>
      <c r="G81" s="156"/>
    </row>
    <row r="82" spans="1:256" ht="15.6" x14ac:dyDescent="0.3">
      <c r="A82" s="155"/>
      <c r="B82" s="39" t="s">
        <v>99</v>
      </c>
      <c r="C82" s="200">
        <f>$C$5*17</f>
        <v>8755000</v>
      </c>
      <c r="D82" s="77">
        <v>2E-3</v>
      </c>
      <c r="E82" s="201"/>
      <c r="F82" s="156"/>
      <c r="G82" s="156"/>
    </row>
    <row r="83" spans="1:256" ht="15.6" x14ac:dyDescent="0.3">
      <c r="A83" s="155"/>
      <c r="B83" s="39" t="s">
        <v>100</v>
      </c>
      <c r="C83" s="202">
        <f>$C$5*18</f>
        <v>9270000</v>
      </c>
      <c r="D83" s="79">
        <v>4.0000000000000001E-3</v>
      </c>
      <c r="E83" s="203"/>
      <c r="F83" s="156"/>
      <c r="G83" s="156"/>
    </row>
    <row r="84" spans="1:256" ht="15.6" x14ac:dyDescent="0.3">
      <c r="A84" s="155"/>
      <c r="B84" s="39" t="s">
        <v>101</v>
      </c>
      <c r="C84" s="202">
        <f>$C$5*19</f>
        <v>9785000</v>
      </c>
      <c r="D84" s="79">
        <v>6.0000000000000001E-3</v>
      </c>
      <c r="E84" s="203"/>
      <c r="F84" s="156"/>
      <c r="G84" s="156"/>
    </row>
    <row r="85" spans="1:256" ht="15.6" x14ac:dyDescent="0.3">
      <c r="A85" s="155"/>
      <c r="B85" s="39" t="s">
        <v>102</v>
      </c>
      <c r="C85" s="202">
        <f>$C$5*20</f>
        <v>10300000</v>
      </c>
      <c r="D85" s="79">
        <v>8.0000000000000002E-3</v>
      </c>
      <c r="E85" s="203"/>
      <c r="F85" s="156"/>
      <c r="G85" s="156"/>
    </row>
    <row r="86" spans="1:256" ht="16.2" thickBot="1" x14ac:dyDescent="0.35">
      <c r="A86" s="155"/>
      <c r="B86" s="80" t="s">
        <v>103</v>
      </c>
      <c r="C86" s="204">
        <v>10300000</v>
      </c>
      <c r="D86" s="81">
        <v>0.01</v>
      </c>
      <c r="E86" s="205"/>
      <c r="F86" s="156"/>
      <c r="G86" s="156"/>
      <c r="IV86" s="1">
        <v>2010</v>
      </c>
    </row>
    <row r="87" spans="1:256" x14ac:dyDescent="0.25">
      <c r="A87" s="155"/>
      <c r="B87" s="206"/>
      <c r="C87" s="141"/>
      <c r="D87" s="142"/>
      <c r="E87" s="149" t="str">
        <f>+B69</f>
        <v>V4.01  enero 5 de 2010</v>
      </c>
      <c r="F87" s="156"/>
      <c r="G87" s="156"/>
    </row>
    <row r="88" spans="1:256" ht="14.4" x14ac:dyDescent="0.3">
      <c r="A88" s="155"/>
      <c r="B88" s="155"/>
      <c r="C88" s="115"/>
      <c r="D88" s="143"/>
      <c r="E88" s="145"/>
      <c r="F88" s="156"/>
      <c r="G88" s="156"/>
    </row>
    <row r="89" spans="1:256" ht="15.6" x14ac:dyDescent="0.3">
      <c r="A89" s="155"/>
      <c r="B89" s="155"/>
      <c r="C89" s="140"/>
      <c r="D89" s="116"/>
      <c r="F89" s="156"/>
      <c r="G89" s="156"/>
    </row>
    <row r="90" spans="1:256" ht="15.6" x14ac:dyDescent="0.3">
      <c r="A90" s="155"/>
      <c r="B90" s="155"/>
      <c r="C90" s="140"/>
      <c r="D90" s="116"/>
      <c r="F90" s="156"/>
      <c r="G90" s="156"/>
    </row>
    <row r="91" spans="1:256" ht="15.6" x14ac:dyDescent="0.3">
      <c r="A91" s="155"/>
      <c r="B91" s="155"/>
      <c r="C91" s="140"/>
      <c r="D91" s="116"/>
      <c r="F91" s="156"/>
      <c r="G91" s="156"/>
    </row>
    <row r="92" spans="1:256" ht="15.6" x14ac:dyDescent="0.3">
      <c r="A92" s="155"/>
      <c r="B92" s="155"/>
      <c r="C92" s="140"/>
      <c r="D92" s="116"/>
      <c r="F92" s="156"/>
      <c r="G92" s="156"/>
    </row>
    <row r="93" spans="1:256" ht="15.6" x14ac:dyDescent="0.3">
      <c r="A93" s="155"/>
      <c r="B93" s="155"/>
      <c r="C93" s="140"/>
      <c r="D93" s="116"/>
      <c r="F93" s="156"/>
      <c r="G93" s="156"/>
    </row>
    <row r="94" spans="1:256" ht="15.6" x14ac:dyDescent="0.3">
      <c r="A94" s="155"/>
      <c r="B94" s="155"/>
      <c r="C94" s="140"/>
      <c r="D94" s="116"/>
      <c r="F94" s="156"/>
      <c r="G94" s="156"/>
    </row>
    <row r="95" spans="1:256" ht="15.6" x14ac:dyDescent="0.3">
      <c r="A95" s="155"/>
      <c r="B95" s="155"/>
      <c r="C95" s="140"/>
      <c r="D95" s="116"/>
      <c r="F95" s="156"/>
      <c r="G95" s="156"/>
    </row>
    <row r="96" spans="1:256" ht="15.6" x14ac:dyDescent="0.3">
      <c r="A96" s="155"/>
      <c r="B96" s="155"/>
      <c r="C96" s="140"/>
      <c r="D96" s="116"/>
      <c r="F96" s="156"/>
      <c r="G96" s="156"/>
    </row>
    <row r="97" spans="1:7" ht="15.6" x14ac:dyDescent="0.3">
      <c r="A97" s="155"/>
      <c r="B97" s="155"/>
      <c r="C97" s="140"/>
      <c r="D97" s="116"/>
      <c r="F97" s="156"/>
      <c r="G97" s="156"/>
    </row>
    <row r="98" spans="1:7" ht="15.6" x14ac:dyDescent="0.3">
      <c r="A98" s="155"/>
      <c r="B98" s="155"/>
      <c r="C98" s="140"/>
      <c r="D98" s="116"/>
      <c r="F98" s="156"/>
      <c r="G98" s="156"/>
    </row>
    <row r="99" spans="1:7" ht="15.6" x14ac:dyDescent="0.3">
      <c r="A99" s="155"/>
      <c r="B99" s="155"/>
      <c r="C99" s="140"/>
      <c r="D99" s="116"/>
      <c r="F99" s="156"/>
      <c r="G99" s="156"/>
    </row>
    <row r="100" spans="1:7" x14ac:dyDescent="0.25">
      <c r="A100" s="155"/>
      <c r="B100" s="155"/>
      <c r="C100" s="115"/>
      <c r="D100" s="116"/>
      <c r="F100" s="156"/>
      <c r="G100" s="156"/>
    </row>
    <row r="101" spans="1:7" x14ac:dyDescent="0.25">
      <c r="A101" s="155"/>
      <c r="B101" s="155"/>
      <c r="C101" s="115"/>
      <c r="D101" s="116"/>
      <c r="F101" s="156"/>
      <c r="G101" s="156"/>
    </row>
    <row r="102" spans="1:7" x14ac:dyDescent="0.25">
      <c r="A102" s="155"/>
      <c r="B102" s="155"/>
      <c r="C102" s="115"/>
      <c r="D102" s="116"/>
      <c r="F102" s="156"/>
      <c r="G102" s="156"/>
    </row>
    <row r="103" spans="1:7" x14ac:dyDescent="0.25">
      <c r="A103" s="155"/>
      <c r="B103" s="155"/>
      <c r="C103" s="115"/>
      <c r="D103" s="116"/>
      <c r="F103" s="156"/>
      <c r="G103" s="156"/>
    </row>
    <row r="65536" spans="256:256" x14ac:dyDescent="0.25">
      <c r="IV65536" s="1">
        <v>2010</v>
      </c>
    </row>
  </sheetData>
  <sheetProtection password="CC63" sheet="1"/>
  <protectedRanges>
    <protectedRange sqref="E20:E22" name="Rango5"/>
    <protectedRange sqref="C10:C12" name="Rango4"/>
    <protectedRange sqref="F60:F68" name="Rango2"/>
    <protectedRange sqref="E72" name="Rango3"/>
  </protectedRanges>
  <customSheetViews>
    <customSheetView guid="{005D785A-2C1A-7642-8E14-813F8ABC12DD}" showGridLines="0" fitToPage="1">
      <selection activeCell="H9" sqref="H9"/>
      <colBreaks count="1" manualBreakCount="1">
        <brk id="7" max="1048575" man="1"/>
      </colBreaks>
      <pageMargins left="0" right="0" top="0" bottom="0" header="0" footer="0"/>
      <pageSetup scale="54" orientation="portrait" verticalDpi="300" r:id="rId1"/>
      <headerFooter alignWithMargins="0"/>
    </customSheetView>
  </customSheetViews>
  <phoneticPr fontId="7" type="noConversion"/>
  <dataValidations disablePrompts="1" count="1">
    <dataValidation type="list" allowBlank="1" showInputMessage="1" showErrorMessage="1" sqref="C11" xr:uid="{00000000-0002-0000-0900-000000000000}">
      <formula1>$IV$6:$IV$10</formula1>
    </dataValidation>
  </dataValidations>
  <pageMargins left="0.75" right="0.75" top="0.78" bottom="0.59" header="0" footer="0"/>
  <pageSetup scale="54" orientation="portrait" verticalDpi="300" r:id="rId2"/>
  <headerFooter alignWithMargins="0"/>
  <colBreaks count="1" manualBreakCount="1">
    <brk id="7" max="1048575" man="1"/>
  </colBreaks>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IV65536"/>
  <sheetViews>
    <sheetView showGridLines="0" zoomScale="88" zoomScaleNormal="88" zoomScalePageLayoutView="88" workbookViewId="0">
      <selection activeCell="H22" sqref="H22"/>
    </sheetView>
  </sheetViews>
  <sheetFormatPr baseColWidth="10" defaultColWidth="11.44140625" defaultRowHeight="13.2" x14ac:dyDescent="0.25"/>
  <cols>
    <col min="1" max="1" width="3.33203125" style="1" customWidth="1"/>
    <col min="2" max="2" width="45.33203125" style="1" customWidth="1"/>
    <col min="3" max="3" width="58.88671875" style="2" customWidth="1"/>
    <col min="4" max="4" width="11" style="3" customWidth="1"/>
    <col min="5" max="5" width="17.33203125" style="4" customWidth="1"/>
    <col min="6" max="6" width="10.44140625" style="5" customWidth="1"/>
    <col min="7" max="7" width="13.88671875" style="5" bestFit="1" customWidth="1"/>
    <col min="8" max="8" width="7.6640625" style="1" customWidth="1"/>
    <col min="9" max="9" width="13.109375" style="1" bestFit="1" customWidth="1"/>
    <col min="10" max="16384" width="11.44140625" style="1"/>
  </cols>
  <sheetData>
    <row r="1" spans="1:256" ht="11.25" customHeight="1" x14ac:dyDescent="0.25">
      <c r="A1" s="155"/>
      <c r="B1" s="155"/>
      <c r="C1" s="115"/>
      <c r="D1" s="116"/>
      <c r="F1" s="156"/>
      <c r="G1" s="156"/>
    </row>
    <row r="2" spans="1:256" ht="18" customHeight="1" x14ac:dyDescent="0.3">
      <c r="A2" s="155"/>
      <c r="B2" s="87" t="s">
        <v>0</v>
      </c>
      <c r="C2" s="88"/>
      <c r="D2" s="89"/>
      <c r="E2" s="90"/>
      <c r="F2" s="156"/>
      <c r="G2" s="156"/>
    </row>
    <row r="3" spans="1:256" ht="14.25" customHeight="1" thickBot="1" x14ac:dyDescent="0.3">
      <c r="A3" s="155"/>
      <c r="B3" s="155"/>
      <c r="C3" s="115"/>
      <c r="D3" s="116"/>
      <c r="F3" s="156"/>
      <c r="G3" s="156"/>
    </row>
    <row r="4" spans="1:256" ht="18.75" customHeight="1" thickBot="1" x14ac:dyDescent="0.4">
      <c r="A4" s="155"/>
      <c r="B4" s="146" t="s">
        <v>149</v>
      </c>
      <c r="C4" s="117"/>
      <c r="D4" s="116"/>
      <c r="F4" s="156"/>
      <c r="G4" s="156"/>
    </row>
    <row r="5" spans="1:256" ht="18.75" customHeight="1" x14ac:dyDescent="0.3">
      <c r="A5" s="155"/>
      <c r="B5" s="6" t="s">
        <v>2</v>
      </c>
      <c r="C5" s="76">
        <v>496900</v>
      </c>
      <c r="D5" s="116"/>
      <c r="E5" s="351"/>
      <c r="F5" s="156"/>
      <c r="G5" s="156"/>
    </row>
    <row r="6" spans="1:256" ht="18.75" customHeight="1" thickBot="1" x14ac:dyDescent="0.35">
      <c r="A6" s="155"/>
      <c r="B6" s="159" t="s">
        <v>3</v>
      </c>
      <c r="C6" s="82">
        <v>59300</v>
      </c>
      <c r="D6" s="116"/>
      <c r="F6" s="156"/>
      <c r="G6" s="156"/>
      <c r="IV6" s="7">
        <v>5.2199999999999998E-3</v>
      </c>
    </row>
    <row r="7" spans="1:256" ht="13.5" customHeight="1" x14ac:dyDescent="0.3">
      <c r="A7" s="155"/>
      <c r="B7" s="161"/>
      <c r="C7" s="162"/>
      <c r="D7" s="116"/>
      <c r="F7" s="156"/>
      <c r="G7" s="156"/>
      <c r="IV7" s="7">
        <v>1.044E-2</v>
      </c>
    </row>
    <row r="8" spans="1:256" ht="12.75" customHeight="1" x14ac:dyDescent="0.25">
      <c r="A8" s="155"/>
      <c r="B8" s="161"/>
      <c r="C8" s="161"/>
      <c r="D8" s="116"/>
      <c r="F8" s="156"/>
      <c r="G8" s="156"/>
      <c r="IV8" s="7">
        <v>2.436E-2</v>
      </c>
    </row>
    <row r="9" spans="1:256" ht="12" customHeight="1" thickBot="1" x14ac:dyDescent="0.3">
      <c r="A9" s="155"/>
      <c r="B9" s="9" t="s">
        <v>4</v>
      </c>
      <c r="C9" s="147" t="s">
        <v>130</v>
      </c>
      <c r="D9" s="118"/>
      <c r="E9" s="10"/>
      <c r="F9" s="156"/>
      <c r="G9" s="156"/>
      <c r="IV9" s="7">
        <v>4.3499999999999997E-2</v>
      </c>
    </row>
    <row r="10" spans="1:256" ht="18.75" customHeight="1" x14ac:dyDescent="0.3">
      <c r="A10" s="155"/>
      <c r="B10" s="11" t="s">
        <v>6</v>
      </c>
      <c r="C10" s="100">
        <v>496900</v>
      </c>
      <c r="D10" s="119"/>
      <c r="E10" s="10"/>
      <c r="F10" s="156"/>
      <c r="G10" s="120"/>
      <c r="H10" s="12"/>
      <c r="IV10" s="7">
        <v>6.9599999999999995E-2</v>
      </c>
    </row>
    <row r="11" spans="1:256" ht="18.75" customHeight="1" x14ac:dyDescent="0.3">
      <c r="A11" s="155"/>
      <c r="B11" s="13" t="s">
        <v>7</v>
      </c>
      <c r="C11" s="14">
        <v>5.2199999999999998E-3</v>
      </c>
      <c r="D11" s="118"/>
      <c r="E11" s="10"/>
      <c r="F11" s="156"/>
      <c r="G11" s="120"/>
      <c r="H11" s="12"/>
    </row>
    <row r="12" spans="1:256" ht="18.75" customHeight="1" thickBot="1" x14ac:dyDescent="0.35">
      <c r="A12" s="155"/>
      <c r="B12" s="15" t="s">
        <v>8</v>
      </c>
      <c r="C12" s="164"/>
      <c r="D12" s="118"/>
      <c r="E12" s="10"/>
      <c r="F12" s="156"/>
      <c r="G12" s="121"/>
      <c r="H12" s="12"/>
      <c r="IR12" s="16"/>
      <c r="IV12" s="18"/>
    </row>
    <row r="13" spans="1:256" ht="10.5" customHeight="1" x14ac:dyDescent="0.3">
      <c r="A13" s="155"/>
      <c r="B13" s="161"/>
      <c r="C13" s="121"/>
      <c r="D13" s="118"/>
      <c r="E13" s="10"/>
      <c r="F13" s="156"/>
      <c r="G13" s="120"/>
      <c r="H13" s="12"/>
      <c r="IR13" s="16"/>
    </row>
    <row r="14" spans="1:256" ht="10.5" customHeight="1" thickBot="1" x14ac:dyDescent="0.35">
      <c r="A14" s="155"/>
      <c r="B14" s="165"/>
      <c r="C14" s="122"/>
      <c r="D14" s="123"/>
      <c r="F14" s="166"/>
      <c r="G14" s="120"/>
      <c r="H14" s="12"/>
      <c r="IR14" s="16"/>
    </row>
    <row r="15" spans="1:256" s="18" customFormat="1" ht="18.75" customHeight="1" x14ac:dyDescent="0.3">
      <c r="A15" s="167"/>
      <c r="B15" s="96" t="s">
        <v>11</v>
      </c>
      <c r="C15" s="97" t="s">
        <v>12</v>
      </c>
      <c r="D15" s="98" t="s">
        <v>13</v>
      </c>
      <c r="E15" s="99" t="s">
        <v>131</v>
      </c>
      <c r="F15" s="168"/>
      <c r="G15" s="120"/>
      <c r="H15" s="12"/>
      <c r="IR15" s="20"/>
    </row>
    <row r="16" spans="1:256" s="18" customFormat="1" ht="9" customHeight="1" x14ac:dyDescent="0.3">
      <c r="A16" s="167"/>
      <c r="B16" s="169"/>
      <c r="C16" s="162"/>
      <c r="D16" s="162"/>
      <c r="E16" s="21"/>
      <c r="F16" s="168"/>
      <c r="G16" s="168"/>
      <c r="IR16" s="20"/>
    </row>
    <row r="17" spans="1:252" s="18" customFormat="1" ht="18.75" customHeight="1" x14ac:dyDescent="0.3">
      <c r="A17" s="167"/>
      <c r="B17" s="22" t="s">
        <v>150</v>
      </c>
      <c r="C17" s="23"/>
      <c r="D17" s="24"/>
      <c r="E17" s="25"/>
      <c r="F17" s="168"/>
      <c r="G17" s="168"/>
      <c r="IR17" s="20"/>
    </row>
    <row r="18" spans="1:252" s="18" customFormat="1" ht="18.75" customHeight="1" x14ac:dyDescent="0.3">
      <c r="A18" s="167"/>
      <c r="B18" s="26" t="s">
        <v>18</v>
      </c>
      <c r="C18" s="27" t="s">
        <v>19</v>
      </c>
      <c r="D18" s="170"/>
      <c r="E18" s="29">
        <f>IF(C10&lt;C5,FALSE,C10)</f>
        <v>496900</v>
      </c>
      <c r="F18" s="171"/>
      <c r="G18" s="168"/>
      <c r="IR18" s="20"/>
    </row>
    <row r="19" spans="1:252" s="18" customFormat="1" ht="18.75" customHeight="1" x14ac:dyDescent="0.3">
      <c r="A19" s="167"/>
      <c r="B19" s="26" t="s">
        <v>20</v>
      </c>
      <c r="C19" s="27" t="s">
        <v>151</v>
      </c>
      <c r="D19" s="170"/>
      <c r="E19" s="29">
        <f>IF(E18+E20+E21+E22&lt;=(C5*2),C6,0)</f>
        <v>59300</v>
      </c>
      <c r="F19" s="171"/>
      <c r="G19" s="168"/>
    </row>
    <row r="20" spans="1:252" s="18" customFormat="1" ht="18.75" customHeight="1" x14ac:dyDescent="0.3">
      <c r="A20" s="167"/>
      <c r="B20" s="26" t="s">
        <v>22</v>
      </c>
      <c r="C20" s="27" t="s">
        <v>23</v>
      </c>
      <c r="D20" s="170"/>
      <c r="E20" s="34"/>
      <c r="F20" s="171"/>
      <c r="G20" s="168"/>
    </row>
    <row r="21" spans="1:252" s="18" customFormat="1" ht="18.75" customHeight="1" x14ac:dyDescent="0.3">
      <c r="A21" s="167"/>
      <c r="B21" s="26" t="s">
        <v>118</v>
      </c>
      <c r="C21" s="27" t="s">
        <v>25</v>
      </c>
      <c r="D21" s="170"/>
      <c r="E21" s="34"/>
      <c r="F21" s="171"/>
      <c r="G21" s="168"/>
    </row>
    <row r="22" spans="1:252" s="18" customFormat="1" ht="18.75" customHeight="1" x14ac:dyDescent="0.3">
      <c r="A22" s="167"/>
      <c r="B22" s="26" t="s">
        <v>26</v>
      </c>
      <c r="C22" s="27" t="s">
        <v>110</v>
      </c>
      <c r="D22" s="170"/>
      <c r="E22" s="34"/>
      <c r="F22" s="171"/>
      <c r="G22" s="168"/>
    </row>
    <row r="23" spans="1:252" s="18" customFormat="1" ht="18.75" customHeight="1" x14ac:dyDescent="0.3">
      <c r="A23" s="167"/>
      <c r="B23" s="148" t="s">
        <v>152</v>
      </c>
      <c r="C23" s="125"/>
      <c r="D23" s="172"/>
      <c r="E23" s="30">
        <f>SUM(E18:E22)</f>
        <v>556200</v>
      </c>
      <c r="F23" s="173"/>
      <c r="G23" s="173"/>
    </row>
    <row r="24" spans="1:252" s="18" customFormat="1" ht="18.75" customHeight="1" x14ac:dyDescent="0.3">
      <c r="A24" s="167"/>
      <c r="B24" s="174"/>
      <c r="C24" s="126"/>
      <c r="D24" s="175"/>
      <c r="E24" s="34"/>
      <c r="F24" s="173"/>
      <c r="G24" s="173"/>
    </row>
    <row r="25" spans="1:252" s="18" customFormat="1" ht="18.75" customHeight="1" x14ac:dyDescent="0.3">
      <c r="A25" s="167"/>
      <c r="B25" s="101" t="s">
        <v>29</v>
      </c>
      <c r="C25" s="23"/>
      <c r="D25" s="24"/>
      <c r="E25" s="34"/>
      <c r="F25" s="173"/>
      <c r="G25" s="173"/>
    </row>
    <row r="26" spans="1:252" s="18" customFormat="1" ht="18.75" customHeight="1" x14ac:dyDescent="0.3">
      <c r="A26" s="167"/>
      <c r="B26" s="26" t="s">
        <v>30</v>
      </c>
      <c r="C26" s="27" t="s">
        <v>31</v>
      </c>
      <c r="D26" s="35">
        <v>8.3333333333333343E-2</v>
      </c>
      <c r="E26" s="29">
        <f>E23*D26</f>
        <v>46350.000000000007</v>
      </c>
      <c r="F26" s="168"/>
      <c r="G26" s="168"/>
    </row>
    <row r="27" spans="1:252" s="18" customFormat="1" ht="18.75" customHeight="1" x14ac:dyDescent="0.3">
      <c r="A27" s="167"/>
      <c r="B27" s="26" t="s">
        <v>32</v>
      </c>
      <c r="C27" s="27" t="s">
        <v>33</v>
      </c>
      <c r="D27" s="36">
        <v>0.12</v>
      </c>
      <c r="E27" s="29">
        <f>E26*D27</f>
        <v>5562.0000000000009</v>
      </c>
      <c r="F27" s="168"/>
      <c r="G27" s="168"/>
    </row>
    <row r="28" spans="1:252" s="18" customFormat="1" ht="18.75" customHeight="1" x14ac:dyDescent="0.3">
      <c r="A28" s="167"/>
      <c r="B28" s="26" t="s">
        <v>34</v>
      </c>
      <c r="C28" s="27" t="s">
        <v>31</v>
      </c>
      <c r="D28" s="35">
        <v>8.3333333333333343E-2</v>
      </c>
      <c r="E28" s="29">
        <f>E23*D28</f>
        <v>46350.000000000007</v>
      </c>
      <c r="F28" s="168"/>
      <c r="G28" s="168"/>
    </row>
    <row r="29" spans="1:252" s="18" customFormat="1" ht="18.75" customHeight="1" x14ac:dyDescent="0.3">
      <c r="A29" s="167"/>
      <c r="B29" s="26" t="s">
        <v>35</v>
      </c>
      <c r="C29" s="37" t="s">
        <v>36</v>
      </c>
      <c r="D29" s="35">
        <v>4.1666666666666664E-2</v>
      </c>
      <c r="E29" s="29">
        <f>(E18+E20)*D29</f>
        <v>20704.166666666664</v>
      </c>
      <c r="F29" s="168"/>
      <c r="G29" s="176"/>
    </row>
    <row r="30" spans="1:252" s="18" customFormat="1" ht="18.75" customHeight="1" x14ac:dyDescent="0.3">
      <c r="A30" s="167"/>
      <c r="B30" s="177" t="s">
        <v>37</v>
      </c>
      <c r="C30" s="128"/>
      <c r="D30" s="175"/>
      <c r="E30" s="30">
        <f>SUM(E26:E29)</f>
        <v>118966.16666666669</v>
      </c>
      <c r="F30" s="168"/>
      <c r="G30" s="168"/>
    </row>
    <row r="31" spans="1:252" s="18" customFormat="1" ht="18.75" customHeight="1" x14ac:dyDescent="0.3">
      <c r="A31" s="167"/>
      <c r="B31" s="178"/>
      <c r="C31" s="124"/>
      <c r="D31" s="170"/>
      <c r="E31" s="25"/>
      <c r="F31" s="168"/>
      <c r="G31" s="168"/>
      <c r="H31" s="8"/>
    </row>
    <row r="32" spans="1:252" s="18" customFormat="1" ht="18.75" customHeight="1" x14ac:dyDescent="0.3">
      <c r="A32" s="167"/>
      <c r="B32" s="22" t="s">
        <v>38</v>
      </c>
      <c r="C32" s="23"/>
      <c r="D32" s="24"/>
      <c r="E32" s="25"/>
      <c r="F32" s="168"/>
      <c r="G32" s="168"/>
      <c r="H32" s="8"/>
    </row>
    <row r="33" spans="1:9" s="18" customFormat="1" ht="18.75" customHeight="1" x14ac:dyDescent="0.3">
      <c r="A33" s="167"/>
      <c r="B33" s="39" t="s">
        <v>39</v>
      </c>
      <c r="C33" s="85">
        <f>ROUND(IF($E$18+E20+E21+E22&lt;=($C$5*25),ROUND($E$18+E20+E21+E22,-3),ROUND($C$5*25,-3))*0.125,-2)</f>
        <v>62100</v>
      </c>
      <c r="D33" s="36">
        <v>8.5000000000000006E-2</v>
      </c>
      <c r="E33" s="29">
        <f>C33-E73</f>
        <v>42200</v>
      </c>
      <c r="F33" s="168"/>
      <c r="G33" s="168"/>
      <c r="H33" s="40"/>
      <c r="I33" s="144"/>
    </row>
    <row r="34" spans="1:9" s="18" customFormat="1" ht="18.75" customHeight="1" x14ac:dyDescent="0.3">
      <c r="A34" s="167"/>
      <c r="B34" s="26" t="s">
        <v>40</v>
      </c>
      <c r="C34" s="85">
        <f>ROUND(IF($E$18+E20+E21+E22&lt;=($C$5*25),ROUND($E$18+E20+E21+E22,-3),ROUND($C$5*25,-3))*0.16,-2)</f>
        <v>79500</v>
      </c>
      <c r="D34" s="36">
        <v>0.12</v>
      </c>
      <c r="E34" s="29">
        <f>C34-E74</f>
        <v>59600</v>
      </c>
      <c r="F34" s="168"/>
      <c r="G34" s="168"/>
      <c r="H34" s="41"/>
    </row>
    <row r="35" spans="1:9" s="18" customFormat="1" ht="18.75" customHeight="1" x14ac:dyDescent="0.3">
      <c r="A35" s="167"/>
      <c r="B35" s="26" t="s">
        <v>119</v>
      </c>
      <c r="C35" s="37" t="s">
        <v>42</v>
      </c>
      <c r="D35" s="28">
        <f>C11</f>
        <v>5.2199999999999998E-3</v>
      </c>
      <c r="E35" s="29">
        <f>ROUND(IF($E$18+E21+E20+E22&lt;=($C$5*20),ROUND($E$18+E20+E21+E22,-3),ROUND($C$5*20,-3))*D35,-2)</f>
        <v>2600</v>
      </c>
      <c r="F35" s="168"/>
      <c r="G35" s="168"/>
      <c r="H35" s="8"/>
    </row>
    <row r="36" spans="1:9" s="18" customFormat="1" ht="18.75" customHeight="1" x14ac:dyDescent="0.3">
      <c r="A36" s="167"/>
      <c r="B36" s="26" t="s">
        <v>43</v>
      </c>
      <c r="C36" s="127"/>
      <c r="D36" s="36">
        <v>8.5000000000000006E-2</v>
      </c>
      <c r="E36" s="29">
        <f>ROUND(IF($E$29&lt;=($C$5*25),ROUND($E$29,-3),ROUND($C$5*25,-3))*D36,-2)</f>
        <v>1800</v>
      </c>
      <c r="F36" s="168"/>
      <c r="G36" s="168"/>
    </row>
    <row r="37" spans="1:9" s="18" customFormat="1" ht="18.75" customHeight="1" x14ac:dyDescent="0.3">
      <c r="A37" s="167"/>
      <c r="B37" s="26" t="s">
        <v>44</v>
      </c>
      <c r="C37" s="127"/>
      <c r="D37" s="36">
        <v>0.12</v>
      </c>
      <c r="E37" s="29">
        <f>ROUND(IF($E$29&lt;=($C$5*25),ROUND($E$29,-3),ROUND($C$5*25,-3))*D37,-2)</f>
        <v>2500</v>
      </c>
      <c r="F37" s="168"/>
      <c r="G37" s="168"/>
    </row>
    <row r="38" spans="1:9" s="18" customFormat="1" ht="18.75" customHeight="1" x14ac:dyDescent="0.3">
      <c r="A38" s="167"/>
      <c r="B38" s="177" t="s">
        <v>45</v>
      </c>
      <c r="C38" s="128"/>
      <c r="D38" s="175"/>
      <c r="E38" s="30">
        <f>SUM(E33:E37)</f>
        <v>108700</v>
      </c>
      <c r="F38" s="168"/>
      <c r="G38" s="168"/>
    </row>
    <row r="39" spans="1:9" s="18" customFormat="1" ht="18.75" customHeight="1" x14ac:dyDescent="0.3">
      <c r="A39" s="167"/>
      <c r="B39" s="178"/>
      <c r="C39" s="124"/>
      <c r="D39" s="170"/>
      <c r="E39" s="25"/>
      <c r="F39" s="168"/>
      <c r="G39" s="168"/>
    </row>
    <row r="40" spans="1:9" s="18" customFormat="1" ht="18.75" customHeight="1" x14ac:dyDescent="0.3">
      <c r="A40" s="167"/>
      <c r="B40" s="22" t="s">
        <v>46</v>
      </c>
      <c r="C40" s="23"/>
      <c r="D40" s="24"/>
      <c r="E40" s="25"/>
      <c r="F40" s="168"/>
      <c r="G40" s="168"/>
    </row>
    <row r="41" spans="1:9" s="18" customFormat="1" ht="18.75" customHeight="1" x14ac:dyDescent="0.3">
      <c r="A41" s="167"/>
      <c r="B41" s="26" t="s">
        <v>47</v>
      </c>
      <c r="C41" s="37" t="s">
        <v>137</v>
      </c>
      <c r="D41" s="36">
        <v>0.09</v>
      </c>
      <c r="E41" s="29">
        <f>ROUND(ROUND(E18+E20+E21+E22,-3)*D41,-2)</f>
        <v>44700</v>
      </c>
      <c r="F41" s="168"/>
      <c r="G41" s="168"/>
    </row>
    <row r="42" spans="1:9" s="18" customFormat="1" ht="18.75" customHeight="1" x14ac:dyDescent="0.3">
      <c r="A42" s="167"/>
      <c r="B42" s="26" t="s">
        <v>49</v>
      </c>
      <c r="C42" s="127"/>
      <c r="D42" s="36">
        <v>0.09</v>
      </c>
      <c r="E42" s="29">
        <f>ROUND(ROUND(E29,-3)*D42,-2)</f>
        <v>1900</v>
      </c>
      <c r="F42" s="168"/>
      <c r="G42" s="168"/>
    </row>
    <row r="43" spans="1:9" s="18" customFormat="1" ht="18.75" customHeight="1" x14ac:dyDescent="0.3">
      <c r="A43" s="167"/>
      <c r="B43" s="177" t="s">
        <v>50</v>
      </c>
      <c r="C43" s="128"/>
      <c r="D43" s="175"/>
      <c r="E43" s="30">
        <f>SUM(E41:E42)</f>
        <v>46600</v>
      </c>
      <c r="F43" s="168"/>
      <c r="G43" s="168"/>
    </row>
    <row r="44" spans="1:9" s="18" customFormat="1" ht="18.75" customHeight="1" x14ac:dyDescent="0.3">
      <c r="A44" s="167"/>
      <c r="B44" s="180"/>
      <c r="C44" s="127"/>
      <c r="D44" s="170"/>
      <c r="E44" s="25"/>
      <c r="F44" s="168"/>
      <c r="G44" s="168"/>
    </row>
    <row r="45" spans="1:9" s="18" customFormat="1" ht="18.75" customHeight="1" x14ac:dyDescent="0.3">
      <c r="A45" s="167"/>
      <c r="B45" s="22" t="s">
        <v>51</v>
      </c>
      <c r="C45" s="23"/>
      <c r="D45" s="24"/>
      <c r="E45" s="25"/>
      <c r="F45" s="168"/>
      <c r="G45" s="168"/>
    </row>
    <row r="46" spans="1:9" s="18" customFormat="1" ht="18.75" customHeight="1" x14ac:dyDescent="0.3">
      <c r="A46" s="167"/>
      <c r="B46" s="39" t="s">
        <v>53</v>
      </c>
      <c r="C46" s="37" t="s">
        <v>54</v>
      </c>
      <c r="D46" s="181"/>
      <c r="E46" s="29">
        <f>IF(E18+E20+E21+E22&lt;=C5*2,(C12*3)/12,0)</f>
        <v>0</v>
      </c>
      <c r="F46" s="168"/>
      <c r="G46" s="168"/>
    </row>
    <row r="47" spans="1:9" s="18" customFormat="1" ht="18.75" customHeight="1" x14ac:dyDescent="0.3">
      <c r="A47" s="167"/>
      <c r="B47" s="178"/>
      <c r="C47" s="124"/>
      <c r="D47" s="170"/>
      <c r="E47" s="182"/>
      <c r="F47" s="168"/>
      <c r="G47" s="168"/>
    </row>
    <row r="48" spans="1:9" s="18" customFormat="1" ht="18.75" customHeight="1" x14ac:dyDescent="0.3">
      <c r="A48" s="167"/>
      <c r="B48" s="31" t="s">
        <v>55</v>
      </c>
      <c r="C48" s="126"/>
      <c r="D48" s="175"/>
      <c r="E48" s="30">
        <f>E23+E30+E38+E43+E46</f>
        <v>830466.16666666674</v>
      </c>
      <c r="F48" s="183"/>
      <c r="G48" s="173"/>
    </row>
    <row r="49" spans="1:9" s="18" customFormat="1" ht="18.75" customHeight="1" thickBot="1" x14ac:dyDescent="0.35">
      <c r="A49" s="167"/>
      <c r="B49" s="80" t="s">
        <v>56</v>
      </c>
      <c r="C49" s="129"/>
      <c r="D49" s="130"/>
      <c r="E49" s="93">
        <f>+(E48/(E23-E19))-1</f>
        <v>0.6712943583551354</v>
      </c>
      <c r="F49" s="173"/>
      <c r="G49" s="173"/>
    </row>
    <row r="50" spans="1:9" s="18" customFormat="1" ht="13.5" customHeight="1" x14ac:dyDescent="0.3">
      <c r="A50" s="167"/>
      <c r="B50" s="184"/>
      <c r="C50" s="131"/>
      <c r="D50" s="132"/>
      <c r="E50" s="185"/>
      <c r="F50" s="173"/>
      <c r="G50" s="173"/>
    </row>
    <row r="51" spans="1:9" s="18" customFormat="1" ht="13.5" customHeight="1" thickBot="1" x14ac:dyDescent="0.35">
      <c r="A51" s="167"/>
      <c r="B51" s="184"/>
      <c r="C51" s="131"/>
      <c r="D51" s="132"/>
      <c r="E51" s="185"/>
      <c r="F51" s="173"/>
      <c r="G51" s="173"/>
    </row>
    <row r="52" spans="1:9" s="18" customFormat="1" ht="18.75" customHeight="1" x14ac:dyDescent="0.3">
      <c r="A52" s="155"/>
      <c r="B52" s="74" t="s">
        <v>138</v>
      </c>
      <c r="C52" s="186"/>
      <c r="D52" s="133"/>
      <c r="E52" s="187">
        <f>E48*12</f>
        <v>9965594</v>
      </c>
      <c r="F52" s="156"/>
      <c r="G52" s="156"/>
      <c r="H52" s="1"/>
    </row>
    <row r="53" spans="1:9" s="18" customFormat="1" ht="18.75" customHeight="1" x14ac:dyDescent="0.3">
      <c r="A53" s="155"/>
      <c r="B53" s="26" t="s">
        <v>153</v>
      </c>
      <c r="C53" s="124"/>
      <c r="D53" s="134"/>
      <c r="E53" s="29">
        <v>295</v>
      </c>
      <c r="F53" s="156"/>
      <c r="G53" s="156"/>
      <c r="H53" s="1"/>
    </row>
    <row r="54" spans="1:9" s="18" customFormat="1" ht="18.75" customHeight="1" x14ac:dyDescent="0.3">
      <c r="A54" s="155"/>
      <c r="B54" s="26" t="s">
        <v>59</v>
      </c>
      <c r="C54" s="124"/>
      <c r="D54" s="134"/>
      <c r="E54" s="29">
        <f>E52/E53</f>
        <v>33781.674576271187</v>
      </c>
      <c r="F54" s="156"/>
      <c r="G54" s="156"/>
      <c r="H54" s="1"/>
    </row>
    <row r="55" spans="1:9" s="18" customFormat="1" ht="18.75" customHeight="1" thickBot="1" x14ac:dyDescent="0.35">
      <c r="A55" s="155"/>
      <c r="B55" s="188" t="s">
        <v>60</v>
      </c>
      <c r="C55" s="135"/>
      <c r="D55" s="136"/>
      <c r="E55" s="82">
        <f>E54/8</f>
        <v>4222.7093220338984</v>
      </c>
      <c r="F55" s="156"/>
      <c r="G55" s="156"/>
      <c r="H55" s="1"/>
    </row>
    <row r="56" spans="1:9" s="18" customFormat="1" ht="11.25" customHeight="1" x14ac:dyDescent="0.3">
      <c r="A56" s="155"/>
      <c r="B56" s="161"/>
      <c r="C56" s="137"/>
      <c r="D56" s="138"/>
      <c r="E56" s="185"/>
      <c r="F56" s="156"/>
      <c r="G56" s="156"/>
      <c r="H56" s="1"/>
    </row>
    <row r="57" spans="1:9" s="18" customFormat="1" ht="11.25" customHeight="1" thickBot="1" x14ac:dyDescent="0.35">
      <c r="A57" s="155"/>
      <c r="B57" s="161"/>
      <c r="C57" s="137"/>
      <c r="D57" s="138"/>
      <c r="E57" s="185"/>
      <c r="F57" s="156"/>
      <c r="G57" s="156"/>
      <c r="H57" s="1"/>
    </row>
    <row r="58" spans="1:9" s="18" customFormat="1" ht="18.75" customHeight="1" thickBot="1" x14ac:dyDescent="0.35">
      <c r="A58" s="155"/>
      <c r="B58" s="45" t="s">
        <v>61</v>
      </c>
      <c r="C58" s="46"/>
      <c r="D58" s="47" t="s">
        <v>13</v>
      </c>
      <c r="E58" s="48" t="s">
        <v>62</v>
      </c>
      <c r="F58" s="47" t="s">
        <v>63</v>
      </c>
      <c r="G58" s="49" t="s">
        <v>62</v>
      </c>
    </row>
    <row r="59" spans="1:9" s="18" customFormat="1" ht="18.75" customHeight="1" x14ac:dyDescent="0.3">
      <c r="A59" s="155"/>
      <c r="B59" s="50" t="s">
        <v>64</v>
      </c>
      <c r="C59" s="51" t="s">
        <v>112</v>
      </c>
      <c r="D59" s="52"/>
      <c r="E59" s="53">
        <f>(E18/30)/8</f>
        <v>2070.4166666666665</v>
      </c>
      <c r="F59" s="139"/>
      <c r="G59" s="153"/>
      <c r="H59" s="1"/>
    </row>
    <row r="60" spans="1:9" s="18" customFormat="1" ht="18.75" customHeight="1" x14ac:dyDescent="0.3">
      <c r="A60" s="155"/>
      <c r="B60" s="39" t="s">
        <v>66</v>
      </c>
      <c r="C60" s="37" t="s">
        <v>113</v>
      </c>
      <c r="D60" s="54">
        <v>0.35</v>
      </c>
      <c r="E60" s="55">
        <f>$E$59*D60</f>
        <v>724.64583333333326</v>
      </c>
      <c r="F60" s="189"/>
      <c r="G60" s="352">
        <f t="shared" ref="G60:G68" si="0">E60*F60</f>
        <v>0</v>
      </c>
      <c r="H60" s="1"/>
      <c r="I60" s="83"/>
    </row>
    <row r="61" spans="1:9" s="18" customFormat="1" ht="18.75" customHeight="1" x14ac:dyDescent="0.3">
      <c r="A61" s="155"/>
      <c r="B61" s="39" t="s">
        <v>68</v>
      </c>
      <c r="C61" s="37" t="s">
        <v>69</v>
      </c>
      <c r="D61" s="54">
        <v>0.75</v>
      </c>
      <c r="E61" s="55">
        <f>$E$59*D61</f>
        <v>1552.8125</v>
      </c>
      <c r="F61" s="189"/>
      <c r="G61" s="352">
        <f t="shared" si="0"/>
        <v>0</v>
      </c>
      <c r="H61" s="1"/>
      <c r="I61" s="83"/>
    </row>
    <row r="62" spans="1:9" s="18" customFormat="1" ht="18.75" customHeight="1" x14ac:dyDescent="0.3">
      <c r="A62" s="155"/>
      <c r="B62" s="56" t="s">
        <v>70</v>
      </c>
      <c r="C62" s="57" t="s">
        <v>71</v>
      </c>
      <c r="D62" s="58">
        <v>1.75</v>
      </c>
      <c r="E62" s="55">
        <f>$E$59*D62</f>
        <v>3623.2291666666665</v>
      </c>
      <c r="F62" s="191"/>
      <c r="G62" s="352">
        <f t="shared" si="0"/>
        <v>0</v>
      </c>
      <c r="H62" s="1"/>
    </row>
    <row r="63" spans="1:9" s="18" customFormat="1" ht="18.75" customHeight="1" x14ac:dyDescent="0.3">
      <c r="A63" s="155"/>
      <c r="B63" s="26" t="s">
        <v>72</v>
      </c>
      <c r="C63" s="27" t="s">
        <v>73</v>
      </c>
      <c r="D63" s="91">
        <v>1.1000000000000001</v>
      </c>
      <c r="E63" s="84">
        <f t="shared" ref="E63:E68" si="1">$E$59*D63</f>
        <v>2277.4583333333335</v>
      </c>
      <c r="F63" s="191"/>
      <c r="G63" s="352">
        <f t="shared" si="0"/>
        <v>0</v>
      </c>
      <c r="H63" s="1"/>
    </row>
    <row r="64" spans="1:9" s="18" customFormat="1" ht="18.75" customHeight="1" x14ac:dyDescent="0.3">
      <c r="A64" s="155"/>
      <c r="B64" s="86" t="s">
        <v>74</v>
      </c>
      <c r="C64" s="27" t="s">
        <v>75</v>
      </c>
      <c r="D64" s="92">
        <v>2.1</v>
      </c>
      <c r="E64" s="84">
        <f t="shared" si="1"/>
        <v>4347.875</v>
      </c>
      <c r="F64" s="191"/>
      <c r="G64" s="352">
        <f t="shared" si="0"/>
        <v>0</v>
      </c>
      <c r="H64" s="1"/>
    </row>
    <row r="65" spans="1:8" s="18" customFormat="1" ht="18.75" customHeight="1" x14ac:dyDescent="0.3">
      <c r="A65" s="155"/>
      <c r="B65" s="59" t="s">
        <v>76</v>
      </c>
      <c r="C65" s="60" t="s">
        <v>77</v>
      </c>
      <c r="D65" s="61">
        <v>1.25</v>
      </c>
      <c r="E65" s="84">
        <f t="shared" si="1"/>
        <v>2588.020833333333</v>
      </c>
      <c r="F65" s="189"/>
      <c r="G65" s="352">
        <f t="shared" si="0"/>
        <v>0</v>
      </c>
      <c r="H65" s="1"/>
    </row>
    <row r="66" spans="1:8" s="18" customFormat="1" ht="18.75" customHeight="1" x14ac:dyDescent="0.3">
      <c r="A66" s="155"/>
      <c r="B66" s="62" t="s">
        <v>78</v>
      </c>
      <c r="C66" s="37" t="s">
        <v>79</v>
      </c>
      <c r="D66" s="54">
        <v>1.75</v>
      </c>
      <c r="E66" s="84">
        <f t="shared" si="1"/>
        <v>3623.2291666666665</v>
      </c>
      <c r="F66" s="189"/>
      <c r="G66" s="352">
        <f t="shared" si="0"/>
        <v>0</v>
      </c>
      <c r="H66" s="1"/>
    </row>
    <row r="67" spans="1:8" s="18" customFormat="1" ht="18.75" customHeight="1" x14ac:dyDescent="0.3">
      <c r="A67" s="155"/>
      <c r="B67" s="62" t="s">
        <v>80</v>
      </c>
      <c r="C67" s="37" t="s">
        <v>81</v>
      </c>
      <c r="D67" s="54">
        <v>2</v>
      </c>
      <c r="E67" s="84">
        <f t="shared" si="1"/>
        <v>4140.833333333333</v>
      </c>
      <c r="F67" s="189"/>
      <c r="G67" s="352">
        <f t="shared" si="0"/>
        <v>0</v>
      </c>
      <c r="H67" s="1"/>
    </row>
    <row r="68" spans="1:8" s="18" customFormat="1" ht="18.75" customHeight="1" thickBot="1" x14ac:dyDescent="0.35">
      <c r="A68" s="155"/>
      <c r="B68" s="63" t="s">
        <v>82</v>
      </c>
      <c r="C68" s="64" t="s">
        <v>83</v>
      </c>
      <c r="D68" s="65">
        <v>2.5</v>
      </c>
      <c r="E68" s="102">
        <f t="shared" si="1"/>
        <v>5176.0416666666661</v>
      </c>
      <c r="F68" s="192"/>
      <c r="G68" s="353">
        <f t="shared" si="0"/>
        <v>0</v>
      </c>
      <c r="H68" s="1"/>
    </row>
    <row r="69" spans="1:8" s="18" customFormat="1" ht="18.75" customHeight="1" thickBot="1" x14ac:dyDescent="0.35">
      <c r="A69" s="155"/>
      <c r="B69" s="95" t="s">
        <v>154</v>
      </c>
      <c r="C69" s="115"/>
      <c r="D69" s="116"/>
      <c r="E69" s="4"/>
      <c r="F69" s="156"/>
      <c r="G69" s="66">
        <f>SUM(G60:G68)</f>
        <v>0</v>
      </c>
      <c r="H69" s="1"/>
    </row>
    <row r="70" spans="1:8" s="18" customFormat="1" ht="13.5" customHeight="1" thickBot="1" x14ac:dyDescent="0.35">
      <c r="A70" s="155"/>
      <c r="B70" s="161"/>
      <c r="C70" s="137"/>
      <c r="D70" s="138"/>
      <c r="E70" s="185"/>
      <c r="F70" s="156"/>
      <c r="G70" s="156"/>
      <c r="H70" s="1"/>
    </row>
    <row r="71" spans="1:8" s="18" customFormat="1" ht="18.75" customHeight="1" thickBot="1" x14ac:dyDescent="0.35">
      <c r="A71" s="155"/>
      <c r="B71" s="113" t="s">
        <v>85</v>
      </c>
      <c r="C71" s="114"/>
      <c r="D71" s="105" t="s">
        <v>13</v>
      </c>
      <c r="E71" s="48" t="s">
        <v>62</v>
      </c>
      <c r="F71" s="156"/>
      <c r="G71" s="156"/>
      <c r="H71" s="1"/>
    </row>
    <row r="72" spans="1:8" s="18" customFormat="1" ht="18.75" customHeight="1" x14ac:dyDescent="0.3">
      <c r="A72" s="155"/>
      <c r="B72" s="74" t="s">
        <v>86</v>
      </c>
      <c r="C72" s="67" t="s">
        <v>87</v>
      </c>
      <c r="D72" s="133"/>
      <c r="E72" s="194"/>
      <c r="F72" s="156"/>
      <c r="G72" s="156"/>
      <c r="H72" s="1"/>
    </row>
    <row r="73" spans="1:8" s="18" customFormat="1" ht="18.75" customHeight="1" x14ac:dyDescent="0.3">
      <c r="A73" s="155"/>
      <c r="B73" s="26" t="s">
        <v>88</v>
      </c>
      <c r="C73" s="27" t="s">
        <v>89</v>
      </c>
      <c r="D73" s="54">
        <v>0.04</v>
      </c>
      <c r="E73" s="68">
        <f>ROUND(IF($E$18+E20+E21+E22&lt;=($C$5*25),ROUND($E$18+E20+E21+E22,-3),ROUND($C$5*25,-3))*D73,-2)</f>
        <v>19900</v>
      </c>
      <c r="F73" s="156"/>
      <c r="G73" s="156"/>
      <c r="H73" s="1"/>
    </row>
    <row r="74" spans="1:8" s="18" customFormat="1" ht="18.75" customHeight="1" x14ac:dyDescent="0.3">
      <c r="A74" s="155"/>
      <c r="B74" s="26" t="s">
        <v>90</v>
      </c>
      <c r="C74" s="37" t="s">
        <v>91</v>
      </c>
      <c r="D74" s="54">
        <v>0.04</v>
      </c>
      <c r="E74" s="68">
        <f>ROUND(IF($E$18+E20+E21+E22&lt;=($C$5*25),ROUND($E$18+E20+E21+E22,-3),ROUND($C$5*25,-3))*D74,-2)</f>
        <v>19900</v>
      </c>
      <c r="F74" s="156"/>
      <c r="G74" s="156"/>
      <c r="H74" s="1"/>
    </row>
    <row r="75" spans="1:8" s="18" customFormat="1" ht="18.75" customHeight="1" x14ac:dyDescent="0.3">
      <c r="A75" s="155"/>
      <c r="B75" s="26" t="s">
        <v>92</v>
      </c>
      <c r="C75" s="37" t="s">
        <v>93</v>
      </c>
      <c r="D75" s="79">
        <f>IF(E18+E20+E21+E22&lt;(C5*4),0,0.01)</f>
        <v>0</v>
      </c>
      <c r="E75" s="29">
        <f>IF(E18+E20+E21+E22&lt;(C5*4),0,(E18+E20+E21+E22)*D75)</f>
        <v>0</v>
      </c>
      <c r="F75" s="156"/>
      <c r="G75" s="156"/>
      <c r="H75" s="1"/>
    </row>
    <row r="76" spans="1:8" s="18" customFormat="1" ht="18.75" customHeight="1" x14ac:dyDescent="0.3">
      <c r="A76" s="155"/>
      <c r="B76" s="26" t="s">
        <v>94</v>
      </c>
      <c r="C76" s="37" t="s">
        <v>95</v>
      </c>
      <c r="D76" s="36">
        <f>IF(E18+E20+E21+E22&lt;C81,D81,IF(E18+E20+E21+E22&lt;C82,D82,IF(E18+E20+E21+E22&lt;C83,D83,IF(E18+E20+E21+E22&lt;C84,D84,IF(E18+E20+E21+E22&lt;C85,D85,D86)))))</f>
        <v>0</v>
      </c>
      <c r="E76" s="195">
        <f>(E18+E20+E21+E22)*D76</f>
        <v>0</v>
      </c>
      <c r="F76" s="156"/>
      <c r="G76" s="156"/>
      <c r="H76" s="1"/>
    </row>
    <row r="77" spans="1:8" s="18" customFormat="1" ht="18.75" customHeight="1" thickBot="1" x14ac:dyDescent="0.35">
      <c r="A77" s="155"/>
      <c r="B77" s="94" t="s">
        <v>96</v>
      </c>
      <c r="C77" s="69"/>
      <c r="D77" s="196"/>
      <c r="E77" s="70">
        <f>SUM(E72:E76)</f>
        <v>39800</v>
      </c>
      <c r="F77" s="156"/>
      <c r="G77" s="156"/>
      <c r="H77" s="1"/>
    </row>
    <row r="78" spans="1:8" s="18" customFormat="1" ht="13.5" customHeight="1" x14ac:dyDescent="0.3">
      <c r="A78" s="155"/>
      <c r="B78" s="161"/>
      <c r="C78" s="137"/>
      <c r="D78" s="138"/>
      <c r="E78" s="185"/>
      <c r="F78" s="156"/>
      <c r="G78" s="156"/>
      <c r="H78" s="1"/>
    </row>
    <row r="79" spans="1:8" ht="13.5" customHeight="1" thickBot="1" x14ac:dyDescent="0.35">
      <c r="A79" s="155"/>
      <c r="B79" s="161"/>
      <c r="C79" s="137"/>
      <c r="D79" s="197"/>
      <c r="E79" s="185"/>
      <c r="F79" s="156"/>
      <c r="G79" s="156"/>
    </row>
    <row r="80" spans="1:8" ht="16.2" thickBot="1" x14ac:dyDescent="0.35">
      <c r="A80" s="155"/>
      <c r="B80" s="71" t="s">
        <v>97</v>
      </c>
      <c r="C80" s="140"/>
      <c r="D80" s="168"/>
      <c r="E80" s="179"/>
      <c r="F80" s="156"/>
      <c r="G80" s="156"/>
    </row>
    <row r="81" spans="1:256" ht="15.6" x14ac:dyDescent="0.3">
      <c r="A81" s="155"/>
      <c r="B81" s="74" t="s">
        <v>98</v>
      </c>
      <c r="C81" s="354">
        <f>$C$5*16</f>
        <v>7950400</v>
      </c>
      <c r="D81" s="75">
        <v>0</v>
      </c>
      <c r="E81" s="199"/>
      <c r="F81" s="156"/>
      <c r="G81" s="156"/>
    </row>
    <row r="82" spans="1:256" ht="15.6" x14ac:dyDescent="0.3">
      <c r="A82" s="155"/>
      <c r="B82" s="39" t="s">
        <v>99</v>
      </c>
      <c r="C82" s="355">
        <f>$C$5*17</f>
        <v>8447300</v>
      </c>
      <c r="D82" s="77">
        <v>2E-3</v>
      </c>
      <c r="E82" s="201"/>
      <c r="F82" s="156"/>
      <c r="G82" s="156"/>
    </row>
    <row r="83" spans="1:256" ht="15.6" x14ac:dyDescent="0.3">
      <c r="A83" s="155"/>
      <c r="B83" s="39" t="s">
        <v>100</v>
      </c>
      <c r="C83" s="356">
        <f>$C$5*18</f>
        <v>8944200</v>
      </c>
      <c r="D83" s="79">
        <v>4.0000000000000001E-3</v>
      </c>
      <c r="E83" s="203"/>
      <c r="F83" s="156"/>
      <c r="G83" s="156"/>
    </row>
    <row r="84" spans="1:256" ht="15.6" x14ac:dyDescent="0.3">
      <c r="A84" s="155"/>
      <c r="B84" s="39" t="s">
        <v>101</v>
      </c>
      <c r="C84" s="356">
        <f>$C$5*19</f>
        <v>9441100</v>
      </c>
      <c r="D84" s="79">
        <v>6.0000000000000001E-3</v>
      </c>
      <c r="E84" s="203"/>
      <c r="F84" s="156"/>
      <c r="G84" s="156"/>
    </row>
    <row r="85" spans="1:256" ht="15.6" x14ac:dyDescent="0.3">
      <c r="A85" s="155"/>
      <c r="B85" s="39" t="s">
        <v>102</v>
      </c>
      <c r="C85" s="356">
        <f>$C$5*20</f>
        <v>9938000</v>
      </c>
      <c r="D85" s="79">
        <v>8.0000000000000002E-3</v>
      </c>
      <c r="E85" s="203"/>
      <c r="F85" s="156"/>
      <c r="G85" s="156"/>
    </row>
    <row r="86" spans="1:256" ht="16.2" thickBot="1" x14ac:dyDescent="0.35">
      <c r="A86" s="155"/>
      <c r="B86" s="80" t="s">
        <v>103</v>
      </c>
      <c r="C86" s="357">
        <v>9938000</v>
      </c>
      <c r="D86" s="81">
        <v>0.01</v>
      </c>
      <c r="E86" s="205"/>
      <c r="F86" s="156"/>
      <c r="G86" s="156"/>
      <c r="IV86" s="1">
        <v>2008</v>
      </c>
    </row>
    <row r="87" spans="1:256" x14ac:dyDescent="0.25">
      <c r="A87" s="155"/>
      <c r="B87" s="206"/>
      <c r="C87" s="141"/>
      <c r="D87" s="142"/>
      <c r="E87" s="149" t="str">
        <f>+B69</f>
        <v>V3.9   Enero 19 de 2009</v>
      </c>
      <c r="F87" s="156"/>
      <c r="G87" s="156"/>
    </row>
    <row r="88" spans="1:256" ht="14.4" x14ac:dyDescent="0.3">
      <c r="A88" s="155"/>
      <c r="B88" s="155"/>
      <c r="C88" s="115"/>
      <c r="D88" s="143"/>
      <c r="E88" s="145"/>
      <c r="F88" s="156"/>
      <c r="G88" s="156"/>
    </row>
    <row r="89" spans="1:256" ht="15.6" x14ac:dyDescent="0.3">
      <c r="A89" s="155"/>
      <c r="B89" s="155"/>
      <c r="C89" s="140"/>
      <c r="D89" s="116"/>
      <c r="F89" s="156"/>
      <c r="G89" s="156"/>
    </row>
    <row r="90" spans="1:256" ht="15.6" x14ac:dyDescent="0.3">
      <c r="A90" s="155"/>
      <c r="B90" s="155"/>
      <c r="C90" s="140"/>
      <c r="D90" s="116"/>
      <c r="F90" s="156"/>
      <c r="G90" s="156"/>
    </row>
    <row r="91" spans="1:256" ht="15.6" x14ac:dyDescent="0.3">
      <c r="A91" s="155"/>
      <c r="B91" s="155"/>
      <c r="C91" s="140"/>
      <c r="D91" s="116"/>
      <c r="F91" s="156"/>
      <c r="G91" s="156"/>
    </row>
    <row r="92" spans="1:256" ht="15.6" x14ac:dyDescent="0.3">
      <c r="A92" s="155"/>
      <c r="B92" s="155"/>
      <c r="C92" s="140"/>
      <c r="D92" s="116"/>
      <c r="F92" s="156"/>
      <c r="G92" s="156"/>
    </row>
    <row r="93" spans="1:256" ht="15.6" x14ac:dyDescent="0.3">
      <c r="A93" s="155"/>
      <c r="B93" s="155"/>
      <c r="C93" s="140"/>
      <c r="D93" s="116"/>
      <c r="F93" s="156"/>
      <c r="G93" s="156"/>
    </row>
    <row r="94" spans="1:256" ht="15.6" x14ac:dyDescent="0.3">
      <c r="A94" s="155"/>
      <c r="B94" s="155"/>
      <c r="C94" s="140"/>
      <c r="D94" s="116"/>
      <c r="F94" s="156"/>
      <c r="G94" s="156"/>
    </row>
    <row r="95" spans="1:256" ht="15.6" x14ac:dyDescent="0.3">
      <c r="A95" s="155"/>
      <c r="B95" s="155"/>
      <c r="C95" s="140"/>
      <c r="D95" s="116"/>
      <c r="F95" s="156"/>
      <c r="G95" s="156"/>
    </row>
    <row r="96" spans="1:256" ht="15.6" x14ac:dyDescent="0.3">
      <c r="A96" s="155"/>
      <c r="B96" s="155"/>
      <c r="C96" s="140"/>
      <c r="D96" s="116"/>
      <c r="F96" s="156"/>
      <c r="G96" s="156"/>
    </row>
    <row r="97" spans="1:7" ht="15.6" x14ac:dyDescent="0.3">
      <c r="A97" s="155"/>
      <c r="B97" s="155"/>
      <c r="C97" s="140"/>
      <c r="D97" s="116"/>
      <c r="F97" s="156"/>
      <c r="G97" s="156"/>
    </row>
    <row r="98" spans="1:7" ht="15.6" x14ac:dyDescent="0.3">
      <c r="A98" s="155"/>
      <c r="B98" s="155"/>
      <c r="C98" s="140"/>
      <c r="D98" s="116"/>
      <c r="F98" s="156"/>
      <c r="G98" s="156"/>
    </row>
    <row r="99" spans="1:7" ht="15.6" x14ac:dyDescent="0.3">
      <c r="A99" s="155"/>
      <c r="B99" s="155"/>
      <c r="C99" s="140"/>
      <c r="D99" s="116"/>
      <c r="F99" s="156"/>
      <c r="G99" s="156"/>
    </row>
    <row r="100" spans="1:7" x14ac:dyDescent="0.25">
      <c r="A100" s="155"/>
      <c r="B100" s="155"/>
      <c r="C100" s="115"/>
      <c r="D100" s="116"/>
      <c r="F100" s="156"/>
      <c r="G100" s="156"/>
    </row>
    <row r="101" spans="1:7" x14ac:dyDescent="0.25">
      <c r="A101" s="155"/>
      <c r="B101" s="155"/>
      <c r="C101" s="115"/>
      <c r="D101" s="116"/>
      <c r="F101" s="156"/>
      <c r="G101" s="156"/>
    </row>
    <row r="102" spans="1:7" x14ac:dyDescent="0.25">
      <c r="A102" s="155"/>
      <c r="B102" s="155"/>
      <c r="C102" s="115"/>
      <c r="D102" s="116"/>
      <c r="F102" s="156"/>
      <c r="G102" s="156"/>
    </row>
    <row r="103" spans="1:7" x14ac:dyDescent="0.25">
      <c r="A103" s="155"/>
      <c r="B103" s="155"/>
      <c r="C103" s="115"/>
      <c r="D103" s="116"/>
      <c r="F103" s="156"/>
      <c r="G103" s="156"/>
    </row>
    <row r="65536" spans="256:256" x14ac:dyDescent="0.25">
      <c r="IV65536" s="1">
        <v>2009</v>
      </c>
    </row>
  </sheetData>
  <sheetProtection password="CCFB" sheet="1" objects="1" scenarios="1"/>
  <protectedRanges>
    <protectedRange sqref="E20:E22" name="Rango5"/>
    <protectedRange sqref="C10:C12" name="Rango4"/>
    <protectedRange sqref="F60:F68" name="Rango2"/>
    <protectedRange sqref="E72" name="Rango3"/>
  </protectedRanges>
  <customSheetViews>
    <customSheetView guid="{005D785A-2C1A-7642-8E14-813F8ABC12DD}" scale="88" showGridLines="0">
      <selection activeCell="D10" sqref="D10"/>
      <pageMargins left="0" right="0" top="0" bottom="0" header="0" footer="0"/>
      <pageSetup orientation="portrait" r:id="rId1"/>
      <headerFooter alignWithMargins="0"/>
    </customSheetView>
  </customSheetViews>
  <phoneticPr fontId="7" type="noConversion"/>
  <dataValidations count="1">
    <dataValidation type="list" allowBlank="1" showInputMessage="1" showErrorMessage="1" sqref="C11" xr:uid="{00000000-0002-0000-0A00-000000000000}">
      <formula1>$IV$6:$IV$10</formula1>
    </dataValidation>
  </dataValidations>
  <pageMargins left="0.75" right="0.75" top="1" bottom="1" header="0" footer="0"/>
  <pageSetup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65536"/>
  <sheetViews>
    <sheetView topLeftCell="A27" zoomScale="110" zoomScaleNormal="110" zoomScalePageLayoutView="110" workbookViewId="0">
      <selection activeCell="I50" sqref="I50"/>
    </sheetView>
  </sheetViews>
  <sheetFormatPr baseColWidth="10" defaultColWidth="11.44140625" defaultRowHeight="13.2" x14ac:dyDescent="0.25"/>
  <cols>
    <col min="1" max="1" width="3.33203125" style="225" customWidth="1"/>
    <col min="2" max="2" width="45.33203125" style="225" customWidth="1"/>
    <col min="3" max="3" width="59.44140625" style="226" customWidth="1"/>
    <col min="4" max="4" width="11" style="227" customWidth="1"/>
    <col min="5" max="5" width="17.33203125" style="228" customWidth="1"/>
    <col min="6" max="6" width="17.44140625" style="234" customWidth="1"/>
    <col min="7" max="7" width="13.88671875" style="208" customWidth="1"/>
    <col min="8" max="8" width="7.6640625" style="225" customWidth="1"/>
    <col min="9" max="9" width="13.33203125" style="225" bestFit="1" customWidth="1"/>
    <col min="10" max="10" width="12" style="225" bestFit="1" customWidth="1"/>
    <col min="11" max="16384" width="11.44140625" style="225"/>
  </cols>
  <sheetData>
    <row r="1" spans="2:256" ht="11.25" customHeight="1" x14ac:dyDescent="0.25"/>
    <row r="2" spans="2:256" ht="18" customHeight="1" x14ac:dyDescent="0.3">
      <c r="B2" s="87" t="s">
        <v>0</v>
      </c>
      <c r="C2" s="229"/>
      <c r="D2" s="230"/>
      <c r="E2" s="231"/>
    </row>
    <row r="3" spans="2:256" ht="14.25" customHeight="1" thickBot="1" x14ac:dyDescent="0.3"/>
    <row r="4" spans="2:256" ht="18.75" customHeight="1" thickBot="1" x14ac:dyDescent="0.4">
      <c r="B4" s="342" t="s">
        <v>104</v>
      </c>
      <c r="C4" s="232"/>
      <c r="E4" s="233"/>
    </row>
    <row r="5" spans="2:256" ht="18.75" customHeight="1" x14ac:dyDescent="0.3">
      <c r="B5" s="344" t="s">
        <v>2</v>
      </c>
      <c r="C5" s="76">
        <v>781242</v>
      </c>
      <c r="E5" s="358">
        <f>+C5/30</f>
        <v>26041.4</v>
      </c>
      <c r="F5" s="340"/>
      <c r="G5" s="209"/>
      <c r="I5" s="299"/>
    </row>
    <row r="6" spans="2:256" ht="18.75" customHeight="1" thickBot="1" x14ac:dyDescent="0.35">
      <c r="B6" s="345" t="s">
        <v>3</v>
      </c>
      <c r="C6" s="82">
        <v>88211</v>
      </c>
      <c r="E6" s="350"/>
      <c r="F6" s="233"/>
      <c r="G6" s="209"/>
      <c r="I6" s="235"/>
      <c r="J6" s="236"/>
      <c r="IV6" s="237">
        <v>5.2199999999999998E-3</v>
      </c>
    </row>
    <row r="7" spans="2:256" ht="13.5" customHeight="1" x14ac:dyDescent="0.3">
      <c r="B7" s="238"/>
      <c r="C7" s="239"/>
      <c r="G7" s="209"/>
      <c r="IV7" s="237">
        <v>1.044E-2</v>
      </c>
    </row>
    <row r="8" spans="2:256" ht="12.75" customHeight="1" x14ac:dyDescent="0.25">
      <c r="B8" s="238"/>
      <c r="C8" s="238"/>
      <c r="G8" s="209"/>
      <c r="IV8" s="237">
        <v>2.436E-2</v>
      </c>
    </row>
    <row r="9" spans="2:256" ht="12" customHeight="1" thickBot="1" x14ac:dyDescent="0.3">
      <c r="B9" s="9" t="s">
        <v>4</v>
      </c>
      <c r="C9" s="240" t="s">
        <v>5</v>
      </c>
      <c r="D9" s="241"/>
      <c r="E9" s="242"/>
      <c r="IV9" s="237">
        <v>4.3499999999999997E-2</v>
      </c>
    </row>
    <row r="10" spans="2:256" ht="18.75" customHeight="1" x14ac:dyDescent="0.3">
      <c r="B10" s="11" t="s">
        <v>6</v>
      </c>
      <c r="C10" s="346">
        <v>781242</v>
      </c>
      <c r="D10" s="243"/>
      <c r="E10" s="244"/>
      <c r="F10" s="343"/>
      <c r="G10" s="311"/>
      <c r="H10" s="245"/>
      <c r="IV10" s="237">
        <v>6.9599999999999995E-2</v>
      </c>
    </row>
    <row r="11" spans="2:256" ht="18.75" customHeight="1" x14ac:dyDescent="0.3">
      <c r="B11" s="13" t="s">
        <v>7</v>
      </c>
      <c r="C11" s="292">
        <v>5.2199999999999998E-3</v>
      </c>
      <c r="D11" s="241"/>
      <c r="E11" s="244"/>
      <c r="G11" s="312"/>
      <c r="H11" s="245"/>
    </row>
    <row r="12" spans="2:256" ht="18.75" customHeight="1" thickBot="1" x14ac:dyDescent="0.35">
      <c r="B12" s="15" t="s">
        <v>8</v>
      </c>
      <c r="C12" s="347"/>
      <c r="D12" s="241"/>
      <c r="E12" s="242"/>
      <c r="G12" s="313"/>
      <c r="H12" s="245"/>
      <c r="IR12" s="248"/>
      <c r="IV12" s="249"/>
    </row>
    <row r="13" spans="2:256" s="1" customFormat="1" ht="18.75" customHeight="1" thickBot="1" x14ac:dyDescent="0.35">
      <c r="B13" s="15" t="s">
        <v>9</v>
      </c>
      <c r="C13" s="348">
        <v>3000</v>
      </c>
      <c r="D13" s="111" t="s">
        <v>10</v>
      </c>
      <c r="E13" s="10"/>
      <c r="F13" s="106"/>
      <c r="G13" s="17"/>
      <c r="H13" s="12"/>
      <c r="IR13" s="16"/>
      <c r="IV13" s="18" t="s">
        <v>10</v>
      </c>
    </row>
    <row r="14" spans="2:256" ht="10.5" customHeight="1" thickBot="1" x14ac:dyDescent="0.35">
      <c r="B14" s="250"/>
      <c r="C14" s="251"/>
      <c r="D14" s="252"/>
      <c r="F14" s="308"/>
      <c r="G14" s="312"/>
      <c r="H14" s="245"/>
      <c r="IR14" s="248"/>
    </row>
    <row r="15" spans="2:256" s="249" customFormat="1" ht="41.25" customHeight="1" x14ac:dyDescent="0.3">
      <c r="B15" s="96" t="s">
        <v>11</v>
      </c>
      <c r="C15" s="97" t="s">
        <v>12</v>
      </c>
      <c r="D15" s="98" t="s">
        <v>13</v>
      </c>
      <c r="E15" s="307" t="s">
        <v>14</v>
      </c>
      <c r="F15" s="309" t="s">
        <v>15</v>
      </c>
      <c r="G15" s="314" t="s">
        <v>16</v>
      </c>
      <c r="H15" s="245"/>
      <c r="IR15" s="253"/>
    </row>
    <row r="16" spans="2:256" s="249" customFormat="1" ht="9" customHeight="1" x14ac:dyDescent="0.3">
      <c r="B16" s="254"/>
      <c r="C16" s="239"/>
      <c r="D16" s="239"/>
      <c r="E16" s="255"/>
      <c r="F16" s="255"/>
      <c r="G16" s="107"/>
      <c r="IR16" s="253"/>
    </row>
    <row r="17" spans="2:252" s="249" customFormat="1" ht="15.6" x14ac:dyDescent="0.3">
      <c r="B17" s="256" t="s">
        <v>17</v>
      </c>
      <c r="C17" s="257"/>
      <c r="D17" s="258"/>
      <c r="E17" s="259"/>
      <c r="F17" s="259"/>
      <c r="G17" s="108"/>
      <c r="IR17" s="253"/>
    </row>
    <row r="18" spans="2:252" s="249" customFormat="1" ht="15.6" x14ac:dyDescent="0.3">
      <c r="B18" s="26" t="s">
        <v>18</v>
      </c>
      <c r="C18" s="27" t="s">
        <v>19</v>
      </c>
      <c r="D18" s="28"/>
      <c r="E18" s="29">
        <f>IF(C10&lt;C5,FALSE,C10)</f>
        <v>781242</v>
      </c>
      <c r="F18" s="29">
        <f>+E18</f>
        <v>781242</v>
      </c>
      <c r="G18" s="103">
        <f t="shared" ref="G18:G23" si="0">+E18/$C$13</f>
        <v>260.41399999999999</v>
      </c>
      <c r="IR18" s="253"/>
    </row>
    <row r="19" spans="2:252" s="249" customFormat="1" ht="15.6" x14ac:dyDescent="0.3">
      <c r="B19" s="26" t="s">
        <v>20</v>
      </c>
      <c r="C19" s="27" t="s">
        <v>105</v>
      </c>
      <c r="D19" s="28"/>
      <c r="E19" s="29">
        <f>IF(E18+E20+E21+E22&lt;=(C5*2),C6,0)</f>
        <v>88211</v>
      </c>
      <c r="F19" s="29">
        <f>+E19</f>
        <v>88211</v>
      </c>
      <c r="G19" s="103">
        <f t="shared" si="0"/>
        <v>29.403666666666666</v>
      </c>
      <c r="I19" s="284">
        <f>+E19/30</f>
        <v>2940.3666666666668</v>
      </c>
    </row>
    <row r="20" spans="2:252" s="249" customFormat="1" ht="15.6" x14ac:dyDescent="0.3">
      <c r="B20" s="26" t="s">
        <v>22</v>
      </c>
      <c r="C20" s="27" t="s">
        <v>23</v>
      </c>
      <c r="D20" s="262"/>
      <c r="E20" s="339">
        <f>+G60+G63</f>
        <v>0</v>
      </c>
      <c r="F20" s="42">
        <f>+E20</f>
        <v>0</v>
      </c>
      <c r="G20" s="103">
        <f t="shared" si="0"/>
        <v>0</v>
      </c>
      <c r="J20" s="264"/>
    </row>
    <row r="21" spans="2:252" s="249" customFormat="1" ht="15.6" x14ac:dyDescent="0.3">
      <c r="B21" s="26" t="s">
        <v>24</v>
      </c>
      <c r="C21" s="27" t="s">
        <v>25</v>
      </c>
      <c r="D21" s="262"/>
      <c r="E21" s="339">
        <f>+G61+G62+G64</f>
        <v>0</v>
      </c>
      <c r="F21" s="42">
        <f>+E21</f>
        <v>0</v>
      </c>
      <c r="G21" s="103">
        <f t="shared" si="0"/>
        <v>0</v>
      </c>
    </row>
    <row r="22" spans="2:252" s="249" customFormat="1" ht="15.6" x14ac:dyDescent="0.3">
      <c r="B22" s="26" t="s">
        <v>26</v>
      </c>
      <c r="C22" s="27" t="s">
        <v>27</v>
      </c>
      <c r="D22" s="262"/>
      <c r="E22" s="339">
        <f>+G65+G66+G67+G68</f>
        <v>0</v>
      </c>
      <c r="F22" s="42">
        <f>+E22</f>
        <v>0</v>
      </c>
      <c r="G22" s="103">
        <f t="shared" si="0"/>
        <v>0</v>
      </c>
    </row>
    <row r="23" spans="2:252" s="249" customFormat="1" ht="15.6" x14ac:dyDescent="0.3">
      <c r="B23" s="148" t="s">
        <v>28</v>
      </c>
      <c r="C23" s="265"/>
      <c r="D23" s="266"/>
      <c r="E23" s="30">
        <f>SUM(E18:E22)</f>
        <v>869453</v>
      </c>
      <c r="F23" s="30">
        <f>SUM(F18:F22)</f>
        <v>869453</v>
      </c>
      <c r="G23" s="104">
        <f t="shared" si="0"/>
        <v>289.81766666666664</v>
      </c>
    </row>
    <row r="24" spans="2:252" s="249" customFormat="1" ht="15.6" x14ac:dyDescent="0.3">
      <c r="B24" s="267"/>
      <c r="C24" s="268"/>
      <c r="D24" s="269"/>
      <c r="E24" s="263"/>
      <c r="F24" s="263"/>
      <c r="G24" s="108"/>
    </row>
    <row r="25" spans="2:252" s="249" customFormat="1" ht="15.6" x14ac:dyDescent="0.3">
      <c r="B25" s="270" t="s">
        <v>29</v>
      </c>
      <c r="C25" s="257"/>
      <c r="D25" s="258"/>
      <c r="E25" s="263"/>
      <c r="F25" s="263"/>
      <c r="G25" s="108"/>
    </row>
    <row r="26" spans="2:252" s="249" customFormat="1" ht="15.6" x14ac:dyDescent="0.3">
      <c r="B26" s="26" t="s">
        <v>30</v>
      </c>
      <c r="C26" s="27" t="s">
        <v>31</v>
      </c>
      <c r="D26" s="35">
        <v>8.3333333333333343E-2</v>
      </c>
      <c r="E26" s="29">
        <f>E23*D26</f>
        <v>72454.416666666672</v>
      </c>
      <c r="F26" s="29">
        <f>+E26</f>
        <v>72454.416666666672</v>
      </c>
      <c r="G26" s="103">
        <f>+E26/$C$13</f>
        <v>24.151472222222225</v>
      </c>
    </row>
    <row r="27" spans="2:252" s="249" customFormat="1" ht="15.6" x14ac:dyDescent="0.3">
      <c r="B27" s="26" t="s">
        <v>32</v>
      </c>
      <c r="C27" s="27" t="s">
        <v>33</v>
      </c>
      <c r="D27" s="36">
        <v>0.12</v>
      </c>
      <c r="E27" s="29">
        <f>+E26*D27</f>
        <v>8694.5300000000007</v>
      </c>
      <c r="F27" s="29">
        <f>+E27</f>
        <v>8694.5300000000007</v>
      </c>
      <c r="G27" s="103">
        <f>+E27/$C$13</f>
        <v>2.8981766666666671</v>
      </c>
    </row>
    <row r="28" spans="2:252" s="249" customFormat="1" ht="15.6" x14ac:dyDescent="0.3">
      <c r="B28" s="26" t="s">
        <v>34</v>
      </c>
      <c r="C28" s="27" t="s">
        <v>31</v>
      </c>
      <c r="D28" s="35">
        <v>8.3333333333333343E-2</v>
      </c>
      <c r="E28" s="29">
        <f>E23*D28</f>
        <v>72454.416666666672</v>
      </c>
      <c r="F28" s="29">
        <f>+E28</f>
        <v>72454.416666666672</v>
      </c>
      <c r="G28" s="103">
        <f>+E28/$C$13</f>
        <v>24.151472222222225</v>
      </c>
    </row>
    <row r="29" spans="2:252" s="249" customFormat="1" ht="15.6" x14ac:dyDescent="0.3">
      <c r="B29" s="26" t="s">
        <v>35</v>
      </c>
      <c r="C29" s="37" t="s">
        <v>36</v>
      </c>
      <c r="D29" s="35">
        <v>4.1666666666666664E-2</v>
      </c>
      <c r="E29" s="29">
        <f>(E18+E20)*D29</f>
        <v>32551.75</v>
      </c>
      <c r="F29" s="29">
        <f>+E29</f>
        <v>32551.75</v>
      </c>
      <c r="G29" s="103">
        <f>+E29/$C$13</f>
        <v>10.850583333333333</v>
      </c>
    </row>
    <row r="30" spans="2:252" s="249" customFormat="1" ht="15.6" x14ac:dyDescent="0.3">
      <c r="B30" s="177" t="s">
        <v>37</v>
      </c>
      <c r="C30" s="38"/>
      <c r="D30" s="33"/>
      <c r="E30" s="30">
        <f>SUM(E26:E29)</f>
        <v>186155.11333333334</v>
      </c>
      <c r="F30" s="30">
        <f>SUM(F26:F29)</f>
        <v>186155.11333333334</v>
      </c>
      <c r="G30" s="104">
        <f>+E30/$C$13</f>
        <v>62.051704444444447</v>
      </c>
    </row>
    <row r="31" spans="2:252" s="249" customFormat="1" ht="15.6" x14ac:dyDescent="0.3">
      <c r="B31" s="260"/>
      <c r="C31" s="261"/>
      <c r="D31" s="262"/>
      <c r="E31" s="259"/>
      <c r="F31" s="259"/>
      <c r="G31" s="108"/>
      <c r="H31" s="238"/>
    </row>
    <row r="32" spans="2:252" s="249" customFormat="1" ht="15.6" x14ac:dyDescent="0.3">
      <c r="B32" s="256" t="s">
        <v>38</v>
      </c>
      <c r="C32" s="257"/>
      <c r="D32" s="258"/>
      <c r="E32" s="259"/>
      <c r="F32" s="259"/>
      <c r="G32" s="108"/>
      <c r="H32" s="238"/>
    </row>
    <row r="33" spans="2:9" s="249" customFormat="1" ht="15.6" x14ac:dyDescent="0.3">
      <c r="B33" s="310" t="s">
        <v>39</v>
      </c>
      <c r="C33" s="85">
        <f>ROUND(IF($E$18+E20+E21+E22&lt;=($C$5*25),ROUND($E$18+E20+E21+E22,-3),ROUND($C$5*25,-3))*0.125,-2)</f>
        <v>97600</v>
      </c>
      <c r="D33" s="36">
        <v>8.5000000000000006E-2</v>
      </c>
      <c r="E33" s="29">
        <f>C33-E73</f>
        <v>66400</v>
      </c>
      <c r="F33" s="29">
        <v>0</v>
      </c>
      <c r="G33" s="103">
        <f t="shared" ref="G33:G38" si="1">+E33/$C$13</f>
        <v>22.133333333333333</v>
      </c>
      <c r="H33" s="274"/>
      <c r="I33" s="275"/>
    </row>
    <row r="34" spans="2:9" s="249" customFormat="1" ht="15.6" x14ac:dyDescent="0.3">
      <c r="B34" s="26" t="s">
        <v>40</v>
      </c>
      <c r="C34" s="85">
        <f>ROUND(IF($E$18+E20+E21+E22&lt;=($C$5*25),ROUND($E$18+E20+E21+E22,-3),ROUND($C$5*25,-3))*0.16,-2)</f>
        <v>125000</v>
      </c>
      <c r="D34" s="36">
        <v>0.12</v>
      </c>
      <c r="E34" s="29">
        <f>C34-E74</f>
        <v>93800</v>
      </c>
      <c r="F34" s="29">
        <f>+E34</f>
        <v>93800</v>
      </c>
      <c r="G34" s="103">
        <f t="shared" si="1"/>
        <v>31.266666666666666</v>
      </c>
      <c r="H34" s="276"/>
    </row>
    <row r="35" spans="2:9" s="249" customFormat="1" ht="15.6" x14ac:dyDescent="0.3">
      <c r="B35" s="26" t="s">
        <v>41</v>
      </c>
      <c r="C35" s="37" t="s">
        <v>42</v>
      </c>
      <c r="D35" s="28">
        <f>C11</f>
        <v>5.2199999999999998E-3</v>
      </c>
      <c r="E35" s="29">
        <f>ROUND(IF($E$18+E21+E20+E22&lt;=($C$5*20),ROUND($E$18+E20+E21+E22,-3),ROUND($C$5*20,-3))*D35,-2)</f>
        <v>4100</v>
      </c>
      <c r="F35" s="29">
        <f>+E35</f>
        <v>4100</v>
      </c>
      <c r="G35" s="103">
        <f t="shared" si="1"/>
        <v>1.3666666666666667</v>
      </c>
      <c r="H35" s="238"/>
    </row>
    <row r="36" spans="2:9" s="249" customFormat="1" ht="15.6" x14ac:dyDescent="0.3">
      <c r="B36" s="26" t="s">
        <v>43</v>
      </c>
      <c r="C36" s="271"/>
      <c r="D36" s="36">
        <v>8.5000000000000006E-2</v>
      </c>
      <c r="E36" s="29">
        <f>ROUND(IF($E$29&lt;=($C$5*25),ROUND($E$29,-3),ROUND($C$5*25,-3))*D36,-2)</f>
        <v>2800</v>
      </c>
      <c r="F36" s="29">
        <v>0</v>
      </c>
      <c r="G36" s="103">
        <f t="shared" si="1"/>
        <v>0.93333333333333335</v>
      </c>
    </row>
    <row r="37" spans="2:9" s="249" customFormat="1" ht="15.6" x14ac:dyDescent="0.3">
      <c r="B37" s="26" t="s">
        <v>44</v>
      </c>
      <c r="C37" s="271"/>
      <c r="D37" s="36">
        <v>0.12</v>
      </c>
      <c r="E37" s="29">
        <f>ROUND(IF($E$29&lt;=($C$5*25),ROUND($E$29,-3),ROUND($C$5*25,-3))*D37,-2)</f>
        <v>4000</v>
      </c>
      <c r="F37" s="29">
        <f>+E37</f>
        <v>4000</v>
      </c>
      <c r="G37" s="103">
        <f t="shared" si="1"/>
        <v>1.3333333333333333</v>
      </c>
    </row>
    <row r="38" spans="2:9" s="249" customFormat="1" ht="15.6" x14ac:dyDescent="0.3">
      <c r="B38" s="177" t="s">
        <v>45</v>
      </c>
      <c r="C38" s="272"/>
      <c r="D38" s="269"/>
      <c r="E38" s="30">
        <f>SUM(E33:E37)</f>
        <v>171100</v>
      </c>
      <c r="F38" s="30">
        <f>SUM(F33:F37)</f>
        <v>101900</v>
      </c>
      <c r="G38" s="104">
        <f t="shared" si="1"/>
        <v>57.033333333333331</v>
      </c>
    </row>
    <row r="39" spans="2:9" s="249" customFormat="1" ht="15.6" x14ac:dyDescent="0.3">
      <c r="B39" s="260"/>
      <c r="C39" s="261"/>
      <c r="D39" s="262"/>
      <c r="E39" s="259"/>
      <c r="F39" s="259"/>
      <c r="G39" s="108"/>
    </row>
    <row r="40" spans="2:9" s="249" customFormat="1" ht="15.6" x14ac:dyDescent="0.3">
      <c r="B40" s="256" t="s">
        <v>46</v>
      </c>
      <c r="C40" s="257"/>
      <c r="D40" s="258"/>
      <c r="E40" s="259"/>
      <c r="F40" s="259"/>
      <c r="G40" s="108"/>
    </row>
    <row r="41" spans="2:9" s="249" customFormat="1" ht="15.6" x14ac:dyDescent="0.3">
      <c r="B41" s="26" t="s">
        <v>47</v>
      </c>
      <c r="C41" s="37" t="s">
        <v>48</v>
      </c>
      <c r="D41" s="36">
        <v>0.09</v>
      </c>
      <c r="E41" s="29">
        <f>ROUND(ROUND(E18+E20+E21+E22,-3)*D41,-2)</f>
        <v>70300</v>
      </c>
      <c r="F41" s="29">
        <f>ROUND(ROUND(F18+F20+F21+F22,-3)*0.04,-2)</f>
        <v>31200</v>
      </c>
      <c r="G41" s="103">
        <f>+E41/$C$13</f>
        <v>23.433333333333334</v>
      </c>
    </row>
    <row r="42" spans="2:9" s="249" customFormat="1" ht="15.6" x14ac:dyDescent="0.3">
      <c r="B42" s="26" t="s">
        <v>49</v>
      </c>
      <c r="C42" s="37"/>
      <c r="D42" s="36">
        <v>0.09</v>
      </c>
      <c r="E42" s="29">
        <f>ROUND(ROUND(E29,-3)*D42,-2)</f>
        <v>3000</v>
      </c>
      <c r="F42" s="29">
        <f>ROUND(ROUND(F29,-3)*0.04,-2)</f>
        <v>1300</v>
      </c>
      <c r="G42" s="103">
        <f>+E42/$C$13</f>
        <v>1</v>
      </c>
    </row>
    <row r="43" spans="2:9" s="249" customFormat="1" ht="15.6" x14ac:dyDescent="0.3">
      <c r="B43" s="177" t="s">
        <v>50</v>
      </c>
      <c r="C43" s="38"/>
      <c r="D43" s="33"/>
      <c r="E43" s="30">
        <f>SUM(E41:E42)</f>
        <v>73300</v>
      </c>
      <c r="F43" s="30">
        <f>SUM(F41:F42)</f>
        <v>32500</v>
      </c>
      <c r="G43" s="104">
        <f>+E43/$C$13</f>
        <v>24.433333333333334</v>
      </c>
    </row>
    <row r="44" spans="2:9" s="249" customFormat="1" ht="15.6" x14ac:dyDescent="0.3">
      <c r="B44" s="273"/>
      <c r="C44" s="271"/>
      <c r="D44" s="262"/>
      <c r="E44" s="259"/>
      <c r="F44" s="259"/>
      <c r="G44" s="108"/>
    </row>
    <row r="45" spans="2:9" s="249" customFormat="1" ht="15.6" x14ac:dyDescent="0.3">
      <c r="B45" s="256" t="s">
        <v>51</v>
      </c>
      <c r="C45" s="257"/>
      <c r="D45" s="258"/>
      <c r="E45" s="259"/>
      <c r="F45" s="259"/>
      <c r="G45" s="108"/>
    </row>
    <row r="46" spans="2:9" s="249" customFormat="1" ht="15.6" x14ac:dyDescent="0.3">
      <c r="B46" s="39" t="s">
        <v>53</v>
      </c>
      <c r="C46" s="37" t="s">
        <v>54</v>
      </c>
      <c r="D46" s="293"/>
      <c r="E46" s="29">
        <f>IF(E18+E20+E21+E22&lt;=C5*2,(C12*3)/12,0)</f>
        <v>0</v>
      </c>
      <c r="F46" s="29">
        <f>+E46</f>
        <v>0</v>
      </c>
      <c r="G46" s="104">
        <f>+E46/$C$13</f>
        <v>0</v>
      </c>
    </row>
    <row r="47" spans="2:9" s="249" customFormat="1" ht="15.6" x14ac:dyDescent="0.3">
      <c r="B47" s="260"/>
      <c r="C47" s="261"/>
      <c r="D47" s="262"/>
      <c r="E47" s="277"/>
      <c r="F47" s="277"/>
      <c r="G47" s="108"/>
    </row>
    <row r="48" spans="2:9" s="249" customFormat="1" ht="15.6" x14ac:dyDescent="0.3">
      <c r="B48" s="31" t="s">
        <v>55</v>
      </c>
      <c r="C48" s="32"/>
      <c r="D48" s="33"/>
      <c r="E48" s="30">
        <f>E23+E30+E38+E43+E46</f>
        <v>1300008.1133333333</v>
      </c>
      <c r="F48" s="30">
        <f>F23+F30+F38+F43+F46</f>
        <v>1190008.1133333333</v>
      </c>
      <c r="G48" s="104">
        <f>+E48/$C$13</f>
        <v>433.33603777777773</v>
      </c>
      <c r="I48" s="275"/>
    </row>
    <row r="49" spans="1:10" s="249" customFormat="1" ht="16.2" thickBot="1" x14ac:dyDescent="0.35">
      <c r="B49" s="80" t="s">
        <v>56</v>
      </c>
      <c r="C49" s="43"/>
      <c r="D49" s="44"/>
      <c r="E49" s="93">
        <f>+(E48/(E23-E19))-1</f>
        <v>0.66402742470749554</v>
      </c>
      <c r="F49" s="93">
        <f>+(F48/(F23-F19))-1</f>
        <v>0.52322598290073152</v>
      </c>
      <c r="G49" s="109"/>
    </row>
    <row r="50" spans="1:10" s="249" customFormat="1" ht="15.6" x14ac:dyDescent="0.3">
      <c r="B50" s="278"/>
      <c r="C50" s="279"/>
      <c r="D50" s="280"/>
      <c r="E50" s="281"/>
      <c r="F50" s="300"/>
      <c r="G50" s="110"/>
    </row>
    <row r="51" spans="1:10" s="249" customFormat="1" ht="16.2" thickBot="1" x14ac:dyDescent="0.35">
      <c r="B51" s="278"/>
      <c r="C51" s="279"/>
      <c r="D51" s="280"/>
      <c r="E51" s="281"/>
      <c r="F51" s="300"/>
      <c r="G51" s="110"/>
    </row>
    <row r="52" spans="1:10" s="249" customFormat="1" ht="15.6" x14ac:dyDescent="0.3">
      <c r="A52" s="225"/>
      <c r="B52" s="74" t="s">
        <v>57</v>
      </c>
      <c r="C52" s="294"/>
      <c r="D52" s="295"/>
      <c r="E52" s="187">
        <f>E48*12</f>
        <v>15600097.359999999</v>
      </c>
      <c r="F52" s="315">
        <f>F48*12</f>
        <v>14280097.359999999</v>
      </c>
      <c r="G52" s="321">
        <f>+E52/$C$13</f>
        <v>5200.0324533333333</v>
      </c>
      <c r="H52" s="225"/>
    </row>
    <row r="53" spans="1:10" s="249" customFormat="1" ht="15.6" x14ac:dyDescent="0.3">
      <c r="A53" s="225"/>
      <c r="B53" s="26" t="s">
        <v>106</v>
      </c>
      <c r="C53" s="27"/>
      <c r="D53" s="296"/>
      <c r="E53" s="29">
        <v>295</v>
      </c>
      <c r="F53" s="316">
        <v>295</v>
      </c>
      <c r="G53" s="320">
        <v>295</v>
      </c>
      <c r="H53" s="225"/>
    </row>
    <row r="54" spans="1:10" s="249" customFormat="1" ht="15.6" x14ac:dyDescent="0.3">
      <c r="A54" s="225"/>
      <c r="B54" s="26" t="s">
        <v>59</v>
      </c>
      <c r="C54" s="27"/>
      <c r="D54" s="296"/>
      <c r="E54" s="29">
        <f>E52/E53</f>
        <v>52881.685966101693</v>
      </c>
      <c r="F54" s="316">
        <f>F52/F53</f>
        <v>48407.109694915249</v>
      </c>
      <c r="G54" s="318">
        <f>+E54/$C$13</f>
        <v>17.627228655367229</v>
      </c>
      <c r="H54" s="225"/>
    </row>
    <row r="55" spans="1:10" s="249" customFormat="1" ht="16.2" thickBot="1" x14ac:dyDescent="0.35">
      <c r="A55" s="225"/>
      <c r="B55" s="188" t="s">
        <v>60</v>
      </c>
      <c r="C55" s="69"/>
      <c r="D55" s="297"/>
      <c r="E55" s="82">
        <f>E54/8</f>
        <v>6610.2107457627117</v>
      </c>
      <c r="F55" s="317">
        <f>F54/8</f>
        <v>6050.8887118644061</v>
      </c>
      <c r="G55" s="319">
        <f>+E55/$C$13</f>
        <v>2.2034035819209037</v>
      </c>
      <c r="H55" s="225"/>
    </row>
    <row r="56" spans="1:10" s="249" customFormat="1" ht="15.6" x14ac:dyDescent="0.3">
      <c r="A56" s="225"/>
      <c r="B56" s="238"/>
      <c r="C56" s="282"/>
      <c r="D56" s="283"/>
      <c r="E56" s="281"/>
      <c r="F56" s="234"/>
      <c r="G56" s="208"/>
      <c r="H56" s="225"/>
    </row>
    <row r="57" spans="1:10" s="249" customFormat="1" ht="16.2" thickBot="1" x14ac:dyDescent="0.35">
      <c r="A57" s="225"/>
      <c r="B57" s="238"/>
      <c r="C57" s="282"/>
      <c r="D57" s="283"/>
      <c r="E57" s="281"/>
      <c r="F57" s="234"/>
      <c r="G57" s="208"/>
      <c r="H57" s="225"/>
    </row>
    <row r="58" spans="1:10" s="249" customFormat="1" ht="16.2" thickBot="1" x14ac:dyDescent="0.35">
      <c r="A58" s="225"/>
      <c r="B58" s="45" t="s">
        <v>61</v>
      </c>
      <c r="C58" s="46"/>
      <c r="D58" s="47" t="s">
        <v>13</v>
      </c>
      <c r="E58" s="48" t="s">
        <v>62</v>
      </c>
      <c r="F58" s="301" t="s">
        <v>63</v>
      </c>
      <c r="G58" s="49" t="s">
        <v>62</v>
      </c>
    </row>
    <row r="59" spans="1:10" s="249" customFormat="1" ht="15.6" x14ac:dyDescent="0.3">
      <c r="A59" s="225"/>
      <c r="B59" s="50" t="s">
        <v>64</v>
      </c>
      <c r="C59" s="51" t="s">
        <v>65</v>
      </c>
      <c r="D59" s="52"/>
      <c r="E59" s="213">
        <f>(E18/30)/8</f>
        <v>3255.1750000000002</v>
      </c>
      <c r="F59" s="302"/>
      <c r="G59" s="298"/>
      <c r="H59" s="225"/>
      <c r="I59" s="253"/>
    </row>
    <row r="60" spans="1:10" s="249" customFormat="1" ht="15.6" x14ac:dyDescent="0.3">
      <c r="A60" s="225"/>
      <c r="B60" s="39" t="s">
        <v>66</v>
      </c>
      <c r="C60" s="37" t="s">
        <v>67</v>
      </c>
      <c r="D60" s="54">
        <v>0.35</v>
      </c>
      <c r="E60" s="214">
        <f>$E$59*D60</f>
        <v>1139.31125</v>
      </c>
      <c r="F60" s="303"/>
      <c r="G60" s="190">
        <f t="shared" ref="G60:G68" si="2">E60*F60</f>
        <v>0</v>
      </c>
      <c r="H60" s="225"/>
      <c r="I60" s="284"/>
      <c r="J60" s="264"/>
    </row>
    <row r="61" spans="1:10" s="249" customFormat="1" ht="15.6" x14ac:dyDescent="0.3">
      <c r="A61" s="225"/>
      <c r="B61" s="39" t="s">
        <v>68</v>
      </c>
      <c r="C61" s="37" t="s">
        <v>69</v>
      </c>
      <c r="D61" s="54">
        <v>0.75</v>
      </c>
      <c r="E61" s="214">
        <f>$E$59*D61</f>
        <v>2441.3812500000004</v>
      </c>
      <c r="F61" s="303"/>
      <c r="G61" s="190">
        <f t="shared" si="2"/>
        <v>0</v>
      </c>
      <c r="H61" s="225"/>
      <c r="I61" s="284"/>
    </row>
    <row r="62" spans="1:10" s="249" customFormat="1" ht="15.6" x14ac:dyDescent="0.3">
      <c r="A62" s="225"/>
      <c r="B62" s="56" t="s">
        <v>70</v>
      </c>
      <c r="C62" s="57" t="s">
        <v>71</v>
      </c>
      <c r="D62" s="58">
        <v>1.75</v>
      </c>
      <c r="E62" s="214">
        <f>$E$59*D62</f>
        <v>5696.5562500000005</v>
      </c>
      <c r="F62" s="304"/>
      <c r="G62" s="190">
        <f t="shared" si="2"/>
        <v>0</v>
      </c>
      <c r="H62" s="225"/>
      <c r="I62" s="253"/>
    </row>
    <row r="63" spans="1:10" s="249" customFormat="1" ht="15.6" x14ac:dyDescent="0.3">
      <c r="A63" s="225"/>
      <c r="B63" s="26" t="s">
        <v>72</v>
      </c>
      <c r="C63" s="27" t="s">
        <v>73</v>
      </c>
      <c r="D63" s="222">
        <v>1.1000000000000001</v>
      </c>
      <c r="E63" s="215">
        <f t="shared" ref="E63:E68" si="3">$E$59*D63</f>
        <v>3580.6925000000006</v>
      </c>
      <c r="F63" s="304"/>
      <c r="G63" s="190">
        <f t="shared" si="2"/>
        <v>0</v>
      </c>
      <c r="H63" s="225"/>
      <c r="I63" s="253"/>
    </row>
    <row r="64" spans="1:10" s="249" customFormat="1" ht="15.6" x14ac:dyDescent="0.3">
      <c r="A64" s="225"/>
      <c r="B64" s="86" t="s">
        <v>74</v>
      </c>
      <c r="C64" s="27" t="s">
        <v>75</v>
      </c>
      <c r="D64" s="223">
        <v>2.1</v>
      </c>
      <c r="E64" s="215">
        <f t="shared" si="3"/>
        <v>6835.8675000000003</v>
      </c>
      <c r="F64" s="304"/>
      <c r="G64" s="190">
        <f t="shared" si="2"/>
        <v>0</v>
      </c>
      <c r="H64" s="225"/>
      <c r="J64" s="253"/>
    </row>
    <row r="65" spans="1:10" s="249" customFormat="1" ht="15.6" x14ac:dyDescent="0.3">
      <c r="A65" s="225"/>
      <c r="B65" s="59" t="s">
        <v>76</v>
      </c>
      <c r="C65" s="60" t="s">
        <v>77</v>
      </c>
      <c r="D65" s="61">
        <v>1.25</v>
      </c>
      <c r="E65" s="215">
        <f t="shared" si="3"/>
        <v>4068.96875</v>
      </c>
      <c r="F65" s="303"/>
      <c r="G65" s="190">
        <f t="shared" si="2"/>
        <v>0</v>
      </c>
      <c r="H65" s="225"/>
      <c r="J65" s="253"/>
    </row>
    <row r="66" spans="1:10" s="249" customFormat="1" ht="15.6" x14ac:dyDescent="0.3">
      <c r="A66" s="225"/>
      <c r="B66" s="62" t="s">
        <v>78</v>
      </c>
      <c r="C66" s="37" t="s">
        <v>79</v>
      </c>
      <c r="D66" s="54">
        <v>1.75</v>
      </c>
      <c r="E66" s="215">
        <f t="shared" si="3"/>
        <v>5696.5562500000005</v>
      </c>
      <c r="F66" s="305"/>
      <c r="G66" s="190">
        <f t="shared" si="2"/>
        <v>0</v>
      </c>
      <c r="H66" s="225"/>
    </row>
    <row r="67" spans="1:10" s="249" customFormat="1" ht="15.6" x14ac:dyDescent="0.3">
      <c r="A67" s="225"/>
      <c r="B67" s="62" t="s">
        <v>80</v>
      </c>
      <c r="C67" s="37" t="s">
        <v>81</v>
      </c>
      <c r="D67" s="54">
        <v>2</v>
      </c>
      <c r="E67" s="215">
        <f t="shared" si="3"/>
        <v>6510.35</v>
      </c>
      <c r="F67" s="305"/>
      <c r="G67" s="190">
        <f t="shared" si="2"/>
        <v>0</v>
      </c>
      <c r="H67" s="225"/>
    </row>
    <row r="68" spans="1:10" s="249" customFormat="1" ht="16.2" thickBot="1" x14ac:dyDescent="0.35">
      <c r="A68" s="225"/>
      <c r="B68" s="63" t="s">
        <v>82</v>
      </c>
      <c r="C68" s="64" t="s">
        <v>83</v>
      </c>
      <c r="D68" s="65">
        <v>2.5</v>
      </c>
      <c r="E68" s="216">
        <f t="shared" si="3"/>
        <v>8137.9375</v>
      </c>
      <c r="F68" s="306"/>
      <c r="G68" s="193">
        <f t="shared" si="2"/>
        <v>0</v>
      </c>
      <c r="H68" s="225"/>
    </row>
    <row r="69" spans="1:10" s="249" customFormat="1" ht="16.2" thickBot="1" x14ac:dyDescent="0.35">
      <c r="A69" s="225"/>
      <c r="B69" s="95" t="s">
        <v>107</v>
      </c>
      <c r="C69" s="226"/>
      <c r="D69" s="227"/>
      <c r="E69" s="228"/>
      <c r="F69" s="234"/>
      <c r="G69" s="66">
        <f>SUM(G60:G68)</f>
        <v>0</v>
      </c>
      <c r="H69" s="225"/>
    </row>
    <row r="70" spans="1:10" s="249" customFormat="1" ht="16.2" thickBot="1" x14ac:dyDescent="0.35">
      <c r="A70" s="225"/>
      <c r="B70" s="238"/>
      <c r="C70" s="282"/>
      <c r="D70" s="283"/>
      <c r="E70" s="281"/>
      <c r="F70" s="234"/>
      <c r="G70" s="208"/>
      <c r="H70" s="225"/>
    </row>
    <row r="71" spans="1:10" s="249" customFormat="1" ht="16.2" thickBot="1" x14ac:dyDescent="0.35">
      <c r="A71" s="225"/>
      <c r="B71" s="113" t="s">
        <v>85</v>
      </c>
      <c r="C71" s="114"/>
      <c r="D71" s="105" t="s">
        <v>13</v>
      </c>
      <c r="E71" s="48" t="s">
        <v>62</v>
      </c>
      <c r="F71" s="234"/>
      <c r="G71" s="208"/>
      <c r="H71" s="225"/>
    </row>
    <row r="72" spans="1:10" s="249" customFormat="1" ht="15.6" x14ac:dyDescent="0.3">
      <c r="A72" s="225"/>
      <c r="B72" s="74" t="s">
        <v>86</v>
      </c>
      <c r="C72" s="67" t="s">
        <v>87</v>
      </c>
      <c r="D72" s="295"/>
      <c r="E72" s="291"/>
      <c r="F72" s="234"/>
      <c r="G72" s="208"/>
      <c r="H72" s="225"/>
    </row>
    <row r="73" spans="1:10" s="249" customFormat="1" ht="15.6" x14ac:dyDescent="0.3">
      <c r="A73" s="225"/>
      <c r="B73" s="26" t="s">
        <v>88</v>
      </c>
      <c r="C73" s="27" t="s">
        <v>89</v>
      </c>
      <c r="D73" s="54">
        <v>0.04</v>
      </c>
      <c r="E73" s="217">
        <f>ROUND(IF($E$18+E20+E21+E22&lt;=($C$5*25),ROUND($E$18+E20+E21+E22,-3),ROUND($C$5*25,-3))*D73,-2)</f>
        <v>31200</v>
      </c>
      <c r="F73" s="234"/>
      <c r="G73" s="208"/>
      <c r="H73" s="225"/>
    </row>
    <row r="74" spans="1:10" s="249" customFormat="1" ht="15.6" x14ac:dyDescent="0.3">
      <c r="A74" s="225"/>
      <c r="B74" s="26" t="s">
        <v>90</v>
      </c>
      <c r="C74" s="37" t="s">
        <v>91</v>
      </c>
      <c r="D74" s="54">
        <v>0.04</v>
      </c>
      <c r="E74" s="217">
        <f>ROUND(IF($E$18+E20+E21+E22&lt;=($C$5*25),ROUND($E$18+E20+E21+E22,-3),ROUND($C$5*25,-3))*D74,-2)</f>
        <v>31200</v>
      </c>
      <c r="F74" s="234"/>
      <c r="G74" s="208"/>
      <c r="H74" s="225"/>
    </row>
    <row r="75" spans="1:10" s="249" customFormat="1" ht="15.6" x14ac:dyDescent="0.3">
      <c r="A75" s="225"/>
      <c r="B75" s="26" t="s">
        <v>92</v>
      </c>
      <c r="C75" s="37" t="s">
        <v>93</v>
      </c>
      <c r="D75" s="79">
        <f>IF(E18+E20+E21+E22&lt;(C5*4),0,0.01)</f>
        <v>0</v>
      </c>
      <c r="E75" s="29">
        <f>IF(E18+E20+E21+E22&lt;(C5*4),0,(E18+E20+E21+E22)*D75)</f>
        <v>0</v>
      </c>
      <c r="F75" s="234"/>
      <c r="G75" s="208"/>
      <c r="H75" s="225"/>
    </row>
    <row r="76" spans="1:10" s="249" customFormat="1" ht="15.6" x14ac:dyDescent="0.3">
      <c r="A76" s="225"/>
      <c r="B76" s="26" t="s">
        <v>94</v>
      </c>
      <c r="C76" s="37" t="s">
        <v>95</v>
      </c>
      <c r="D76" s="36">
        <f>IF(E18+E20+E21+E22&lt;C81,D81,IF(E18+E20+E21+E22&lt;C82,D82,IF(E18+E20+E21+E22&lt;C83,D83,IF(E18+E20+E21+E22&lt;C84,D84,IF(E18+E20+E21+E22&lt;C85,D85,D86)))))</f>
        <v>0</v>
      </c>
      <c r="E76" s="195">
        <f>(E18+E20+E21+E22)*D76</f>
        <v>0</v>
      </c>
      <c r="F76" s="234"/>
      <c r="G76" s="208"/>
      <c r="H76" s="225"/>
    </row>
    <row r="77" spans="1:10" s="249" customFormat="1" ht="16.2" thickBot="1" x14ac:dyDescent="0.35">
      <c r="A77" s="225"/>
      <c r="B77" s="94" t="s">
        <v>96</v>
      </c>
      <c r="C77" s="69"/>
      <c r="D77" s="196"/>
      <c r="E77" s="70">
        <f>SUM(E72:E76)</f>
        <v>62400</v>
      </c>
      <c r="F77" s="234"/>
      <c r="G77" s="208"/>
      <c r="H77" s="225"/>
    </row>
    <row r="78" spans="1:10" s="249" customFormat="1" ht="15.6" x14ac:dyDescent="0.3">
      <c r="A78" s="225"/>
      <c r="B78" s="238"/>
      <c r="C78" s="282"/>
      <c r="D78" s="283"/>
      <c r="E78" s="281"/>
      <c r="F78" s="234"/>
      <c r="G78" s="208"/>
      <c r="H78" s="225"/>
    </row>
    <row r="79" spans="1:10" ht="16.2" thickBot="1" x14ac:dyDescent="0.35">
      <c r="B79" s="238"/>
      <c r="C79" s="282"/>
      <c r="D79" s="285"/>
      <c r="E79" s="281"/>
    </row>
    <row r="80" spans="1:10" ht="16.2" thickBot="1" x14ac:dyDescent="0.35">
      <c r="B80" s="71" t="s">
        <v>97</v>
      </c>
      <c r="C80" s="72"/>
      <c r="D80" s="19"/>
      <c r="E80" s="73"/>
    </row>
    <row r="81" spans="2:5" s="225" customFormat="1" ht="15.6" x14ac:dyDescent="0.3">
      <c r="B81" s="74" t="s">
        <v>98</v>
      </c>
      <c r="C81" s="218">
        <f>$C$5*16</f>
        <v>12499872</v>
      </c>
      <c r="D81" s="75">
        <v>0</v>
      </c>
      <c r="E81" s="76"/>
    </row>
    <row r="82" spans="2:5" s="225" customFormat="1" ht="15.6" x14ac:dyDescent="0.3">
      <c r="B82" s="39" t="s">
        <v>99</v>
      </c>
      <c r="C82" s="219">
        <f>$C$5*17</f>
        <v>13281114</v>
      </c>
      <c r="D82" s="77">
        <v>2E-3</v>
      </c>
      <c r="E82" s="78"/>
    </row>
    <row r="83" spans="2:5" s="225" customFormat="1" ht="15.6" x14ac:dyDescent="0.3">
      <c r="B83" s="39" t="s">
        <v>100</v>
      </c>
      <c r="C83" s="220">
        <f>$C$5*18</f>
        <v>14062356</v>
      </c>
      <c r="D83" s="79">
        <v>4.0000000000000001E-3</v>
      </c>
      <c r="E83" s="29"/>
    </row>
    <row r="84" spans="2:5" s="225" customFormat="1" ht="15.6" x14ac:dyDescent="0.3">
      <c r="B84" s="39" t="s">
        <v>101</v>
      </c>
      <c r="C84" s="220">
        <f>$C$5*19</f>
        <v>14843598</v>
      </c>
      <c r="D84" s="79">
        <v>6.0000000000000001E-3</v>
      </c>
      <c r="E84" s="29"/>
    </row>
    <row r="85" spans="2:5" s="225" customFormat="1" ht="15.6" x14ac:dyDescent="0.3">
      <c r="B85" s="39" t="s">
        <v>102</v>
      </c>
      <c r="C85" s="220">
        <f>$C$5*20</f>
        <v>15624840</v>
      </c>
      <c r="D85" s="79">
        <v>8.0000000000000002E-3</v>
      </c>
      <c r="E85" s="29"/>
    </row>
    <row r="86" spans="2:5" s="225" customFormat="1" ht="16.2" thickBot="1" x14ac:dyDescent="0.35">
      <c r="B86" s="80" t="s">
        <v>103</v>
      </c>
      <c r="C86" s="221">
        <f>+C85</f>
        <v>15624840</v>
      </c>
      <c r="D86" s="81">
        <v>0.01</v>
      </c>
      <c r="E86" s="82"/>
    </row>
    <row r="87" spans="2:5" s="225" customFormat="1" x14ac:dyDescent="0.25">
      <c r="B87" s="245"/>
      <c r="C87" s="287"/>
      <c r="D87" s="288"/>
      <c r="E87" s="149" t="str">
        <f>+B69</f>
        <v>V 1.0 -30.12. 2017</v>
      </c>
    </row>
    <row r="88" spans="2:5" s="225" customFormat="1" ht="14.4" x14ac:dyDescent="0.3">
      <c r="C88" s="226"/>
      <c r="D88" s="289"/>
      <c r="E88" s="290"/>
    </row>
    <row r="89" spans="2:5" s="225" customFormat="1" ht="15.6" x14ac:dyDescent="0.3">
      <c r="C89" s="286"/>
      <c r="D89" s="227"/>
      <c r="E89" s="228"/>
    </row>
    <row r="90" spans="2:5" s="225" customFormat="1" ht="15.6" x14ac:dyDescent="0.3">
      <c r="B90" s="349"/>
      <c r="C90" s="286"/>
      <c r="D90" s="227"/>
      <c r="E90" s="228"/>
    </row>
    <row r="91" spans="2:5" s="225" customFormat="1" ht="15.6" x14ac:dyDescent="0.3">
      <c r="C91" s="286"/>
      <c r="D91" s="227"/>
      <c r="E91" s="228"/>
    </row>
    <row r="92" spans="2:5" s="225" customFormat="1" ht="15.6" x14ac:dyDescent="0.3">
      <c r="C92" s="286"/>
      <c r="D92" s="227"/>
      <c r="E92" s="228"/>
    </row>
    <row r="93" spans="2:5" s="225" customFormat="1" ht="15.6" x14ac:dyDescent="0.3">
      <c r="C93" s="286"/>
      <c r="D93" s="227"/>
      <c r="E93" s="228"/>
    </row>
    <row r="94" spans="2:5" s="225" customFormat="1" ht="15.6" x14ac:dyDescent="0.3">
      <c r="C94" s="286"/>
      <c r="D94" s="227"/>
      <c r="E94" s="228"/>
    </row>
    <row r="95" spans="2:5" s="225" customFormat="1" ht="15.6" x14ac:dyDescent="0.3">
      <c r="C95" s="286"/>
      <c r="D95" s="227"/>
      <c r="E95" s="228"/>
    </row>
    <row r="96" spans="2:5" s="225" customFormat="1" ht="15.6" x14ac:dyDescent="0.3">
      <c r="C96" s="286"/>
      <c r="D96" s="227"/>
      <c r="E96" s="228"/>
    </row>
    <row r="97" spans="3:3" s="225" customFormat="1" ht="15.6" x14ac:dyDescent="0.3">
      <c r="C97" s="286"/>
    </row>
    <row r="98" spans="3:3" s="225" customFormat="1" ht="15.6" x14ac:dyDescent="0.3">
      <c r="C98" s="286"/>
    </row>
    <row r="99" spans="3:3" s="225" customFormat="1" ht="15.6" x14ac:dyDescent="0.3">
      <c r="C99" s="286"/>
    </row>
    <row r="65536" spans="256:256" s="225" customFormat="1" x14ac:dyDescent="0.25">
      <c r="IV65536" s="322">
        <v>2017</v>
      </c>
    </row>
  </sheetData>
  <sheetProtection password="CCE3" sheet="1" objects="1" scenarios="1"/>
  <customSheetViews>
    <customSheetView guid="{005D785A-2C1A-7642-8E14-813F8ABC12DD}" scale="99" topLeftCell="B1">
      <selection activeCell="J1" sqref="J1"/>
      <pageMargins left="0" right="0" top="0" bottom="0" header="0" footer="0"/>
    </customSheetView>
  </customSheetViews>
  <phoneticPr fontId="7" type="noConversion"/>
  <dataValidations count="2">
    <dataValidation type="list" allowBlank="1" showInputMessage="1" showErrorMessage="1" sqref="D13" xr:uid="{00000000-0002-0000-0100-000000000000}">
      <formula1>$IV$13:$IV$16</formula1>
    </dataValidation>
    <dataValidation type="list" allowBlank="1" showInputMessage="1" showErrorMessage="1" sqref="C11" xr:uid="{00000000-0002-0000-0100-000001000000}">
      <formula1>$IV$6:$IV$10</formula1>
    </dataValidation>
  </dataValidations>
  <pageMargins left="0.7" right="0.7" top="0.75" bottom="0.75" header="0.3" footer="0.3"/>
  <pageSetup orientation="portrait" horizontalDpi="0" verticalDpi="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65536"/>
  <sheetViews>
    <sheetView topLeftCell="A10" zoomScale="96" zoomScaleNormal="96" zoomScalePageLayoutView="96" workbookViewId="0">
      <selection activeCell="J33" sqref="J33"/>
    </sheetView>
  </sheetViews>
  <sheetFormatPr baseColWidth="10" defaultColWidth="11.44140625" defaultRowHeight="13.2" x14ac:dyDescent="0.25"/>
  <cols>
    <col min="1" max="1" width="3.33203125" style="225" customWidth="1"/>
    <col min="2" max="2" width="45.33203125" style="225" customWidth="1"/>
    <col min="3" max="3" width="58.88671875" style="226" customWidth="1"/>
    <col min="4" max="4" width="11" style="227" customWidth="1"/>
    <col min="5" max="5" width="17.33203125" style="228" customWidth="1"/>
    <col min="6" max="6" width="17.44140625" style="234" customWidth="1"/>
    <col min="7" max="7" width="13.88671875" style="208" customWidth="1"/>
    <col min="8" max="8" width="7.6640625" style="225" customWidth="1"/>
    <col min="9" max="9" width="13.33203125" style="225" bestFit="1" customWidth="1"/>
    <col min="10" max="10" width="12" style="225" bestFit="1" customWidth="1"/>
    <col min="11" max="16384" width="11.44140625" style="225"/>
  </cols>
  <sheetData>
    <row r="1" spans="2:256" ht="11.25" customHeight="1" x14ac:dyDescent="0.25"/>
    <row r="2" spans="2:256" ht="18" customHeight="1" x14ac:dyDescent="0.3">
      <c r="B2" s="87" t="s">
        <v>0</v>
      </c>
      <c r="C2" s="229"/>
      <c r="D2" s="230"/>
      <c r="E2" s="231"/>
    </row>
    <row r="3" spans="2:256" ht="14.25" customHeight="1" thickBot="1" x14ac:dyDescent="0.3"/>
    <row r="4" spans="2:256" ht="18.75" customHeight="1" thickBot="1" x14ac:dyDescent="0.4">
      <c r="B4" s="342" t="s">
        <v>108</v>
      </c>
      <c r="C4" s="232"/>
      <c r="E4" s="233"/>
    </row>
    <row r="5" spans="2:256" ht="18.75" customHeight="1" x14ac:dyDescent="0.3">
      <c r="B5" s="344" t="s">
        <v>2</v>
      </c>
      <c r="C5" s="76">
        <v>737717</v>
      </c>
      <c r="E5" s="233"/>
      <c r="F5" s="340"/>
      <c r="G5" s="209"/>
      <c r="I5" s="299"/>
    </row>
    <row r="6" spans="2:256" ht="18.75" customHeight="1" thickBot="1" x14ac:dyDescent="0.35">
      <c r="B6" s="345" t="s">
        <v>3</v>
      </c>
      <c r="C6" s="82">
        <v>83140</v>
      </c>
      <c r="E6" s="233"/>
      <c r="F6" s="233"/>
      <c r="G6" s="209"/>
      <c r="I6" s="235"/>
      <c r="J6" s="236"/>
      <c r="IV6" s="237">
        <v>5.2199999999999998E-3</v>
      </c>
    </row>
    <row r="7" spans="2:256" ht="13.5" customHeight="1" x14ac:dyDescent="0.3">
      <c r="B7" s="238"/>
      <c r="C7" s="239"/>
      <c r="G7" s="209"/>
      <c r="IV7" s="237">
        <v>1.044E-2</v>
      </c>
    </row>
    <row r="8" spans="2:256" ht="12.75" customHeight="1" x14ac:dyDescent="0.25">
      <c r="B8" s="238"/>
      <c r="C8" s="238"/>
      <c r="G8" s="209"/>
      <c r="IV8" s="237">
        <v>2.436E-2</v>
      </c>
    </row>
    <row r="9" spans="2:256" ht="12" customHeight="1" thickBot="1" x14ac:dyDescent="0.3">
      <c r="B9" s="9" t="s">
        <v>4</v>
      </c>
      <c r="C9" s="240" t="s">
        <v>5</v>
      </c>
      <c r="D9" s="241"/>
      <c r="E9" s="242"/>
      <c r="IV9" s="237">
        <v>4.3499999999999997E-2</v>
      </c>
    </row>
    <row r="10" spans="2:256" ht="18.75" customHeight="1" x14ac:dyDescent="0.3">
      <c r="B10" s="11" t="s">
        <v>6</v>
      </c>
      <c r="C10" s="291">
        <v>737717</v>
      </c>
      <c r="D10" s="243"/>
      <c r="E10" s="244"/>
      <c r="F10" s="343"/>
      <c r="G10" s="311"/>
      <c r="H10" s="245"/>
      <c r="IV10" s="237">
        <v>6.9599999999999995E-2</v>
      </c>
    </row>
    <row r="11" spans="2:256" ht="18.75" customHeight="1" x14ac:dyDescent="0.3">
      <c r="B11" s="13" t="s">
        <v>7</v>
      </c>
      <c r="C11" s="292">
        <v>5.2199999999999998E-3</v>
      </c>
      <c r="D11" s="241"/>
      <c r="E11" s="244"/>
      <c r="G11" s="312"/>
      <c r="H11" s="245"/>
    </row>
    <row r="12" spans="2:256" ht="18.75" customHeight="1" thickBot="1" x14ac:dyDescent="0.35">
      <c r="B12" s="15" t="s">
        <v>8</v>
      </c>
      <c r="C12" s="246"/>
      <c r="D12" s="241"/>
      <c r="E12" s="242"/>
      <c r="G12" s="313"/>
      <c r="H12" s="245"/>
      <c r="IR12" s="248"/>
      <c r="IV12" s="249"/>
    </row>
    <row r="13" spans="2:256" s="1" customFormat="1" ht="18.75" customHeight="1" thickBot="1" x14ac:dyDescent="0.35">
      <c r="B13" s="15" t="s">
        <v>9</v>
      </c>
      <c r="C13" s="112">
        <v>3000</v>
      </c>
      <c r="D13" s="111" t="s">
        <v>10</v>
      </c>
      <c r="E13" s="10"/>
      <c r="F13" s="106"/>
      <c r="G13" s="17"/>
      <c r="H13" s="12"/>
      <c r="IR13" s="16"/>
      <c r="IV13" s="18" t="s">
        <v>10</v>
      </c>
    </row>
    <row r="14" spans="2:256" ht="10.5" customHeight="1" thickBot="1" x14ac:dyDescent="0.35">
      <c r="B14" s="250"/>
      <c r="C14" s="251"/>
      <c r="D14" s="252"/>
      <c r="F14" s="308"/>
      <c r="G14" s="312"/>
      <c r="H14" s="245"/>
      <c r="IR14" s="248"/>
    </row>
    <row r="15" spans="2:256" s="249" customFormat="1" ht="41.25" customHeight="1" x14ac:dyDescent="0.3">
      <c r="B15" s="96" t="s">
        <v>11</v>
      </c>
      <c r="C15" s="97" t="s">
        <v>12</v>
      </c>
      <c r="D15" s="98" t="s">
        <v>13</v>
      </c>
      <c r="E15" s="307" t="s">
        <v>14</v>
      </c>
      <c r="F15" s="309" t="s">
        <v>15</v>
      </c>
      <c r="G15" s="314" t="s">
        <v>16</v>
      </c>
      <c r="H15" s="245"/>
      <c r="IR15" s="253"/>
    </row>
    <row r="16" spans="2:256" s="249" customFormat="1" ht="9" customHeight="1" x14ac:dyDescent="0.3">
      <c r="B16" s="254"/>
      <c r="C16" s="239"/>
      <c r="D16" s="239"/>
      <c r="E16" s="255"/>
      <c r="F16" s="255"/>
      <c r="G16" s="107"/>
      <c r="IR16" s="253"/>
    </row>
    <row r="17" spans="2:252" s="249" customFormat="1" ht="18.75" customHeight="1" x14ac:dyDescent="0.3">
      <c r="B17" s="256" t="s">
        <v>17</v>
      </c>
      <c r="C17" s="257"/>
      <c r="D17" s="258"/>
      <c r="E17" s="259"/>
      <c r="F17" s="259"/>
      <c r="G17" s="108"/>
      <c r="IR17" s="253"/>
    </row>
    <row r="18" spans="2:252" s="249" customFormat="1" ht="18.75" customHeight="1" x14ac:dyDescent="0.3">
      <c r="B18" s="26" t="s">
        <v>18</v>
      </c>
      <c r="C18" s="27" t="s">
        <v>19</v>
      </c>
      <c r="D18" s="28"/>
      <c r="E18" s="29">
        <f>IF(C10&lt;C5,FALSE,C10)</f>
        <v>737717</v>
      </c>
      <c r="F18" s="29">
        <f>+E18</f>
        <v>737717</v>
      </c>
      <c r="G18" s="103">
        <f t="shared" ref="G18:G23" si="0">+E18/$C$13</f>
        <v>245.90566666666666</v>
      </c>
      <c r="IR18" s="253"/>
    </row>
    <row r="19" spans="2:252" s="249" customFormat="1" ht="18.75" customHeight="1" x14ac:dyDescent="0.3">
      <c r="B19" s="26" t="s">
        <v>20</v>
      </c>
      <c r="C19" s="27" t="s">
        <v>109</v>
      </c>
      <c r="D19" s="28"/>
      <c r="E19" s="29">
        <f>IF(E18+E20+E21+E22&lt;=(C5*2),C6,0)</f>
        <v>83140</v>
      </c>
      <c r="F19" s="29">
        <f>+E19</f>
        <v>83140</v>
      </c>
      <c r="G19" s="103">
        <f t="shared" si="0"/>
        <v>27.713333333333335</v>
      </c>
    </row>
    <row r="20" spans="2:252" s="249" customFormat="1" ht="18.75" customHeight="1" x14ac:dyDescent="0.3">
      <c r="B20" s="26" t="s">
        <v>22</v>
      </c>
      <c r="C20" s="27" t="s">
        <v>23</v>
      </c>
      <c r="D20" s="262"/>
      <c r="E20" s="339">
        <f>+G60+G63</f>
        <v>0</v>
      </c>
      <c r="F20" s="42">
        <f>+E20</f>
        <v>0</v>
      </c>
      <c r="G20" s="103">
        <f t="shared" si="0"/>
        <v>0</v>
      </c>
      <c r="J20" s="264"/>
    </row>
    <row r="21" spans="2:252" s="249" customFormat="1" ht="18.75" customHeight="1" x14ac:dyDescent="0.3">
      <c r="B21" s="26" t="s">
        <v>24</v>
      </c>
      <c r="C21" s="27" t="s">
        <v>25</v>
      </c>
      <c r="D21" s="262"/>
      <c r="E21" s="339">
        <f>+G61+G62+G64</f>
        <v>0</v>
      </c>
      <c r="F21" s="42">
        <f>+E21</f>
        <v>0</v>
      </c>
      <c r="G21" s="103">
        <f t="shared" si="0"/>
        <v>0</v>
      </c>
    </row>
    <row r="22" spans="2:252" s="249" customFormat="1" ht="18.75" customHeight="1" x14ac:dyDescent="0.3">
      <c r="B22" s="26" t="s">
        <v>26</v>
      </c>
      <c r="C22" s="27" t="s">
        <v>110</v>
      </c>
      <c r="D22" s="262"/>
      <c r="E22" s="339">
        <f>+G65+G66+G67+G68</f>
        <v>0</v>
      </c>
      <c r="F22" s="42">
        <f>+E22</f>
        <v>0</v>
      </c>
      <c r="G22" s="103">
        <f t="shared" si="0"/>
        <v>0</v>
      </c>
    </row>
    <row r="23" spans="2:252" s="249" customFormat="1" ht="18.75" customHeight="1" x14ac:dyDescent="0.3">
      <c r="B23" s="148" t="s">
        <v>28</v>
      </c>
      <c r="C23" s="265"/>
      <c r="D23" s="266"/>
      <c r="E23" s="30">
        <f>SUM(E18:E22)</f>
        <v>820857</v>
      </c>
      <c r="F23" s="30">
        <f>SUM(F18:F22)</f>
        <v>820857</v>
      </c>
      <c r="G23" s="104">
        <f t="shared" si="0"/>
        <v>273.61900000000003</v>
      </c>
    </row>
    <row r="24" spans="2:252" s="249" customFormat="1" ht="18.75" customHeight="1" x14ac:dyDescent="0.3">
      <c r="B24" s="267"/>
      <c r="C24" s="268"/>
      <c r="D24" s="269"/>
      <c r="E24" s="263"/>
      <c r="F24" s="263"/>
      <c r="G24" s="108"/>
    </row>
    <row r="25" spans="2:252" s="249" customFormat="1" ht="18.75" customHeight="1" x14ac:dyDescent="0.3">
      <c r="B25" s="270" t="s">
        <v>29</v>
      </c>
      <c r="C25" s="257"/>
      <c r="D25" s="258"/>
      <c r="E25" s="263"/>
      <c r="F25" s="263"/>
      <c r="G25" s="108"/>
    </row>
    <row r="26" spans="2:252" s="249" customFormat="1" ht="18.75" customHeight="1" x14ac:dyDescent="0.3">
      <c r="B26" s="26" t="s">
        <v>30</v>
      </c>
      <c r="C26" s="27" t="s">
        <v>31</v>
      </c>
      <c r="D26" s="35">
        <v>8.3333333333333343E-2</v>
      </c>
      <c r="E26" s="29">
        <f>E23*D26</f>
        <v>68404.750000000015</v>
      </c>
      <c r="F26" s="29">
        <f>+E26</f>
        <v>68404.750000000015</v>
      </c>
      <c r="G26" s="103">
        <f>+E26/$C$13</f>
        <v>22.801583333333337</v>
      </c>
    </row>
    <row r="27" spans="2:252" s="249" customFormat="1" ht="18.75" customHeight="1" x14ac:dyDescent="0.3">
      <c r="B27" s="26" t="s">
        <v>32</v>
      </c>
      <c r="C27" s="27" t="s">
        <v>33</v>
      </c>
      <c r="D27" s="36">
        <v>0.12</v>
      </c>
      <c r="E27" s="29">
        <f>+E26*D27</f>
        <v>8208.5700000000015</v>
      </c>
      <c r="F27" s="29">
        <f>+E27</f>
        <v>8208.5700000000015</v>
      </c>
      <c r="G27" s="103">
        <f>+E27/$C$13</f>
        <v>2.7361900000000006</v>
      </c>
    </row>
    <row r="28" spans="2:252" s="249" customFormat="1" ht="18.75" customHeight="1" x14ac:dyDescent="0.3">
      <c r="B28" s="26" t="s">
        <v>34</v>
      </c>
      <c r="C28" s="27" t="s">
        <v>31</v>
      </c>
      <c r="D28" s="35">
        <v>8.3333333333333343E-2</v>
      </c>
      <c r="E28" s="29">
        <f>E23*D28</f>
        <v>68404.750000000015</v>
      </c>
      <c r="F28" s="29">
        <f>+E28</f>
        <v>68404.750000000015</v>
      </c>
      <c r="G28" s="103">
        <f>+E28/$C$13</f>
        <v>22.801583333333337</v>
      </c>
    </row>
    <row r="29" spans="2:252" s="249" customFormat="1" ht="18.75" customHeight="1" x14ac:dyDescent="0.3">
      <c r="B29" s="26" t="s">
        <v>35</v>
      </c>
      <c r="C29" s="37" t="s">
        <v>36</v>
      </c>
      <c r="D29" s="35">
        <v>4.1666666666666664E-2</v>
      </c>
      <c r="E29" s="29">
        <f>(E18+E20)*D29</f>
        <v>30738.208333333332</v>
      </c>
      <c r="F29" s="29">
        <f>+E29</f>
        <v>30738.208333333332</v>
      </c>
      <c r="G29" s="103">
        <f>+E29/$C$13</f>
        <v>10.246069444444444</v>
      </c>
    </row>
    <row r="30" spans="2:252" s="249" customFormat="1" ht="18.75" customHeight="1" x14ac:dyDescent="0.3">
      <c r="B30" s="177" t="s">
        <v>37</v>
      </c>
      <c r="C30" s="38"/>
      <c r="D30" s="33"/>
      <c r="E30" s="30">
        <f>SUM(E26:E29)</f>
        <v>175756.27833333338</v>
      </c>
      <c r="F30" s="30">
        <f>SUM(F26:F29)</f>
        <v>175756.27833333338</v>
      </c>
      <c r="G30" s="104">
        <f>+E30/$C$13</f>
        <v>58.585426111111126</v>
      </c>
    </row>
    <row r="31" spans="2:252" s="249" customFormat="1" ht="18.75" customHeight="1" x14ac:dyDescent="0.3">
      <c r="B31" s="260"/>
      <c r="C31" s="261"/>
      <c r="D31" s="262"/>
      <c r="E31" s="259"/>
      <c r="F31" s="259"/>
      <c r="G31" s="108"/>
      <c r="H31" s="238"/>
    </row>
    <row r="32" spans="2:252" s="249" customFormat="1" ht="18.75" customHeight="1" x14ac:dyDescent="0.3">
      <c r="B32" s="256" t="s">
        <v>38</v>
      </c>
      <c r="C32" s="257"/>
      <c r="D32" s="258"/>
      <c r="E32" s="259"/>
      <c r="F32" s="259"/>
      <c r="G32" s="108"/>
      <c r="H32" s="238"/>
    </row>
    <row r="33" spans="2:9" s="249" customFormat="1" ht="18.75" customHeight="1" x14ac:dyDescent="0.3">
      <c r="B33" s="310" t="s">
        <v>39</v>
      </c>
      <c r="C33" s="85">
        <f>ROUND(IF($E$18+E20+E21+E22&lt;=($C$5*25),ROUND($E$18+E20+E21+E22,-3),ROUND($C$5*25,-3))*0.125,-2)</f>
        <v>92300</v>
      </c>
      <c r="D33" s="36">
        <v>8.5000000000000006E-2</v>
      </c>
      <c r="E33" s="29">
        <f>C33-E73</f>
        <v>62800</v>
      </c>
      <c r="F33" s="29">
        <v>0</v>
      </c>
      <c r="G33" s="103">
        <f t="shared" ref="G33:G38" si="1">+E33/$C$13</f>
        <v>20.933333333333334</v>
      </c>
      <c r="H33" s="274"/>
      <c r="I33" s="275"/>
    </row>
    <row r="34" spans="2:9" s="249" customFormat="1" ht="18.75" customHeight="1" x14ac:dyDescent="0.3">
      <c r="B34" s="26" t="s">
        <v>40</v>
      </c>
      <c r="C34" s="85">
        <f>ROUND(IF($E$18+E20+E21+E22&lt;=($C$5*25),ROUND($E$18+E20+E21+E22,-3),ROUND($C$5*25,-3))*0.16,-2)</f>
        <v>118100</v>
      </c>
      <c r="D34" s="36">
        <v>0.12</v>
      </c>
      <c r="E34" s="29">
        <f>C34-E74</f>
        <v>88600</v>
      </c>
      <c r="F34" s="29">
        <f>+E34</f>
        <v>88600</v>
      </c>
      <c r="G34" s="103">
        <f t="shared" si="1"/>
        <v>29.533333333333335</v>
      </c>
      <c r="H34" s="276"/>
    </row>
    <row r="35" spans="2:9" s="249" customFormat="1" ht="18.75" customHeight="1" x14ac:dyDescent="0.3">
      <c r="B35" s="26" t="s">
        <v>41</v>
      </c>
      <c r="C35" s="37" t="s">
        <v>42</v>
      </c>
      <c r="D35" s="28">
        <f>C11</f>
        <v>5.2199999999999998E-3</v>
      </c>
      <c r="E35" s="29">
        <f>ROUND(IF($E$18+E21+E20+E22&lt;=($C$5*20),ROUND($E$18+E20+E21+E22,-3),ROUND($C$5*20,-3))*D35,-2)</f>
        <v>3900</v>
      </c>
      <c r="F35" s="29">
        <f>+E35</f>
        <v>3900</v>
      </c>
      <c r="G35" s="103">
        <f t="shared" si="1"/>
        <v>1.3</v>
      </c>
      <c r="H35" s="238"/>
    </row>
    <row r="36" spans="2:9" s="249" customFormat="1" ht="18.75" customHeight="1" x14ac:dyDescent="0.3">
      <c r="B36" s="26" t="s">
        <v>43</v>
      </c>
      <c r="C36" s="271"/>
      <c r="D36" s="36">
        <v>8.5000000000000006E-2</v>
      </c>
      <c r="E36" s="29">
        <f>ROUND(IF($E$29&lt;=($C$5*25),ROUND($E$29,-3),ROUND($C$5*25,-3))*D36,-2)</f>
        <v>2600</v>
      </c>
      <c r="F36" s="29">
        <v>0</v>
      </c>
      <c r="G36" s="103">
        <f t="shared" si="1"/>
        <v>0.8666666666666667</v>
      </c>
    </row>
    <row r="37" spans="2:9" s="249" customFormat="1" ht="18.75" customHeight="1" x14ac:dyDescent="0.3">
      <c r="B37" s="26" t="s">
        <v>44</v>
      </c>
      <c r="C37" s="271"/>
      <c r="D37" s="36">
        <v>0.12</v>
      </c>
      <c r="E37" s="29">
        <f>ROUND(IF($E$29&lt;=($C$5*25),ROUND($E$29,-3),ROUND($C$5*25,-3))*D37,-2)</f>
        <v>3700</v>
      </c>
      <c r="F37" s="29">
        <f>+E37</f>
        <v>3700</v>
      </c>
      <c r="G37" s="103">
        <f t="shared" si="1"/>
        <v>1.2333333333333334</v>
      </c>
    </row>
    <row r="38" spans="2:9" s="249" customFormat="1" ht="18.75" customHeight="1" x14ac:dyDescent="0.3">
      <c r="B38" s="177" t="s">
        <v>45</v>
      </c>
      <c r="C38" s="272"/>
      <c r="D38" s="269"/>
      <c r="E38" s="30">
        <f>SUM(E33:E37)</f>
        <v>161600</v>
      </c>
      <c r="F38" s="30">
        <f>SUM(F33:F37)</f>
        <v>96200</v>
      </c>
      <c r="G38" s="104">
        <f t="shared" si="1"/>
        <v>53.866666666666667</v>
      </c>
    </row>
    <row r="39" spans="2:9" s="249" customFormat="1" ht="18.75" customHeight="1" x14ac:dyDescent="0.3">
      <c r="B39" s="260"/>
      <c r="C39" s="261"/>
      <c r="D39" s="262"/>
      <c r="E39" s="259"/>
      <c r="F39" s="259"/>
      <c r="G39" s="108"/>
    </row>
    <row r="40" spans="2:9" s="249" customFormat="1" ht="18.75" customHeight="1" x14ac:dyDescent="0.3">
      <c r="B40" s="256" t="s">
        <v>46</v>
      </c>
      <c r="C40" s="257"/>
      <c r="D40" s="258"/>
      <c r="E40" s="259"/>
      <c r="F40" s="259"/>
      <c r="G40" s="108"/>
    </row>
    <row r="41" spans="2:9" s="249" customFormat="1" ht="18.75" customHeight="1" x14ac:dyDescent="0.3">
      <c r="B41" s="26" t="s">
        <v>47</v>
      </c>
      <c r="C41" s="37" t="s">
        <v>48</v>
      </c>
      <c r="D41" s="36">
        <v>0.09</v>
      </c>
      <c r="E41" s="29">
        <f>ROUND(ROUND(E18+E20+E21+E22,-3)*D41,-2)</f>
        <v>66400</v>
      </c>
      <c r="F41" s="29">
        <f>ROUND(ROUND(F18+F20+F21+F22,-3)*0.04,-2)</f>
        <v>29500</v>
      </c>
      <c r="G41" s="103">
        <f>+E41/$C$13</f>
        <v>22.133333333333333</v>
      </c>
    </row>
    <row r="42" spans="2:9" s="249" customFormat="1" ht="18.75" customHeight="1" x14ac:dyDescent="0.3">
      <c r="B42" s="26" t="s">
        <v>49</v>
      </c>
      <c r="C42" s="37"/>
      <c r="D42" s="36">
        <v>0.09</v>
      </c>
      <c r="E42" s="29">
        <f>ROUND(ROUND(E29,-3)*D42,-2)</f>
        <v>2800</v>
      </c>
      <c r="F42" s="29">
        <f>ROUND(ROUND(F29,-3)*0.04,-2)</f>
        <v>1200</v>
      </c>
      <c r="G42" s="103">
        <f>+E42/$C$13</f>
        <v>0.93333333333333335</v>
      </c>
    </row>
    <row r="43" spans="2:9" s="249" customFormat="1" ht="18.75" customHeight="1" x14ac:dyDescent="0.3">
      <c r="B43" s="177" t="s">
        <v>50</v>
      </c>
      <c r="C43" s="38"/>
      <c r="D43" s="33"/>
      <c r="E43" s="30">
        <f>SUM(E41:E42)</f>
        <v>69200</v>
      </c>
      <c r="F43" s="30">
        <f>SUM(F41:F42)</f>
        <v>30700</v>
      </c>
      <c r="G43" s="104">
        <f>+E43/$C$13</f>
        <v>23.066666666666666</v>
      </c>
    </row>
    <row r="44" spans="2:9" s="249" customFormat="1" ht="18.75" customHeight="1" x14ac:dyDescent="0.3">
      <c r="B44" s="273"/>
      <c r="C44" s="271"/>
      <c r="D44" s="262"/>
      <c r="E44" s="259"/>
      <c r="F44" s="259"/>
      <c r="G44" s="108"/>
    </row>
    <row r="45" spans="2:9" s="249" customFormat="1" ht="18.75" customHeight="1" x14ac:dyDescent="0.3">
      <c r="B45" s="256" t="s">
        <v>51</v>
      </c>
      <c r="C45" s="257"/>
      <c r="D45" s="258"/>
      <c r="E45" s="259"/>
      <c r="F45" s="259"/>
      <c r="G45" s="108"/>
    </row>
    <row r="46" spans="2:9" s="249" customFormat="1" ht="18.75" customHeight="1" x14ac:dyDescent="0.3">
      <c r="B46" s="39" t="s">
        <v>53</v>
      </c>
      <c r="C46" s="37" t="s">
        <v>54</v>
      </c>
      <c r="D46" s="293"/>
      <c r="E46" s="29">
        <f>IF(E18+E20+E21+E22&lt;=C5*2,(C12*3)/12,0)</f>
        <v>0</v>
      </c>
      <c r="F46" s="29">
        <f>+E46</f>
        <v>0</v>
      </c>
      <c r="G46" s="104">
        <f>+E46/$C$13</f>
        <v>0</v>
      </c>
    </row>
    <row r="47" spans="2:9" s="249" customFormat="1" ht="18.75" customHeight="1" x14ac:dyDescent="0.3">
      <c r="B47" s="260"/>
      <c r="C47" s="261"/>
      <c r="D47" s="262"/>
      <c r="E47" s="277"/>
      <c r="F47" s="277"/>
      <c r="G47" s="108"/>
    </row>
    <row r="48" spans="2:9" s="249" customFormat="1" ht="18.75" customHeight="1" x14ac:dyDescent="0.3">
      <c r="B48" s="31" t="s">
        <v>55</v>
      </c>
      <c r="C48" s="32"/>
      <c r="D48" s="33"/>
      <c r="E48" s="30">
        <f>E23+E30+E38+E43+E46</f>
        <v>1227413.2783333333</v>
      </c>
      <c r="F48" s="30">
        <f>F23+F30+F38+F43+F46</f>
        <v>1123513.2783333333</v>
      </c>
      <c r="G48" s="104">
        <f>+E48/$C$13</f>
        <v>409.13775944444444</v>
      </c>
      <c r="I48" s="275"/>
    </row>
    <row r="49" spans="1:10" s="249" customFormat="1" ht="18.75" customHeight="1" thickBot="1" x14ac:dyDescent="0.35">
      <c r="B49" s="80" t="s">
        <v>56</v>
      </c>
      <c r="C49" s="43"/>
      <c r="D49" s="44"/>
      <c r="E49" s="93">
        <f>+(E48/(E23-E19))-1</f>
        <v>0.66379963906665207</v>
      </c>
      <c r="F49" s="93">
        <f>+(F48/(F23-F19))-1</f>
        <v>0.52295972348926933</v>
      </c>
      <c r="G49" s="109"/>
    </row>
    <row r="50" spans="1:10" s="249" customFormat="1" ht="13.5" customHeight="1" x14ac:dyDescent="0.3">
      <c r="B50" s="278"/>
      <c r="C50" s="279"/>
      <c r="D50" s="280"/>
      <c r="E50" s="281"/>
      <c r="F50" s="300"/>
      <c r="G50" s="110"/>
    </row>
    <row r="51" spans="1:10" s="249" customFormat="1" ht="13.5" customHeight="1" thickBot="1" x14ac:dyDescent="0.35">
      <c r="B51" s="278"/>
      <c r="C51" s="279"/>
      <c r="D51" s="280"/>
      <c r="E51" s="281"/>
      <c r="F51" s="300"/>
      <c r="G51" s="110"/>
    </row>
    <row r="52" spans="1:10" s="249" customFormat="1" ht="18.75" customHeight="1" x14ac:dyDescent="0.3">
      <c r="A52" s="225"/>
      <c r="B52" s="74" t="s">
        <v>57</v>
      </c>
      <c r="C52" s="294"/>
      <c r="D52" s="295"/>
      <c r="E52" s="187">
        <f>E48*12</f>
        <v>14728959.34</v>
      </c>
      <c r="F52" s="315">
        <f>F48*12</f>
        <v>13482159.34</v>
      </c>
      <c r="G52" s="321">
        <f>+E52/$C$13</f>
        <v>4909.6531133333328</v>
      </c>
      <c r="H52" s="225"/>
    </row>
    <row r="53" spans="1:10" s="249" customFormat="1" ht="18.75" customHeight="1" x14ac:dyDescent="0.3">
      <c r="A53" s="225"/>
      <c r="B53" s="26" t="s">
        <v>111</v>
      </c>
      <c r="C53" s="27"/>
      <c r="D53" s="296"/>
      <c r="E53" s="29">
        <v>296</v>
      </c>
      <c r="F53" s="316">
        <v>296</v>
      </c>
      <c r="G53" s="320">
        <v>296</v>
      </c>
      <c r="H53" s="225"/>
    </row>
    <row r="54" spans="1:10" s="249" customFormat="1" ht="18.75" customHeight="1" x14ac:dyDescent="0.3">
      <c r="A54" s="225"/>
      <c r="B54" s="26" t="s">
        <v>59</v>
      </c>
      <c r="C54" s="27"/>
      <c r="D54" s="296"/>
      <c r="E54" s="29">
        <f>E52/E53</f>
        <v>49759.997770270267</v>
      </c>
      <c r="F54" s="316">
        <f>F52/F53</f>
        <v>45547.835608108107</v>
      </c>
      <c r="G54" s="318">
        <f>+E54/$C$13</f>
        <v>16.586665923423421</v>
      </c>
      <c r="H54" s="225"/>
    </row>
    <row r="55" spans="1:10" s="249" customFormat="1" ht="18.75" customHeight="1" thickBot="1" x14ac:dyDescent="0.35">
      <c r="A55" s="225"/>
      <c r="B55" s="188" t="s">
        <v>60</v>
      </c>
      <c r="C55" s="69"/>
      <c r="D55" s="297"/>
      <c r="E55" s="82">
        <f>E54/8</f>
        <v>6219.9997212837834</v>
      </c>
      <c r="F55" s="317">
        <f>F54/8</f>
        <v>5693.4794510135134</v>
      </c>
      <c r="G55" s="319">
        <f>+E55/$C$13</f>
        <v>2.0733332404279277</v>
      </c>
      <c r="H55" s="225"/>
    </row>
    <row r="56" spans="1:10" s="249" customFormat="1" ht="11.25" customHeight="1" x14ac:dyDescent="0.3">
      <c r="A56" s="225"/>
      <c r="B56" s="238"/>
      <c r="C56" s="282"/>
      <c r="D56" s="283"/>
      <c r="E56" s="281"/>
      <c r="F56" s="234"/>
      <c r="G56" s="208"/>
      <c r="H56" s="225"/>
    </row>
    <row r="57" spans="1:10" s="249" customFormat="1" ht="11.25" customHeight="1" thickBot="1" x14ac:dyDescent="0.35">
      <c r="A57" s="225"/>
      <c r="B57" s="238"/>
      <c r="C57" s="282"/>
      <c r="D57" s="283"/>
      <c r="E57" s="281"/>
      <c r="F57" s="234"/>
      <c r="G57" s="208"/>
      <c r="H57" s="225"/>
    </row>
    <row r="58" spans="1:10" s="249" customFormat="1" ht="18.75" customHeight="1" thickBot="1" x14ac:dyDescent="0.35">
      <c r="A58" s="225"/>
      <c r="B58" s="45" t="s">
        <v>61</v>
      </c>
      <c r="C58" s="46"/>
      <c r="D58" s="47" t="s">
        <v>13</v>
      </c>
      <c r="E58" s="48" t="s">
        <v>62</v>
      </c>
      <c r="F58" s="301" t="s">
        <v>63</v>
      </c>
      <c r="G58" s="49" t="s">
        <v>62</v>
      </c>
    </row>
    <row r="59" spans="1:10" s="249" customFormat="1" ht="18.75" customHeight="1" x14ac:dyDescent="0.3">
      <c r="A59" s="225"/>
      <c r="B59" s="50" t="s">
        <v>64</v>
      </c>
      <c r="C59" s="51" t="s">
        <v>112</v>
      </c>
      <c r="D59" s="52"/>
      <c r="E59" s="213">
        <f>(E18/30)/8</f>
        <v>3073.8208333333332</v>
      </c>
      <c r="F59" s="302"/>
      <c r="G59" s="298"/>
      <c r="H59" s="225"/>
      <c r="I59" s="253"/>
    </row>
    <row r="60" spans="1:10" s="249" customFormat="1" ht="18.75" customHeight="1" x14ac:dyDescent="0.3">
      <c r="A60" s="225"/>
      <c r="B60" s="39" t="s">
        <v>66</v>
      </c>
      <c r="C60" s="37" t="s">
        <v>113</v>
      </c>
      <c r="D60" s="54">
        <v>0.35</v>
      </c>
      <c r="E60" s="214">
        <f>$E$59*D60</f>
        <v>1075.8372916666665</v>
      </c>
      <c r="F60" s="303"/>
      <c r="G60" s="190">
        <f t="shared" ref="G60:G68" si="2">E60*F60</f>
        <v>0</v>
      </c>
      <c r="H60" s="225"/>
      <c r="I60" s="284"/>
      <c r="J60" s="264"/>
    </row>
    <row r="61" spans="1:10" s="249" customFormat="1" ht="18.75" customHeight="1" x14ac:dyDescent="0.3">
      <c r="A61" s="225"/>
      <c r="B61" s="39" t="s">
        <v>68</v>
      </c>
      <c r="C61" s="37" t="s">
        <v>69</v>
      </c>
      <c r="D61" s="54">
        <v>0.75</v>
      </c>
      <c r="E61" s="214">
        <f>$E$59*D61</f>
        <v>2305.3656249999999</v>
      </c>
      <c r="F61" s="303"/>
      <c r="G61" s="190">
        <f t="shared" si="2"/>
        <v>0</v>
      </c>
      <c r="H61" s="225"/>
      <c r="I61" s="284"/>
    </row>
    <row r="62" spans="1:10" s="249" customFormat="1" ht="18.75" customHeight="1" x14ac:dyDescent="0.3">
      <c r="A62" s="225"/>
      <c r="B62" s="56" t="s">
        <v>70</v>
      </c>
      <c r="C62" s="57" t="s">
        <v>71</v>
      </c>
      <c r="D62" s="58">
        <v>1.75</v>
      </c>
      <c r="E62" s="214">
        <f>$E$59*D62</f>
        <v>5379.1864583333336</v>
      </c>
      <c r="F62" s="304"/>
      <c r="G62" s="190">
        <f t="shared" si="2"/>
        <v>0</v>
      </c>
      <c r="H62" s="225"/>
      <c r="I62" s="253"/>
    </row>
    <row r="63" spans="1:10" s="249" customFormat="1" ht="18.75" customHeight="1" x14ac:dyDescent="0.3">
      <c r="A63" s="225"/>
      <c r="B63" s="26" t="s">
        <v>72</v>
      </c>
      <c r="C63" s="27" t="s">
        <v>73</v>
      </c>
      <c r="D63" s="222">
        <v>1.1000000000000001</v>
      </c>
      <c r="E63" s="215">
        <f t="shared" ref="E63:E68" si="3">$E$59*D63</f>
        <v>3381.2029166666666</v>
      </c>
      <c r="F63" s="304"/>
      <c r="G63" s="190">
        <f t="shared" si="2"/>
        <v>0</v>
      </c>
      <c r="H63" s="225"/>
      <c r="I63" s="253"/>
    </row>
    <row r="64" spans="1:10" s="249" customFormat="1" ht="18.75" customHeight="1" x14ac:dyDescent="0.3">
      <c r="A64" s="225"/>
      <c r="B64" s="86" t="s">
        <v>74</v>
      </c>
      <c r="C64" s="27" t="s">
        <v>75</v>
      </c>
      <c r="D64" s="223">
        <v>2.1</v>
      </c>
      <c r="E64" s="215">
        <f t="shared" si="3"/>
        <v>6455.0237500000003</v>
      </c>
      <c r="F64" s="304"/>
      <c r="G64" s="190">
        <f t="shared" si="2"/>
        <v>0</v>
      </c>
      <c r="H64" s="225"/>
      <c r="J64" s="253"/>
    </row>
    <row r="65" spans="1:10" s="249" customFormat="1" ht="18.75" customHeight="1" x14ac:dyDescent="0.3">
      <c r="A65" s="225"/>
      <c r="B65" s="59" t="s">
        <v>76</v>
      </c>
      <c r="C65" s="60" t="s">
        <v>77</v>
      </c>
      <c r="D65" s="61">
        <v>1.25</v>
      </c>
      <c r="E65" s="215">
        <f t="shared" si="3"/>
        <v>3842.2760416666665</v>
      </c>
      <c r="F65" s="303"/>
      <c r="G65" s="190">
        <f t="shared" si="2"/>
        <v>0</v>
      </c>
      <c r="H65" s="225"/>
      <c r="J65" s="253"/>
    </row>
    <row r="66" spans="1:10" s="249" customFormat="1" ht="18.75" customHeight="1" x14ac:dyDescent="0.3">
      <c r="A66" s="225"/>
      <c r="B66" s="62" t="s">
        <v>78</v>
      </c>
      <c r="C66" s="37" t="s">
        <v>79</v>
      </c>
      <c r="D66" s="54">
        <v>1.75</v>
      </c>
      <c r="E66" s="215">
        <f t="shared" si="3"/>
        <v>5379.1864583333336</v>
      </c>
      <c r="F66" s="305"/>
      <c r="G66" s="190">
        <f t="shared" si="2"/>
        <v>0</v>
      </c>
      <c r="H66" s="225"/>
    </row>
    <row r="67" spans="1:10" s="249" customFormat="1" ht="18.75" customHeight="1" x14ac:dyDescent="0.3">
      <c r="A67" s="225"/>
      <c r="B67" s="62" t="s">
        <v>80</v>
      </c>
      <c r="C67" s="37" t="s">
        <v>81</v>
      </c>
      <c r="D67" s="54">
        <v>2</v>
      </c>
      <c r="E67" s="215">
        <f t="shared" si="3"/>
        <v>6147.6416666666664</v>
      </c>
      <c r="F67" s="305"/>
      <c r="G67" s="190">
        <f t="shared" si="2"/>
        <v>0</v>
      </c>
      <c r="H67" s="225"/>
    </row>
    <row r="68" spans="1:10" s="249" customFormat="1" ht="18.75" customHeight="1" thickBot="1" x14ac:dyDescent="0.35">
      <c r="A68" s="225"/>
      <c r="B68" s="63" t="s">
        <v>82</v>
      </c>
      <c r="C68" s="64" t="s">
        <v>83</v>
      </c>
      <c r="D68" s="65">
        <v>2.5</v>
      </c>
      <c r="E68" s="216">
        <f t="shared" si="3"/>
        <v>7684.552083333333</v>
      </c>
      <c r="F68" s="306"/>
      <c r="G68" s="193">
        <f t="shared" si="2"/>
        <v>0</v>
      </c>
      <c r="H68" s="225"/>
    </row>
    <row r="69" spans="1:10" s="249" customFormat="1" ht="18.75" customHeight="1" thickBot="1" x14ac:dyDescent="0.35">
      <c r="A69" s="225"/>
      <c r="B69" s="95" t="s">
        <v>114</v>
      </c>
      <c r="C69" s="226"/>
      <c r="D69" s="227"/>
      <c r="E69" s="228"/>
      <c r="F69" s="234"/>
      <c r="G69" s="66">
        <f>SUM(G60:G68)</f>
        <v>0</v>
      </c>
      <c r="H69" s="225"/>
    </row>
    <row r="70" spans="1:10" s="249" customFormat="1" ht="13.5" customHeight="1" thickBot="1" x14ac:dyDescent="0.35">
      <c r="A70" s="225"/>
      <c r="B70" s="238"/>
      <c r="C70" s="282"/>
      <c r="D70" s="283"/>
      <c r="E70" s="281"/>
      <c r="F70" s="234"/>
      <c r="G70" s="208"/>
      <c r="H70" s="225"/>
    </row>
    <row r="71" spans="1:10" s="249" customFormat="1" ht="18.75" customHeight="1" thickBot="1" x14ac:dyDescent="0.35">
      <c r="A71" s="225"/>
      <c r="B71" s="113" t="s">
        <v>85</v>
      </c>
      <c r="C71" s="114"/>
      <c r="D71" s="105" t="s">
        <v>13</v>
      </c>
      <c r="E71" s="48" t="s">
        <v>62</v>
      </c>
      <c r="F71" s="234"/>
      <c r="G71" s="208"/>
      <c r="H71" s="225"/>
    </row>
    <row r="72" spans="1:10" s="249" customFormat="1" ht="18.75" customHeight="1" x14ac:dyDescent="0.3">
      <c r="A72" s="225"/>
      <c r="B72" s="74" t="s">
        <v>86</v>
      </c>
      <c r="C72" s="67" t="s">
        <v>87</v>
      </c>
      <c r="D72" s="295"/>
      <c r="E72" s="291"/>
      <c r="F72" s="234"/>
      <c r="G72" s="208"/>
      <c r="H72" s="225"/>
    </row>
    <row r="73" spans="1:10" s="249" customFormat="1" ht="18.75" customHeight="1" x14ac:dyDescent="0.3">
      <c r="A73" s="225"/>
      <c r="B73" s="26" t="s">
        <v>88</v>
      </c>
      <c r="C73" s="27" t="s">
        <v>89</v>
      </c>
      <c r="D73" s="54">
        <v>0.04</v>
      </c>
      <c r="E73" s="217">
        <f>ROUND(IF($E$18+E20+E21+E22&lt;=($C$5*25),ROUND($E$18+E20+E21+E22,-3),ROUND($C$5*25,-3))*D73,-2)</f>
        <v>29500</v>
      </c>
      <c r="F73" s="234"/>
      <c r="G73" s="208"/>
      <c r="H73" s="225"/>
    </row>
    <row r="74" spans="1:10" s="249" customFormat="1" ht="18.75" customHeight="1" x14ac:dyDescent="0.3">
      <c r="A74" s="225"/>
      <c r="B74" s="26" t="s">
        <v>90</v>
      </c>
      <c r="C74" s="37" t="s">
        <v>91</v>
      </c>
      <c r="D74" s="54">
        <v>0.04</v>
      </c>
      <c r="E74" s="217">
        <f>ROUND(IF($E$18+E20+E21+E22&lt;=($C$5*25),ROUND($E$18+E20+E21+E22,-3),ROUND($C$5*25,-3))*D74,-2)</f>
        <v>29500</v>
      </c>
      <c r="F74" s="234"/>
      <c r="G74" s="208"/>
      <c r="H74" s="225"/>
    </row>
    <row r="75" spans="1:10" s="249" customFormat="1" ht="18.75" customHeight="1" x14ac:dyDescent="0.3">
      <c r="A75" s="225"/>
      <c r="B75" s="26" t="s">
        <v>92</v>
      </c>
      <c r="C75" s="37" t="s">
        <v>93</v>
      </c>
      <c r="D75" s="79">
        <f>IF(E18+E20+E21+E22&lt;(C5*4),0,0.01)</f>
        <v>0</v>
      </c>
      <c r="E75" s="29">
        <f>IF(E18+E20+E21+E22&lt;(C5*4),0,(E18+E20+E21+E22)*D75)</f>
        <v>0</v>
      </c>
      <c r="F75" s="234"/>
      <c r="G75" s="208"/>
      <c r="H75" s="225"/>
    </row>
    <row r="76" spans="1:10" s="249" customFormat="1" ht="18.75" customHeight="1" x14ac:dyDescent="0.3">
      <c r="A76" s="225"/>
      <c r="B76" s="26" t="s">
        <v>94</v>
      </c>
      <c r="C76" s="37" t="s">
        <v>95</v>
      </c>
      <c r="D76" s="36">
        <f>IF(E18+E20+E21+E22&lt;C81,D81,IF(E18+E20+E21+E22&lt;C82,D82,IF(E18+E20+E21+E22&lt;C83,D83,IF(E18+E20+E21+E22&lt;C84,D84,IF(E18+E20+E21+E22&lt;C85,D85,D86)))))</f>
        <v>0</v>
      </c>
      <c r="E76" s="195">
        <f>(E18+E20+E21+E22)*D76</f>
        <v>0</v>
      </c>
      <c r="F76" s="234"/>
      <c r="G76" s="208"/>
      <c r="H76" s="225"/>
    </row>
    <row r="77" spans="1:10" s="249" customFormat="1" ht="18.75" customHeight="1" thickBot="1" x14ac:dyDescent="0.35">
      <c r="A77" s="225"/>
      <c r="B77" s="94" t="s">
        <v>96</v>
      </c>
      <c r="C77" s="69"/>
      <c r="D77" s="196"/>
      <c r="E77" s="70">
        <f>SUM(E72:E76)</f>
        <v>59000</v>
      </c>
      <c r="F77" s="234"/>
      <c r="G77" s="208"/>
      <c r="H77" s="225"/>
    </row>
    <row r="78" spans="1:10" s="249" customFormat="1" ht="13.5" customHeight="1" x14ac:dyDescent="0.3">
      <c r="A78" s="225"/>
      <c r="B78" s="238"/>
      <c r="C78" s="282"/>
      <c r="D78" s="283"/>
      <c r="E78" s="281"/>
      <c r="F78" s="234"/>
      <c r="G78" s="208"/>
      <c r="H78" s="225"/>
    </row>
    <row r="79" spans="1:10" ht="13.5" customHeight="1" thickBot="1" x14ac:dyDescent="0.35">
      <c r="B79" s="238"/>
      <c r="C79" s="282"/>
      <c r="D79" s="285"/>
      <c r="E79" s="281"/>
    </row>
    <row r="80" spans="1:10" ht="16.2" thickBot="1" x14ac:dyDescent="0.35">
      <c r="B80" s="71" t="s">
        <v>97</v>
      </c>
      <c r="C80" s="72"/>
      <c r="D80" s="19"/>
      <c r="E80" s="73"/>
    </row>
    <row r="81" spans="2:5" s="225" customFormat="1" ht="15.6" x14ac:dyDescent="0.3">
      <c r="B81" s="74" t="s">
        <v>98</v>
      </c>
      <c r="C81" s="218">
        <f>$C$5*16</f>
        <v>11803472</v>
      </c>
      <c r="D81" s="75">
        <v>0</v>
      </c>
      <c r="E81" s="76"/>
    </row>
    <row r="82" spans="2:5" s="225" customFormat="1" ht="15.6" x14ac:dyDescent="0.3">
      <c r="B82" s="39" t="s">
        <v>99</v>
      </c>
      <c r="C82" s="219">
        <f>$C$5*17</f>
        <v>12541189</v>
      </c>
      <c r="D82" s="77">
        <v>2E-3</v>
      </c>
      <c r="E82" s="78"/>
    </row>
    <row r="83" spans="2:5" s="225" customFormat="1" ht="15.6" x14ac:dyDescent="0.3">
      <c r="B83" s="39" t="s">
        <v>100</v>
      </c>
      <c r="C83" s="220">
        <f>$C$5*18</f>
        <v>13278906</v>
      </c>
      <c r="D83" s="79">
        <v>4.0000000000000001E-3</v>
      </c>
      <c r="E83" s="29"/>
    </row>
    <row r="84" spans="2:5" s="225" customFormat="1" ht="15.6" x14ac:dyDescent="0.3">
      <c r="B84" s="39" t="s">
        <v>101</v>
      </c>
      <c r="C84" s="220">
        <f>$C$5*19</f>
        <v>14016623</v>
      </c>
      <c r="D84" s="79">
        <v>6.0000000000000001E-3</v>
      </c>
      <c r="E84" s="29"/>
    </row>
    <row r="85" spans="2:5" s="225" customFormat="1" ht="15.6" x14ac:dyDescent="0.3">
      <c r="B85" s="39" t="s">
        <v>102</v>
      </c>
      <c r="C85" s="220">
        <f>$C$5*20</f>
        <v>14754340</v>
      </c>
      <c r="D85" s="79">
        <v>8.0000000000000002E-3</v>
      </c>
      <c r="E85" s="29"/>
    </row>
    <row r="86" spans="2:5" s="225" customFormat="1" ht="16.2" thickBot="1" x14ac:dyDescent="0.35">
      <c r="B86" s="80" t="s">
        <v>103</v>
      </c>
      <c r="C86" s="221">
        <f>+C85</f>
        <v>14754340</v>
      </c>
      <c r="D86" s="81">
        <v>0.01</v>
      </c>
      <c r="E86" s="82"/>
    </row>
    <row r="87" spans="2:5" s="225" customFormat="1" x14ac:dyDescent="0.25">
      <c r="B87" s="245"/>
      <c r="C87" s="287"/>
      <c r="D87" s="288"/>
      <c r="E87" s="149" t="str">
        <f>+B69</f>
        <v>V 1.0 29 enero 2017</v>
      </c>
    </row>
    <row r="88" spans="2:5" s="225" customFormat="1" ht="14.4" x14ac:dyDescent="0.3">
      <c r="C88" s="226"/>
      <c r="D88" s="289"/>
      <c r="E88" s="290"/>
    </row>
    <row r="89" spans="2:5" s="225" customFormat="1" ht="15.6" x14ac:dyDescent="0.3">
      <c r="C89" s="286"/>
      <c r="D89" s="227"/>
      <c r="E89" s="228"/>
    </row>
    <row r="90" spans="2:5" s="225" customFormat="1" ht="15.6" x14ac:dyDescent="0.3">
      <c r="C90" s="286"/>
      <c r="D90" s="227"/>
      <c r="E90" s="228"/>
    </row>
    <row r="91" spans="2:5" s="225" customFormat="1" ht="15.6" x14ac:dyDescent="0.3">
      <c r="C91" s="286"/>
      <c r="D91" s="227"/>
      <c r="E91" s="228"/>
    </row>
    <row r="92" spans="2:5" s="225" customFormat="1" ht="15.6" x14ac:dyDescent="0.3">
      <c r="C92" s="286"/>
      <c r="D92" s="227"/>
      <c r="E92" s="228"/>
    </row>
    <row r="93" spans="2:5" s="225" customFormat="1" ht="15.6" x14ac:dyDescent="0.3">
      <c r="C93" s="286"/>
      <c r="D93" s="227"/>
      <c r="E93" s="228"/>
    </row>
    <row r="94" spans="2:5" s="225" customFormat="1" ht="15.6" x14ac:dyDescent="0.3">
      <c r="C94" s="286"/>
      <c r="D94" s="227"/>
      <c r="E94" s="228"/>
    </row>
    <row r="95" spans="2:5" s="225" customFormat="1" ht="15.6" x14ac:dyDescent="0.3">
      <c r="C95" s="286"/>
      <c r="D95" s="227"/>
      <c r="E95" s="228"/>
    </row>
    <row r="96" spans="2:5" s="225" customFormat="1" ht="15.6" x14ac:dyDescent="0.3">
      <c r="C96" s="286"/>
      <c r="D96" s="227"/>
      <c r="E96" s="228"/>
    </row>
    <row r="97" spans="3:3" s="225" customFormat="1" ht="15.6" x14ac:dyDescent="0.3">
      <c r="C97" s="286"/>
    </row>
    <row r="98" spans="3:3" s="225" customFormat="1" ht="15.6" x14ac:dyDescent="0.3">
      <c r="C98" s="286"/>
    </row>
    <row r="99" spans="3:3" s="225" customFormat="1" ht="15.6" x14ac:dyDescent="0.3">
      <c r="C99" s="286"/>
    </row>
    <row r="65536" spans="256:256" s="225" customFormat="1" x14ac:dyDescent="0.25">
      <c r="IV65536" s="322">
        <v>2017</v>
      </c>
    </row>
  </sheetData>
  <sheetProtection password="CC13" sheet="1"/>
  <protectedRanges>
    <protectedRange sqref="E20:F22" name="Rango5"/>
    <protectedRange sqref="C10:C12" name="Rango4"/>
    <protectedRange sqref="F60:F68" name="Rango2"/>
    <protectedRange sqref="E72" name="Rango3"/>
    <protectedRange sqref="C13" name="Rango4_1"/>
  </protectedRanges>
  <customSheetViews>
    <customSheetView guid="{005D785A-2C1A-7642-8E14-813F8ABC12DD}" scale="96">
      <selection sqref="A1:XFD1048576"/>
      <pageMargins left="0" right="0" top="0" bottom="0" header="0" footer="0"/>
      <pageSetup paperSize="9" orientation="portrait" horizontalDpi="300" verticalDpi="300" r:id="rId1"/>
    </customSheetView>
  </customSheetViews>
  <dataValidations count="2">
    <dataValidation type="list" allowBlank="1" showInputMessage="1" showErrorMessage="1" sqref="C11" xr:uid="{00000000-0002-0000-0200-000000000000}">
      <formula1>$IV$6:$IV$10</formula1>
    </dataValidation>
    <dataValidation type="list" allowBlank="1" showInputMessage="1" showErrorMessage="1" sqref="D13" xr:uid="{00000000-0002-0000-0200-000001000000}">
      <formula1>$IV$13:$IV$16</formula1>
    </dataValidation>
  </dataValidations>
  <pageMargins left="0.7" right="0.7" top="0.75" bottom="0.75" header="0.3" footer="0.3"/>
  <pageSetup paperSize="9" orientation="portrait" horizontalDpi="300" verticalDpi="30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65536"/>
  <sheetViews>
    <sheetView topLeftCell="A4" zoomScale="77" zoomScaleNormal="77" zoomScalePageLayoutView="77" workbookViewId="0">
      <selection activeCell="J40" sqref="J40"/>
    </sheetView>
  </sheetViews>
  <sheetFormatPr baseColWidth="10" defaultColWidth="11.44140625" defaultRowHeight="13.2" x14ac:dyDescent="0.25"/>
  <cols>
    <col min="1" max="1" width="3.33203125" style="225" customWidth="1"/>
    <col min="2" max="2" width="45.33203125" style="225" customWidth="1"/>
    <col min="3" max="3" width="58.88671875" style="226" customWidth="1"/>
    <col min="4" max="4" width="11" style="227" customWidth="1"/>
    <col min="5" max="5" width="17.33203125" style="228" customWidth="1"/>
    <col min="6" max="6" width="17.44140625" style="234" customWidth="1"/>
    <col min="7" max="7" width="13.88671875" style="208" customWidth="1"/>
    <col min="8" max="8" width="7.6640625" style="225" customWidth="1"/>
    <col min="9" max="9" width="13.33203125" style="225" bestFit="1" customWidth="1"/>
    <col min="10" max="10" width="12" style="225" bestFit="1" customWidth="1"/>
    <col min="11" max="16384" width="11.44140625" style="225"/>
  </cols>
  <sheetData>
    <row r="1" spans="2:256" ht="11.25" customHeight="1" x14ac:dyDescent="0.25"/>
    <row r="2" spans="2:256" ht="18" customHeight="1" x14ac:dyDescent="0.3">
      <c r="B2" s="87" t="s">
        <v>0</v>
      </c>
      <c r="C2" s="229"/>
      <c r="D2" s="230"/>
      <c r="E2" s="231"/>
    </row>
    <row r="3" spans="2:256" ht="14.25" customHeight="1" thickBot="1" x14ac:dyDescent="0.3"/>
    <row r="4" spans="2:256" ht="18.75" customHeight="1" thickBot="1" x14ac:dyDescent="0.4">
      <c r="B4" s="342" t="s">
        <v>115</v>
      </c>
      <c r="C4" s="232"/>
      <c r="E4" s="233"/>
    </row>
    <row r="5" spans="2:256" ht="18.75" customHeight="1" x14ac:dyDescent="0.3">
      <c r="B5" s="344" t="s">
        <v>2</v>
      </c>
      <c r="C5" s="76">
        <v>689455</v>
      </c>
      <c r="E5" s="233"/>
      <c r="F5" s="340"/>
      <c r="G5" s="209"/>
      <c r="I5" s="299"/>
    </row>
    <row r="6" spans="2:256" ht="18.75" customHeight="1" thickBot="1" x14ac:dyDescent="0.35">
      <c r="B6" s="345" t="s">
        <v>3</v>
      </c>
      <c r="C6" s="82">
        <v>77700</v>
      </c>
      <c r="E6" s="233"/>
      <c r="F6" s="233"/>
      <c r="G6" s="209"/>
      <c r="I6" s="235"/>
      <c r="J6" s="236"/>
      <c r="IV6" s="237">
        <v>5.2199999999999998E-3</v>
      </c>
    </row>
    <row r="7" spans="2:256" ht="13.5" customHeight="1" x14ac:dyDescent="0.3">
      <c r="B7" s="238"/>
      <c r="C7" s="239"/>
      <c r="G7" s="209"/>
      <c r="IV7" s="237">
        <v>1.044E-2</v>
      </c>
    </row>
    <row r="8" spans="2:256" ht="12.75" customHeight="1" x14ac:dyDescent="0.25">
      <c r="B8" s="238"/>
      <c r="C8" s="238"/>
      <c r="G8" s="209"/>
      <c r="IV8" s="237">
        <v>2.436E-2</v>
      </c>
    </row>
    <row r="9" spans="2:256" ht="12" customHeight="1" thickBot="1" x14ac:dyDescent="0.3">
      <c r="B9" s="9" t="s">
        <v>4</v>
      </c>
      <c r="C9" s="240" t="s">
        <v>5</v>
      </c>
      <c r="D9" s="241"/>
      <c r="E9" s="242"/>
      <c r="IV9" s="237">
        <v>4.3499999999999997E-2</v>
      </c>
    </row>
    <row r="10" spans="2:256" ht="18.75" customHeight="1" x14ac:dyDescent="0.3">
      <c r="B10" s="11" t="s">
        <v>6</v>
      </c>
      <c r="C10" s="291">
        <v>689455</v>
      </c>
      <c r="D10" s="243"/>
      <c r="E10" s="244"/>
      <c r="F10" s="343"/>
      <c r="G10" s="311"/>
      <c r="H10" s="245"/>
      <c r="IV10" s="237">
        <v>6.9599999999999995E-2</v>
      </c>
    </row>
    <row r="11" spans="2:256" ht="18.75" customHeight="1" x14ac:dyDescent="0.3">
      <c r="B11" s="13" t="s">
        <v>7</v>
      </c>
      <c r="C11" s="292">
        <v>5.2199999999999998E-3</v>
      </c>
      <c r="D11" s="241"/>
      <c r="E11" s="244"/>
      <c r="G11" s="312"/>
      <c r="H11" s="245"/>
    </row>
    <row r="12" spans="2:256" ht="18.75" customHeight="1" thickBot="1" x14ac:dyDescent="0.35">
      <c r="B12" s="15" t="s">
        <v>8</v>
      </c>
      <c r="C12" s="246"/>
      <c r="D12" s="241"/>
      <c r="E12" s="242"/>
      <c r="G12" s="313"/>
      <c r="H12" s="245"/>
      <c r="IR12" s="248"/>
      <c r="IV12" s="249"/>
    </row>
    <row r="13" spans="2:256" s="1" customFormat="1" ht="18.75" customHeight="1" thickBot="1" x14ac:dyDescent="0.35">
      <c r="B13" s="15" t="s">
        <v>9</v>
      </c>
      <c r="C13" s="112">
        <v>3200</v>
      </c>
      <c r="D13" s="111" t="s">
        <v>10</v>
      </c>
      <c r="E13" s="10"/>
      <c r="F13" s="106"/>
      <c r="G13" s="17"/>
      <c r="H13" s="12"/>
      <c r="IR13" s="16"/>
      <c r="IV13" s="18" t="s">
        <v>10</v>
      </c>
    </row>
    <row r="14" spans="2:256" ht="10.5" customHeight="1" thickBot="1" x14ac:dyDescent="0.35">
      <c r="B14" s="250"/>
      <c r="C14" s="251"/>
      <c r="D14" s="252"/>
      <c r="F14" s="308"/>
      <c r="G14" s="312"/>
      <c r="H14" s="245"/>
      <c r="IR14" s="248"/>
    </row>
    <row r="15" spans="2:256" s="249" customFormat="1" ht="41.25" customHeight="1" x14ac:dyDescent="0.3">
      <c r="B15" s="96" t="s">
        <v>11</v>
      </c>
      <c r="C15" s="97" t="s">
        <v>12</v>
      </c>
      <c r="D15" s="98" t="s">
        <v>13</v>
      </c>
      <c r="E15" s="307" t="s">
        <v>14</v>
      </c>
      <c r="F15" s="309" t="s">
        <v>116</v>
      </c>
      <c r="G15" s="314" t="s">
        <v>16</v>
      </c>
      <c r="H15" s="245"/>
      <c r="IR15" s="253"/>
    </row>
    <row r="16" spans="2:256" s="249" customFormat="1" ht="9" customHeight="1" x14ac:dyDescent="0.3">
      <c r="B16" s="254"/>
      <c r="C16" s="239"/>
      <c r="D16" s="239"/>
      <c r="E16" s="255"/>
      <c r="F16" s="255"/>
      <c r="G16" s="107"/>
      <c r="IR16" s="253"/>
    </row>
    <row r="17" spans="2:252" s="249" customFormat="1" ht="18.75" customHeight="1" x14ac:dyDescent="0.3">
      <c r="B17" s="256" t="s">
        <v>17</v>
      </c>
      <c r="C17" s="257"/>
      <c r="D17" s="258"/>
      <c r="E17" s="259"/>
      <c r="F17" s="259"/>
      <c r="G17" s="108"/>
      <c r="IR17" s="253"/>
    </row>
    <row r="18" spans="2:252" s="249" customFormat="1" ht="18.75" customHeight="1" x14ac:dyDescent="0.3">
      <c r="B18" s="26" t="s">
        <v>18</v>
      </c>
      <c r="C18" s="27" t="s">
        <v>19</v>
      </c>
      <c r="D18" s="28"/>
      <c r="E18" s="29">
        <f>IF(C10&lt;C5,FALSE,C10)</f>
        <v>689455</v>
      </c>
      <c r="F18" s="29">
        <f>+E18</f>
        <v>689455</v>
      </c>
      <c r="G18" s="103">
        <f t="shared" ref="G18:G23" si="0">+E18/$C$13</f>
        <v>215.45468750000001</v>
      </c>
      <c r="IR18" s="253"/>
    </row>
    <row r="19" spans="2:252" s="249" customFormat="1" ht="18.75" customHeight="1" x14ac:dyDescent="0.3">
      <c r="B19" s="26" t="s">
        <v>20</v>
      </c>
      <c r="C19" s="27" t="s">
        <v>117</v>
      </c>
      <c r="D19" s="28"/>
      <c r="E19" s="29">
        <f>IF(E18+E20+E21+E22&lt;=(C5*2),C6,0)</f>
        <v>77700</v>
      </c>
      <c r="F19" s="29">
        <f>+E19</f>
        <v>77700</v>
      </c>
      <c r="G19" s="103">
        <f t="shared" si="0"/>
        <v>24.28125</v>
      </c>
    </row>
    <row r="20" spans="2:252" s="249" customFormat="1" ht="18.75" customHeight="1" x14ac:dyDescent="0.3">
      <c r="B20" s="26" t="s">
        <v>22</v>
      </c>
      <c r="C20" s="27" t="s">
        <v>23</v>
      </c>
      <c r="D20" s="262"/>
      <c r="E20" s="339">
        <f>+G60+G63</f>
        <v>0</v>
      </c>
      <c r="F20" s="42">
        <f>+E20</f>
        <v>0</v>
      </c>
      <c r="G20" s="103">
        <f t="shared" si="0"/>
        <v>0</v>
      </c>
      <c r="J20" s="264"/>
    </row>
    <row r="21" spans="2:252" s="249" customFormat="1" ht="18.75" customHeight="1" x14ac:dyDescent="0.3">
      <c r="B21" s="26" t="s">
        <v>118</v>
      </c>
      <c r="C21" s="27" t="s">
        <v>25</v>
      </c>
      <c r="D21" s="262"/>
      <c r="E21" s="339">
        <f>+G61+G62+G64</f>
        <v>0</v>
      </c>
      <c r="F21" s="42">
        <f>+E21</f>
        <v>0</v>
      </c>
      <c r="G21" s="103">
        <f t="shared" si="0"/>
        <v>0</v>
      </c>
    </row>
    <row r="22" spans="2:252" s="249" customFormat="1" ht="18.75" customHeight="1" x14ac:dyDescent="0.3">
      <c r="B22" s="26" t="s">
        <v>26</v>
      </c>
      <c r="C22" s="27" t="s">
        <v>110</v>
      </c>
      <c r="D22" s="262"/>
      <c r="E22" s="339">
        <f>+G65+G66+G67+G68</f>
        <v>0</v>
      </c>
      <c r="F22" s="42">
        <f>+E22</f>
        <v>0</v>
      </c>
      <c r="G22" s="103">
        <f t="shared" si="0"/>
        <v>0</v>
      </c>
    </row>
    <row r="23" spans="2:252" s="249" customFormat="1" ht="18.75" customHeight="1" x14ac:dyDescent="0.3">
      <c r="B23" s="148" t="s">
        <v>28</v>
      </c>
      <c r="C23" s="265"/>
      <c r="D23" s="266"/>
      <c r="E23" s="30">
        <f>SUM(E18:E22)</f>
        <v>767155</v>
      </c>
      <c r="F23" s="30">
        <f>SUM(F18:F22)</f>
        <v>767155</v>
      </c>
      <c r="G23" s="104">
        <f t="shared" si="0"/>
        <v>239.73593750000001</v>
      </c>
    </row>
    <row r="24" spans="2:252" s="249" customFormat="1" ht="18.75" customHeight="1" x14ac:dyDescent="0.3">
      <c r="B24" s="267"/>
      <c r="C24" s="268"/>
      <c r="D24" s="269"/>
      <c r="E24" s="263"/>
      <c r="F24" s="263"/>
      <c r="G24" s="108"/>
    </row>
    <row r="25" spans="2:252" s="249" customFormat="1" ht="18.75" customHeight="1" x14ac:dyDescent="0.3">
      <c r="B25" s="270" t="s">
        <v>29</v>
      </c>
      <c r="C25" s="257"/>
      <c r="D25" s="258"/>
      <c r="E25" s="263"/>
      <c r="F25" s="263"/>
      <c r="G25" s="108"/>
    </row>
    <row r="26" spans="2:252" s="249" customFormat="1" ht="18.75" customHeight="1" x14ac:dyDescent="0.3">
      <c r="B26" s="26" t="s">
        <v>30</v>
      </c>
      <c r="C26" s="27" t="s">
        <v>31</v>
      </c>
      <c r="D26" s="35">
        <v>8.3333333333333343E-2</v>
      </c>
      <c r="E26" s="29">
        <f>E23*D26</f>
        <v>63929.583333333343</v>
      </c>
      <c r="F26" s="29">
        <f>+E26</f>
        <v>63929.583333333343</v>
      </c>
      <c r="G26" s="103">
        <f>+E26/$C$13</f>
        <v>19.977994791666671</v>
      </c>
    </row>
    <row r="27" spans="2:252" s="249" customFormat="1" ht="18.75" customHeight="1" x14ac:dyDescent="0.3">
      <c r="B27" s="26" t="s">
        <v>32</v>
      </c>
      <c r="C27" s="27" t="s">
        <v>33</v>
      </c>
      <c r="D27" s="36">
        <v>0.12</v>
      </c>
      <c r="E27" s="29">
        <f>+E26*D27</f>
        <v>7671.5500000000011</v>
      </c>
      <c r="F27" s="29">
        <f>+E27</f>
        <v>7671.5500000000011</v>
      </c>
      <c r="G27" s="103">
        <f>+E27/$C$13</f>
        <v>2.3973593750000002</v>
      </c>
    </row>
    <row r="28" spans="2:252" s="249" customFormat="1" ht="18.75" customHeight="1" x14ac:dyDescent="0.3">
      <c r="B28" s="26" t="s">
        <v>34</v>
      </c>
      <c r="C28" s="27" t="s">
        <v>31</v>
      </c>
      <c r="D28" s="35">
        <v>8.3333333333333343E-2</v>
      </c>
      <c r="E28" s="29">
        <f>E23*D28</f>
        <v>63929.583333333343</v>
      </c>
      <c r="F28" s="29">
        <f>+E28</f>
        <v>63929.583333333343</v>
      </c>
      <c r="G28" s="103">
        <f>+E28/$C$13</f>
        <v>19.977994791666671</v>
      </c>
    </row>
    <row r="29" spans="2:252" s="249" customFormat="1" ht="18.75" customHeight="1" x14ac:dyDescent="0.3">
      <c r="B29" s="26" t="s">
        <v>35</v>
      </c>
      <c r="C29" s="37" t="s">
        <v>36</v>
      </c>
      <c r="D29" s="35">
        <v>4.1666666666666664E-2</v>
      </c>
      <c r="E29" s="29">
        <f>(E18+E20)*D29</f>
        <v>28727.291666666664</v>
      </c>
      <c r="F29" s="29">
        <f>+E29</f>
        <v>28727.291666666664</v>
      </c>
      <c r="G29" s="103">
        <f>+E29/$C$13</f>
        <v>8.9772786458333318</v>
      </c>
    </row>
    <row r="30" spans="2:252" s="249" customFormat="1" ht="18.75" customHeight="1" x14ac:dyDescent="0.3">
      <c r="B30" s="177" t="s">
        <v>37</v>
      </c>
      <c r="C30" s="38"/>
      <c r="D30" s="33"/>
      <c r="E30" s="30">
        <f>SUM(E26:E29)</f>
        <v>164258.00833333333</v>
      </c>
      <c r="F30" s="30">
        <f>SUM(F26:F29)</f>
        <v>164258.00833333333</v>
      </c>
      <c r="G30" s="104">
        <f>+E30/$C$13</f>
        <v>51.330627604166665</v>
      </c>
    </row>
    <row r="31" spans="2:252" s="249" customFormat="1" ht="18.75" customHeight="1" x14ac:dyDescent="0.3">
      <c r="B31" s="260"/>
      <c r="C31" s="261"/>
      <c r="D31" s="262"/>
      <c r="E31" s="259"/>
      <c r="F31" s="259"/>
      <c r="G31" s="108"/>
      <c r="H31" s="238"/>
    </row>
    <row r="32" spans="2:252" s="249" customFormat="1" ht="18.75" customHeight="1" x14ac:dyDescent="0.3">
      <c r="B32" s="256" t="s">
        <v>38</v>
      </c>
      <c r="C32" s="257"/>
      <c r="D32" s="258"/>
      <c r="E32" s="259"/>
      <c r="F32" s="259"/>
      <c r="G32" s="108"/>
      <c r="H32" s="238"/>
    </row>
    <row r="33" spans="2:9" s="249" customFormat="1" ht="18.75" customHeight="1" x14ac:dyDescent="0.3">
      <c r="B33" s="310" t="s">
        <v>39</v>
      </c>
      <c r="C33" s="85">
        <f>ROUND(IF($E$18+E20+E21+E22&lt;=($C$5*25),ROUND($E$18+E20+E21+E22,-3),ROUND($C$5*25,-3))*0.125,-2)</f>
        <v>86100</v>
      </c>
      <c r="D33" s="36">
        <v>8.5000000000000006E-2</v>
      </c>
      <c r="E33" s="29">
        <f>C33-E73</f>
        <v>58500</v>
      </c>
      <c r="F33" s="29">
        <v>0</v>
      </c>
      <c r="G33" s="103">
        <f t="shared" ref="G33:G38" si="1">+E33/$C$13</f>
        <v>18.28125</v>
      </c>
      <c r="H33" s="274"/>
      <c r="I33" s="275"/>
    </row>
    <row r="34" spans="2:9" s="249" customFormat="1" ht="18.75" customHeight="1" x14ac:dyDescent="0.3">
      <c r="B34" s="26" t="s">
        <v>40</v>
      </c>
      <c r="C34" s="85">
        <f>ROUND(IF($E$18+E20+E21+E22&lt;=($C$5*25),ROUND($E$18+E20+E21+E22,-3),ROUND($C$5*25,-3))*0.16,-2)</f>
        <v>110200</v>
      </c>
      <c r="D34" s="36">
        <v>0.12</v>
      </c>
      <c r="E34" s="29">
        <f>C34-E74</f>
        <v>82600</v>
      </c>
      <c r="F34" s="29">
        <f>+E34</f>
        <v>82600</v>
      </c>
      <c r="G34" s="103">
        <f t="shared" si="1"/>
        <v>25.8125</v>
      </c>
      <c r="H34" s="276"/>
    </row>
    <row r="35" spans="2:9" s="249" customFormat="1" ht="18.75" customHeight="1" x14ac:dyDescent="0.3">
      <c r="B35" s="26" t="s">
        <v>119</v>
      </c>
      <c r="C35" s="37" t="s">
        <v>42</v>
      </c>
      <c r="D35" s="28">
        <f>C11</f>
        <v>5.2199999999999998E-3</v>
      </c>
      <c r="E35" s="29">
        <f>ROUND(IF($E$18+E21+E20+E22&lt;=($C$5*20),ROUND($E$18+E20+E21+E22,-3),ROUND($C$5*20,-3))*D35,-2)</f>
        <v>3600</v>
      </c>
      <c r="F35" s="29">
        <f>+E35</f>
        <v>3600</v>
      </c>
      <c r="G35" s="103">
        <f t="shared" si="1"/>
        <v>1.125</v>
      </c>
      <c r="H35" s="238"/>
    </row>
    <row r="36" spans="2:9" s="249" customFormat="1" ht="18.75" customHeight="1" x14ac:dyDescent="0.3">
      <c r="B36" s="26" t="s">
        <v>43</v>
      </c>
      <c r="C36" s="271"/>
      <c r="D36" s="36">
        <v>8.5000000000000006E-2</v>
      </c>
      <c r="E36" s="29">
        <f>ROUND(IF($E$29&lt;=($C$5*25),ROUND($E$29,-3),ROUND($C$5*25,-3))*D36,-2)</f>
        <v>2500</v>
      </c>
      <c r="F36" s="29">
        <v>0</v>
      </c>
      <c r="G36" s="103">
        <f t="shared" si="1"/>
        <v>0.78125</v>
      </c>
    </row>
    <row r="37" spans="2:9" s="249" customFormat="1" ht="18.75" customHeight="1" x14ac:dyDescent="0.3">
      <c r="B37" s="26" t="s">
        <v>44</v>
      </c>
      <c r="C37" s="271"/>
      <c r="D37" s="36">
        <v>0.12</v>
      </c>
      <c r="E37" s="29">
        <f>ROUND(IF($E$29&lt;=($C$5*25),ROUND($E$29,-3),ROUND($C$5*25,-3))*D37,-2)</f>
        <v>3500</v>
      </c>
      <c r="F37" s="29">
        <f>+E37</f>
        <v>3500</v>
      </c>
      <c r="G37" s="103">
        <f t="shared" si="1"/>
        <v>1.09375</v>
      </c>
    </row>
    <row r="38" spans="2:9" s="249" customFormat="1" ht="18.75" customHeight="1" x14ac:dyDescent="0.3">
      <c r="B38" s="177" t="s">
        <v>45</v>
      </c>
      <c r="C38" s="272"/>
      <c r="D38" s="269"/>
      <c r="E38" s="30">
        <f>SUM(E33:E37)</f>
        <v>150700</v>
      </c>
      <c r="F38" s="30">
        <f>SUM(F33:F37)</f>
        <v>89700</v>
      </c>
      <c r="G38" s="104">
        <f t="shared" si="1"/>
        <v>47.09375</v>
      </c>
    </row>
    <row r="39" spans="2:9" s="249" customFormat="1" ht="18.75" customHeight="1" x14ac:dyDescent="0.3">
      <c r="B39" s="260"/>
      <c r="C39" s="261"/>
      <c r="D39" s="262"/>
      <c r="E39" s="259"/>
      <c r="F39" s="259"/>
      <c r="G39" s="108"/>
    </row>
    <row r="40" spans="2:9" s="249" customFormat="1" ht="18.75" customHeight="1" x14ac:dyDescent="0.3">
      <c r="B40" s="256" t="s">
        <v>46</v>
      </c>
      <c r="C40" s="257"/>
      <c r="D40" s="258"/>
      <c r="E40" s="259"/>
      <c r="F40" s="259"/>
      <c r="G40" s="108"/>
    </row>
    <row r="41" spans="2:9" s="249" customFormat="1" ht="18.75" customHeight="1" x14ac:dyDescent="0.3">
      <c r="B41" s="26" t="s">
        <v>47</v>
      </c>
      <c r="C41" s="37" t="s">
        <v>48</v>
      </c>
      <c r="D41" s="36">
        <v>0.09</v>
      </c>
      <c r="E41" s="29">
        <f>ROUND(ROUND(E18+E20+E21+E22,-3)*D41,-2)</f>
        <v>62000</v>
      </c>
      <c r="F41" s="29">
        <f>ROUND(ROUND(F18+F20+F21+F22,-3)*0.04,-2)</f>
        <v>27600</v>
      </c>
      <c r="G41" s="103">
        <f>+E41/$C$13</f>
        <v>19.375</v>
      </c>
    </row>
    <row r="42" spans="2:9" s="249" customFormat="1" ht="18.75" customHeight="1" x14ac:dyDescent="0.3">
      <c r="B42" s="26" t="s">
        <v>49</v>
      </c>
      <c r="C42" s="37"/>
      <c r="D42" s="36">
        <v>0.09</v>
      </c>
      <c r="E42" s="29">
        <f>ROUND(ROUND(E29,-3)*D42,-2)</f>
        <v>2600</v>
      </c>
      <c r="F42" s="29">
        <f>ROUND(ROUND(F29,-3)*0.04,-2)</f>
        <v>1200</v>
      </c>
      <c r="G42" s="103">
        <f>+E42/$C$13</f>
        <v>0.8125</v>
      </c>
    </row>
    <row r="43" spans="2:9" s="249" customFormat="1" ht="18.75" customHeight="1" x14ac:dyDescent="0.3">
      <c r="B43" s="177" t="s">
        <v>50</v>
      </c>
      <c r="C43" s="38"/>
      <c r="D43" s="33"/>
      <c r="E43" s="30">
        <f>SUM(E41:E42)</f>
        <v>64600</v>
      </c>
      <c r="F43" s="30">
        <f>SUM(F41:F42)</f>
        <v>28800</v>
      </c>
      <c r="G43" s="104">
        <f>+E43/$C$13</f>
        <v>20.1875</v>
      </c>
    </row>
    <row r="44" spans="2:9" s="249" customFormat="1" ht="18.75" customHeight="1" x14ac:dyDescent="0.3">
      <c r="B44" s="273"/>
      <c r="C44" s="271"/>
      <c r="D44" s="262"/>
      <c r="E44" s="259"/>
      <c r="F44" s="259"/>
      <c r="G44" s="108"/>
    </row>
    <row r="45" spans="2:9" s="249" customFormat="1" ht="18.75" customHeight="1" x14ac:dyDescent="0.3">
      <c r="B45" s="256" t="s">
        <v>51</v>
      </c>
      <c r="C45" s="257"/>
      <c r="D45" s="258"/>
      <c r="E45" s="259"/>
      <c r="F45" s="259"/>
      <c r="G45" s="108"/>
    </row>
    <row r="46" spans="2:9" s="249" customFormat="1" ht="18.75" customHeight="1" x14ac:dyDescent="0.3">
      <c r="B46" s="39" t="s">
        <v>53</v>
      </c>
      <c r="C46" s="37" t="s">
        <v>54</v>
      </c>
      <c r="D46" s="293"/>
      <c r="E46" s="29">
        <f>IF(E18+E20+E21+E22&lt;=C5*2,(C12*3)/12,0)</f>
        <v>0</v>
      </c>
      <c r="F46" s="29">
        <f>+E46</f>
        <v>0</v>
      </c>
      <c r="G46" s="104">
        <f>+E46/$C$13</f>
        <v>0</v>
      </c>
    </row>
    <row r="47" spans="2:9" s="249" customFormat="1" ht="18.75" customHeight="1" x14ac:dyDescent="0.3">
      <c r="B47" s="260"/>
      <c r="C47" s="261"/>
      <c r="D47" s="262"/>
      <c r="E47" s="277"/>
      <c r="F47" s="277"/>
      <c r="G47" s="108"/>
    </row>
    <row r="48" spans="2:9" s="249" customFormat="1" ht="18.75" customHeight="1" x14ac:dyDescent="0.3">
      <c r="B48" s="31" t="s">
        <v>55</v>
      </c>
      <c r="C48" s="32"/>
      <c r="D48" s="33"/>
      <c r="E48" s="30">
        <f>E23+E30+E38+E43+E46</f>
        <v>1146713.0083333333</v>
      </c>
      <c r="F48" s="30">
        <f>F23+F30+F38+F43+F46</f>
        <v>1049913.0083333333</v>
      </c>
      <c r="G48" s="104">
        <f>+E48/$C$13</f>
        <v>358.34781510416667</v>
      </c>
      <c r="I48" s="275"/>
    </row>
    <row r="49" spans="1:10" s="249" customFormat="1" ht="18.75" customHeight="1" thickBot="1" x14ac:dyDescent="0.35">
      <c r="B49" s="80" t="s">
        <v>56</v>
      </c>
      <c r="C49" s="43"/>
      <c r="D49" s="44"/>
      <c r="E49" s="93">
        <f>+(E48/(E23-E19))-1</f>
        <v>0.66321661070459026</v>
      </c>
      <c r="F49" s="93">
        <f>+(F48/(F23-F19))-1</f>
        <v>0.5228158593865202</v>
      </c>
      <c r="G49" s="109"/>
    </row>
    <row r="50" spans="1:10" s="249" customFormat="1" ht="13.5" customHeight="1" x14ac:dyDescent="0.3">
      <c r="B50" s="278"/>
      <c r="C50" s="279"/>
      <c r="D50" s="280"/>
      <c r="E50" s="281"/>
      <c r="F50" s="300"/>
      <c r="G50" s="110"/>
    </row>
    <row r="51" spans="1:10" s="249" customFormat="1" ht="13.5" customHeight="1" thickBot="1" x14ac:dyDescent="0.35">
      <c r="B51" s="278"/>
      <c r="C51" s="279"/>
      <c r="D51" s="280"/>
      <c r="E51" s="281"/>
      <c r="F51" s="300"/>
      <c r="G51" s="110"/>
    </row>
    <row r="52" spans="1:10" s="249" customFormat="1" ht="18.75" customHeight="1" x14ac:dyDescent="0.3">
      <c r="A52" s="225"/>
      <c r="B52" s="74" t="s">
        <v>57</v>
      </c>
      <c r="C52" s="294"/>
      <c r="D52" s="295"/>
      <c r="E52" s="187">
        <f>E48*12</f>
        <v>13760556.1</v>
      </c>
      <c r="F52" s="315">
        <f>F48*12</f>
        <v>12598956.1</v>
      </c>
      <c r="G52" s="321">
        <f>+E52/$C$13</f>
        <v>4300.1737812499996</v>
      </c>
      <c r="H52" s="225"/>
    </row>
    <row r="53" spans="1:10" s="249" customFormat="1" ht="18.75" customHeight="1" x14ac:dyDescent="0.3">
      <c r="A53" s="225"/>
      <c r="B53" s="26" t="s">
        <v>111</v>
      </c>
      <c r="C53" s="27"/>
      <c r="D53" s="296"/>
      <c r="E53" s="29">
        <v>299</v>
      </c>
      <c r="F53" s="316">
        <v>299</v>
      </c>
      <c r="G53" s="320">
        <v>299</v>
      </c>
      <c r="H53" s="225"/>
    </row>
    <row r="54" spans="1:10" s="249" customFormat="1" ht="18.75" customHeight="1" x14ac:dyDescent="0.3">
      <c r="A54" s="225"/>
      <c r="B54" s="26" t="s">
        <v>59</v>
      </c>
      <c r="C54" s="27"/>
      <c r="D54" s="296"/>
      <c r="E54" s="29">
        <f>E52/E53</f>
        <v>46021.926755852845</v>
      </c>
      <c r="F54" s="316">
        <f>F52/F53</f>
        <v>42136.976923076923</v>
      </c>
      <c r="G54" s="318">
        <f>+E54/$C$13</f>
        <v>14.381852111204013</v>
      </c>
      <c r="H54" s="225"/>
    </row>
    <row r="55" spans="1:10" s="249" customFormat="1" ht="18.75" customHeight="1" thickBot="1" x14ac:dyDescent="0.35">
      <c r="A55" s="225"/>
      <c r="B55" s="188" t="s">
        <v>60</v>
      </c>
      <c r="C55" s="69"/>
      <c r="D55" s="297"/>
      <c r="E55" s="82">
        <f>E54/8</f>
        <v>5752.7408444816056</v>
      </c>
      <c r="F55" s="317">
        <f>F54/8</f>
        <v>5267.1221153846154</v>
      </c>
      <c r="G55" s="319">
        <f>+E55/$C$13</f>
        <v>1.7977315139005017</v>
      </c>
      <c r="H55" s="225"/>
    </row>
    <row r="56" spans="1:10" s="249" customFormat="1" ht="11.25" customHeight="1" x14ac:dyDescent="0.3">
      <c r="A56" s="225"/>
      <c r="B56" s="238"/>
      <c r="C56" s="282"/>
      <c r="D56" s="283"/>
      <c r="E56" s="281"/>
      <c r="F56" s="234"/>
      <c r="G56" s="208"/>
      <c r="H56" s="225"/>
    </row>
    <row r="57" spans="1:10" s="249" customFormat="1" ht="11.25" customHeight="1" thickBot="1" x14ac:dyDescent="0.35">
      <c r="A57" s="225"/>
      <c r="B57" s="238"/>
      <c r="C57" s="282"/>
      <c r="D57" s="283"/>
      <c r="E57" s="281"/>
      <c r="F57" s="234"/>
      <c r="G57" s="208"/>
      <c r="H57" s="225"/>
    </row>
    <row r="58" spans="1:10" s="249" customFormat="1" ht="18.75" customHeight="1" thickBot="1" x14ac:dyDescent="0.35">
      <c r="A58" s="225"/>
      <c r="B58" s="45" t="s">
        <v>61</v>
      </c>
      <c r="C58" s="46"/>
      <c r="D58" s="47" t="s">
        <v>13</v>
      </c>
      <c r="E58" s="48" t="s">
        <v>62</v>
      </c>
      <c r="F58" s="301" t="s">
        <v>63</v>
      </c>
      <c r="G58" s="49" t="s">
        <v>62</v>
      </c>
    </row>
    <row r="59" spans="1:10" s="249" customFormat="1" ht="18.75" customHeight="1" x14ac:dyDescent="0.3">
      <c r="A59" s="225"/>
      <c r="B59" s="50" t="s">
        <v>64</v>
      </c>
      <c r="C59" s="51" t="s">
        <v>112</v>
      </c>
      <c r="D59" s="52"/>
      <c r="E59" s="213">
        <f>(E18/30)/8</f>
        <v>2872.7291666666665</v>
      </c>
      <c r="F59" s="302"/>
      <c r="G59" s="298"/>
      <c r="H59" s="225"/>
      <c r="I59" s="253"/>
    </row>
    <row r="60" spans="1:10" s="249" customFormat="1" ht="18.75" customHeight="1" x14ac:dyDescent="0.3">
      <c r="A60" s="225"/>
      <c r="B60" s="39" t="s">
        <v>66</v>
      </c>
      <c r="C60" s="37" t="s">
        <v>113</v>
      </c>
      <c r="D60" s="54">
        <v>0.35</v>
      </c>
      <c r="E60" s="214">
        <f>$E$59*D60</f>
        <v>1005.4552083333332</v>
      </c>
      <c r="F60" s="303"/>
      <c r="G60" s="190">
        <f t="shared" ref="G60:G68" si="2">E60*F60</f>
        <v>0</v>
      </c>
      <c r="H60" s="225"/>
      <c r="I60" s="284"/>
      <c r="J60" s="264"/>
    </row>
    <row r="61" spans="1:10" s="249" customFormat="1" ht="18.75" customHeight="1" x14ac:dyDescent="0.3">
      <c r="A61" s="225"/>
      <c r="B61" s="39" t="s">
        <v>68</v>
      </c>
      <c r="C61" s="37" t="s">
        <v>69</v>
      </c>
      <c r="D61" s="54">
        <v>0.75</v>
      </c>
      <c r="E61" s="214">
        <f>$E$59*D61</f>
        <v>2154.546875</v>
      </c>
      <c r="F61" s="303"/>
      <c r="G61" s="190">
        <f t="shared" si="2"/>
        <v>0</v>
      </c>
      <c r="H61" s="225"/>
      <c r="I61" s="284"/>
    </row>
    <row r="62" spans="1:10" s="249" customFormat="1" ht="18.75" customHeight="1" x14ac:dyDescent="0.3">
      <c r="A62" s="225"/>
      <c r="B62" s="56" t="s">
        <v>70</v>
      </c>
      <c r="C62" s="57" t="s">
        <v>71</v>
      </c>
      <c r="D62" s="58">
        <v>1.75</v>
      </c>
      <c r="E62" s="214">
        <f>$E$59*D62</f>
        <v>5027.2760416666661</v>
      </c>
      <c r="F62" s="304"/>
      <c r="G62" s="190">
        <f t="shared" si="2"/>
        <v>0</v>
      </c>
      <c r="H62" s="225"/>
      <c r="I62" s="253"/>
    </row>
    <row r="63" spans="1:10" s="249" customFormat="1" ht="18.75" customHeight="1" x14ac:dyDescent="0.3">
      <c r="A63" s="225"/>
      <c r="B63" s="26" t="s">
        <v>72</v>
      </c>
      <c r="C63" s="27" t="s">
        <v>73</v>
      </c>
      <c r="D63" s="222">
        <v>1.1000000000000001</v>
      </c>
      <c r="E63" s="215">
        <f t="shared" ref="E63:E68" si="3">$E$59*D63</f>
        <v>3160.0020833333333</v>
      </c>
      <c r="F63" s="304"/>
      <c r="G63" s="190">
        <f t="shared" si="2"/>
        <v>0</v>
      </c>
      <c r="H63" s="225"/>
      <c r="I63" s="253"/>
    </row>
    <row r="64" spans="1:10" s="249" customFormat="1" ht="18.75" customHeight="1" x14ac:dyDescent="0.3">
      <c r="A64" s="225"/>
      <c r="B64" s="86" t="s">
        <v>74</v>
      </c>
      <c r="C64" s="27" t="s">
        <v>75</v>
      </c>
      <c r="D64" s="223">
        <v>2.1</v>
      </c>
      <c r="E64" s="215">
        <f t="shared" si="3"/>
        <v>6032.7312499999998</v>
      </c>
      <c r="F64" s="304"/>
      <c r="G64" s="190">
        <f t="shared" si="2"/>
        <v>0</v>
      </c>
      <c r="H64" s="225"/>
      <c r="J64" s="253"/>
    </row>
    <row r="65" spans="1:10" s="249" customFormat="1" ht="18.75" customHeight="1" x14ac:dyDescent="0.3">
      <c r="A65" s="225"/>
      <c r="B65" s="59" t="s">
        <v>76</v>
      </c>
      <c r="C65" s="60" t="s">
        <v>77</v>
      </c>
      <c r="D65" s="61">
        <v>1.25</v>
      </c>
      <c r="E65" s="215">
        <f t="shared" si="3"/>
        <v>3590.911458333333</v>
      </c>
      <c r="F65" s="303"/>
      <c r="G65" s="190">
        <f t="shared" si="2"/>
        <v>0</v>
      </c>
      <c r="H65" s="225"/>
      <c r="J65" s="253"/>
    </row>
    <row r="66" spans="1:10" s="249" customFormat="1" ht="18.75" customHeight="1" x14ac:dyDescent="0.3">
      <c r="A66" s="225"/>
      <c r="B66" s="62" t="s">
        <v>78</v>
      </c>
      <c r="C66" s="37" t="s">
        <v>79</v>
      </c>
      <c r="D66" s="54">
        <v>1.75</v>
      </c>
      <c r="E66" s="215">
        <f t="shared" si="3"/>
        <v>5027.2760416666661</v>
      </c>
      <c r="F66" s="305"/>
      <c r="G66" s="190">
        <f t="shared" si="2"/>
        <v>0</v>
      </c>
      <c r="H66" s="225"/>
    </row>
    <row r="67" spans="1:10" s="249" customFormat="1" ht="18.75" customHeight="1" x14ac:dyDescent="0.3">
      <c r="A67" s="225"/>
      <c r="B67" s="62" t="s">
        <v>80</v>
      </c>
      <c r="C67" s="37" t="s">
        <v>81</v>
      </c>
      <c r="D67" s="54">
        <v>2</v>
      </c>
      <c r="E67" s="215">
        <f t="shared" si="3"/>
        <v>5745.458333333333</v>
      </c>
      <c r="F67" s="305"/>
      <c r="G67" s="190">
        <f t="shared" si="2"/>
        <v>0</v>
      </c>
      <c r="H67" s="225"/>
    </row>
    <row r="68" spans="1:10" s="249" customFormat="1" ht="18.75" customHeight="1" thickBot="1" x14ac:dyDescent="0.35">
      <c r="A68" s="225"/>
      <c r="B68" s="63" t="s">
        <v>82</v>
      </c>
      <c r="C68" s="64" t="s">
        <v>83</v>
      </c>
      <c r="D68" s="65">
        <v>2.5</v>
      </c>
      <c r="E68" s="216">
        <f t="shared" si="3"/>
        <v>7181.8229166666661</v>
      </c>
      <c r="F68" s="306"/>
      <c r="G68" s="193">
        <f t="shared" si="2"/>
        <v>0</v>
      </c>
      <c r="H68" s="225"/>
    </row>
    <row r="69" spans="1:10" s="249" customFormat="1" ht="18.75" customHeight="1" thickBot="1" x14ac:dyDescent="0.35">
      <c r="A69" s="225"/>
      <c r="B69" s="95" t="s">
        <v>120</v>
      </c>
      <c r="C69" s="226"/>
      <c r="D69" s="227"/>
      <c r="E69" s="228"/>
      <c r="F69" s="234"/>
      <c r="G69" s="66">
        <f>SUM(G60:G68)</f>
        <v>0</v>
      </c>
      <c r="H69" s="225"/>
    </row>
    <row r="70" spans="1:10" s="249" customFormat="1" ht="13.5" customHeight="1" thickBot="1" x14ac:dyDescent="0.35">
      <c r="A70" s="225"/>
      <c r="B70" s="238"/>
      <c r="C70" s="282"/>
      <c r="D70" s="283"/>
      <c r="E70" s="281"/>
      <c r="F70" s="234"/>
      <c r="G70" s="208"/>
      <c r="H70" s="225"/>
    </row>
    <row r="71" spans="1:10" s="249" customFormat="1" ht="18.75" customHeight="1" thickBot="1" x14ac:dyDescent="0.35">
      <c r="A71" s="225"/>
      <c r="B71" s="113" t="s">
        <v>85</v>
      </c>
      <c r="C71" s="114"/>
      <c r="D71" s="105" t="s">
        <v>13</v>
      </c>
      <c r="E71" s="48" t="s">
        <v>62</v>
      </c>
      <c r="F71" s="234"/>
      <c r="G71" s="208"/>
      <c r="H71" s="225"/>
    </row>
    <row r="72" spans="1:10" s="249" customFormat="1" ht="18.75" customHeight="1" x14ac:dyDescent="0.3">
      <c r="A72" s="225"/>
      <c r="B72" s="74" t="s">
        <v>86</v>
      </c>
      <c r="C72" s="67" t="s">
        <v>87</v>
      </c>
      <c r="D72" s="295"/>
      <c r="E72" s="291"/>
      <c r="F72" s="234"/>
      <c r="G72" s="208"/>
      <c r="H72" s="225"/>
    </row>
    <row r="73" spans="1:10" s="249" customFormat="1" ht="18.75" customHeight="1" x14ac:dyDescent="0.3">
      <c r="A73" s="225"/>
      <c r="B73" s="26" t="s">
        <v>88</v>
      </c>
      <c r="C73" s="27" t="s">
        <v>89</v>
      </c>
      <c r="D73" s="54">
        <v>0.04</v>
      </c>
      <c r="E73" s="217">
        <f>ROUND(IF($E$18+E20+E21+E22&lt;=($C$5*25),ROUND($E$18+E20+E21+E22,-3),ROUND($C$5*25,-3))*D73,-2)</f>
        <v>27600</v>
      </c>
      <c r="F73" s="234"/>
      <c r="G73" s="208"/>
      <c r="H73" s="225"/>
    </row>
    <row r="74" spans="1:10" s="249" customFormat="1" ht="18.75" customHeight="1" x14ac:dyDescent="0.3">
      <c r="A74" s="225"/>
      <c r="B74" s="26" t="s">
        <v>90</v>
      </c>
      <c r="C74" s="37" t="s">
        <v>91</v>
      </c>
      <c r="D74" s="54">
        <v>0.04</v>
      </c>
      <c r="E74" s="217">
        <f>ROUND(IF($E$18+E20+E21+E22&lt;=($C$5*25),ROUND($E$18+E20+E21+E22,-3),ROUND($C$5*25,-3))*D74,-2)</f>
        <v>27600</v>
      </c>
      <c r="F74" s="234"/>
      <c r="G74" s="208"/>
      <c r="H74" s="225"/>
    </row>
    <row r="75" spans="1:10" s="249" customFormat="1" ht="18.75" customHeight="1" x14ac:dyDescent="0.3">
      <c r="A75" s="225"/>
      <c r="B75" s="26" t="s">
        <v>92</v>
      </c>
      <c r="C75" s="37" t="s">
        <v>93</v>
      </c>
      <c r="D75" s="79">
        <f>IF(E18+E20+E21+E22&lt;(C5*4),0,0.01)</f>
        <v>0</v>
      </c>
      <c r="E75" s="29">
        <f>IF(E18+E20+E21+E22&lt;(C5*4),0,(E18+E20+E21+E22)*D75)</f>
        <v>0</v>
      </c>
      <c r="F75" s="234"/>
      <c r="G75" s="208"/>
      <c r="H75" s="225"/>
    </row>
    <row r="76" spans="1:10" s="249" customFormat="1" ht="18.75" customHeight="1" x14ac:dyDescent="0.3">
      <c r="A76" s="225"/>
      <c r="B76" s="26" t="s">
        <v>94</v>
      </c>
      <c r="C76" s="37" t="s">
        <v>95</v>
      </c>
      <c r="D76" s="36">
        <f>IF(E18+E20+E21+E22&lt;C81,D81,IF(E18+E20+E21+E22&lt;C82,D82,IF(E18+E20+E21+E22&lt;C83,D83,IF(E18+E20+E21+E22&lt;C84,D84,IF(E18+E20+E21+E22&lt;C85,D85,D86)))))</f>
        <v>0</v>
      </c>
      <c r="E76" s="195">
        <f>(E18+E20+E21+E22)*D76</f>
        <v>0</v>
      </c>
      <c r="F76" s="234"/>
      <c r="G76" s="208"/>
      <c r="H76" s="225"/>
    </row>
    <row r="77" spans="1:10" s="249" customFormat="1" ht="18.75" customHeight="1" thickBot="1" x14ac:dyDescent="0.35">
      <c r="A77" s="225"/>
      <c r="B77" s="94" t="s">
        <v>96</v>
      </c>
      <c r="C77" s="69"/>
      <c r="D77" s="196"/>
      <c r="E77" s="70">
        <f>SUM(E72:E76)</f>
        <v>55200</v>
      </c>
      <c r="F77" s="234"/>
      <c r="G77" s="208"/>
      <c r="H77" s="225"/>
    </row>
    <row r="78" spans="1:10" s="249" customFormat="1" ht="13.5" customHeight="1" x14ac:dyDescent="0.3">
      <c r="A78" s="225"/>
      <c r="B78" s="238"/>
      <c r="C78" s="282"/>
      <c r="D78" s="283"/>
      <c r="E78" s="281"/>
      <c r="F78" s="234"/>
      <c r="G78" s="208"/>
      <c r="H78" s="225"/>
    </row>
    <row r="79" spans="1:10" ht="13.5" customHeight="1" thickBot="1" x14ac:dyDescent="0.35">
      <c r="B79" s="238"/>
      <c r="C79" s="282"/>
      <c r="D79" s="285"/>
      <c r="E79" s="281"/>
    </row>
    <row r="80" spans="1:10" ht="16.2" thickBot="1" x14ac:dyDescent="0.35">
      <c r="B80" s="71" t="s">
        <v>97</v>
      </c>
      <c r="C80" s="72"/>
      <c r="D80" s="19"/>
      <c r="E80" s="73"/>
    </row>
    <row r="81" spans="2:256" ht="15.6" x14ac:dyDescent="0.3">
      <c r="B81" s="74" t="s">
        <v>98</v>
      </c>
      <c r="C81" s="218">
        <f>$C$5*16</f>
        <v>11031280</v>
      </c>
      <c r="D81" s="75">
        <v>0</v>
      </c>
      <c r="E81" s="76"/>
    </row>
    <row r="82" spans="2:256" ht="15.6" x14ac:dyDescent="0.3">
      <c r="B82" s="39" t="s">
        <v>99</v>
      </c>
      <c r="C82" s="219">
        <f>$C$5*17</f>
        <v>11720735</v>
      </c>
      <c r="D82" s="77">
        <v>2E-3</v>
      </c>
      <c r="E82" s="78"/>
    </row>
    <row r="83" spans="2:256" ht="15.6" x14ac:dyDescent="0.3">
      <c r="B83" s="39" t="s">
        <v>100</v>
      </c>
      <c r="C83" s="220">
        <f>$C$5*18</f>
        <v>12410190</v>
      </c>
      <c r="D83" s="79">
        <v>4.0000000000000001E-3</v>
      </c>
      <c r="E83" s="29"/>
    </row>
    <row r="84" spans="2:256" ht="15.6" x14ac:dyDescent="0.3">
      <c r="B84" s="39" t="s">
        <v>101</v>
      </c>
      <c r="C84" s="220">
        <f>$C$5*19</f>
        <v>13099645</v>
      </c>
      <c r="D84" s="79">
        <v>6.0000000000000001E-3</v>
      </c>
      <c r="E84" s="29"/>
    </row>
    <row r="85" spans="2:256" ht="15.6" x14ac:dyDescent="0.3">
      <c r="B85" s="39" t="s">
        <v>102</v>
      </c>
      <c r="C85" s="220">
        <f>$C$5*20</f>
        <v>13789100</v>
      </c>
      <c r="D85" s="79">
        <v>8.0000000000000002E-3</v>
      </c>
      <c r="E85" s="29"/>
    </row>
    <row r="86" spans="2:256" ht="16.2" thickBot="1" x14ac:dyDescent="0.35">
      <c r="B86" s="80" t="s">
        <v>103</v>
      </c>
      <c r="C86" s="221">
        <f>+C85</f>
        <v>13789100</v>
      </c>
      <c r="D86" s="81">
        <v>0.01</v>
      </c>
      <c r="E86" s="82"/>
      <c r="IV86" s="225">
        <v>2013</v>
      </c>
    </row>
    <row r="87" spans="2:256" x14ac:dyDescent="0.25">
      <c r="B87" s="245"/>
      <c r="C87" s="287"/>
      <c r="D87" s="288"/>
      <c r="E87" s="149" t="str">
        <f>+B69</f>
        <v>V1.0 4 enero 2016</v>
      </c>
    </row>
    <row r="88" spans="2:256" ht="14.4" x14ac:dyDescent="0.3">
      <c r="D88" s="289"/>
      <c r="E88" s="290"/>
    </row>
    <row r="89" spans="2:256" ht="15.6" x14ac:dyDescent="0.3">
      <c r="C89" s="286"/>
    </row>
    <row r="90" spans="2:256" ht="15.6" x14ac:dyDescent="0.3">
      <c r="C90" s="286"/>
    </row>
    <row r="91" spans="2:256" ht="15.6" x14ac:dyDescent="0.3">
      <c r="C91" s="286"/>
    </row>
    <row r="92" spans="2:256" ht="15.6" x14ac:dyDescent="0.3">
      <c r="C92" s="286"/>
    </row>
    <row r="93" spans="2:256" ht="15.6" x14ac:dyDescent="0.3">
      <c r="C93" s="286"/>
    </row>
    <row r="94" spans="2:256" ht="15.6" x14ac:dyDescent="0.3">
      <c r="C94" s="286"/>
    </row>
    <row r="95" spans="2:256" ht="15.6" x14ac:dyDescent="0.3">
      <c r="C95" s="286"/>
    </row>
    <row r="96" spans="2:256" ht="15.6" x14ac:dyDescent="0.3">
      <c r="C96" s="286"/>
    </row>
    <row r="97" spans="3:3" ht="15.6" x14ac:dyDescent="0.3">
      <c r="C97" s="286"/>
    </row>
    <row r="98" spans="3:3" ht="15.6" x14ac:dyDescent="0.3">
      <c r="C98" s="286"/>
    </row>
    <row r="99" spans="3:3" ht="15.6" x14ac:dyDescent="0.3">
      <c r="C99" s="286"/>
    </row>
    <row r="65536" spans="256:256" x14ac:dyDescent="0.25">
      <c r="IV65536" s="322">
        <v>2016</v>
      </c>
    </row>
  </sheetData>
  <sheetProtection password="CC03" sheet="1"/>
  <protectedRanges>
    <protectedRange sqref="E20:F22" name="Rango5"/>
    <protectedRange sqref="C10:C12" name="Rango4"/>
    <protectedRange sqref="F60:F68" name="Rango2"/>
    <protectedRange sqref="E72" name="Rango3"/>
    <protectedRange sqref="C13" name="Rango4_1"/>
  </protectedRanges>
  <customSheetViews>
    <customSheetView guid="{005D785A-2C1A-7642-8E14-813F8ABC12DD}" scale="77" fitToPage="1" topLeftCell="A4">
      <selection activeCell="A4" sqref="A1:IV65536"/>
      <pageMargins left="0" right="0" top="0" bottom="0" header="0" footer="0"/>
      <pageSetup scale="10" fitToHeight="0" orientation="portrait" r:id="rId1"/>
    </customSheetView>
  </customSheetViews>
  <dataValidations disablePrompts="1" count="2">
    <dataValidation type="list" allowBlank="1" showInputMessage="1" showErrorMessage="1" sqref="D13" xr:uid="{00000000-0002-0000-0300-000000000000}">
      <formula1>$IV$13:$IV$16</formula1>
    </dataValidation>
    <dataValidation type="list" allowBlank="1" showInputMessage="1" showErrorMessage="1" sqref="C11" xr:uid="{00000000-0002-0000-0300-000001000000}">
      <formula1>$IV$6:$IV$10</formula1>
    </dataValidation>
  </dataValidations>
  <pageMargins left="0.70866141732283472" right="0.70866141732283472" top="0" bottom="0.74803149606299213" header="0.31496062992125984" footer="0.31496062992125984"/>
  <pageSetup scale="10" fitToHeight="0"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pageSetUpPr fitToPage="1"/>
  </sheetPr>
  <dimension ref="A1:IV65536"/>
  <sheetViews>
    <sheetView topLeftCell="A2" workbookViewId="0">
      <selection activeCell="J26" sqref="J26"/>
    </sheetView>
  </sheetViews>
  <sheetFormatPr baseColWidth="10" defaultColWidth="11.44140625" defaultRowHeight="13.2" x14ac:dyDescent="0.25"/>
  <cols>
    <col min="1" max="1" width="3.33203125" style="225" customWidth="1"/>
    <col min="2" max="2" width="45.33203125" style="225" customWidth="1"/>
    <col min="3" max="3" width="58.88671875" style="226" customWidth="1"/>
    <col min="4" max="4" width="11" style="227" customWidth="1"/>
    <col min="5" max="5" width="17.33203125" style="228" customWidth="1"/>
    <col min="6" max="6" width="17.44140625" style="234" customWidth="1"/>
    <col min="7" max="7" width="13.88671875" style="208" customWidth="1"/>
    <col min="8" max="8" width="7.6640625" style="225" customWidth="1"/>
    <col min="9" max="9" width="13.33203125" style="225" bestFit="1" customWidth="1"/>
    <col min="10" max="10" width="12" style="225" bestFit="1" customWidth="1"/>
    <col min="11" max="16384" width="11.44140625" style="225"/>
  </cols>
  <sheetData>
    <row r="1" spans="2:256" ht="11.25" customHeight="1" x14ac:dyDescent="0.25"/>
    <row r="2" spans="2:256" ht="18" customHeight="1" x14ac:dyDescent="0.3">
      <c r="B2" s="87" t="s">
        <v>0</v>
      </c>
      <c r="C2" s="229"/>
      <c r="D2" s="230"/>
      <c r="E2" s="231"/>
    </row>
    <row r="3" spans="2:256" ht="14.25" customHeight="1" thickBot="1" x14ac:dyDescent="0.3"/>
    <row r="4" spans="2:256" ht="18.75" customHeight="1" thickBot="1" x14ac:dyDescent="0.4">
      <c r="B4" s="146" t="s">
        <v>121</v>
      </c>
      <c r="C4" s="232"/>
      <c r="E4" s="233"/>
    </row>
    <row r="5" spans="2:256" ht="18.75" customHeight="1" x14ac:dyDescent="0.3">
      <c r="B5" s="6" t="s">
        <v>2</v>
      </c>
      <c r="C5" s="76">
        <v>644350</v>
      </c>
      <c r="E5" s="233"/>
      <c r="F5" s="340"/>
      <c r="G5" s="209"/>
      <c r="I5" s="299"/>
    </row>
    <row r="6" spans="2:256" ht="18.75" customHeight="1" thickBot="1" x14ac:dyDescent="0.35">
      <c r="B6" s="159" t="s">
        <v>3</v>
      </c>
      <c r="C6" s="82">
        <v>74000</v>
      </c>
      <c r="E6" s="233"/>
      <c r="F6" s="233"/>
      <c r="G6" s="209"/>
      <c r="I6" s="235"/>
      <c r="J6" s="236"/>
      <c r="IV6" s="237">
        <v>5.2199999999999998E-3</v>
      </c>
    </row>
    <row r="7" spans="2:256" ht="13.5" customHeight="1" x14ac:dyDescent="0.3">
      <c r="B7" s="238"/>
      <c r="C7" s="239"/>
      <c r="G7" s="209"/>
      <c r="IV7" s="237">
        <v>1.044E-2</v>
      </c>
    </row>
    <row r="8" spans="2:256" ht="12.75" customHeight="1" x14ac:dyDescent="0.25">
      <c r="B8" s="238"/>
      <c r="C8" s="238"/>
      <c r="G8" s="209"/>
      <c r="IV8" s="237">
        <v>2.436E-2</v>
      </c>
    </row>
    <row r="9" spans="2:256" ht="12" customHeight="1" thickBot="1" x14ac:dyDescent="0.3">
      <c r="B9" s="9" t="s">
        <v>4</v>
      </c>
      <c r="C9" s="240" t="s">
        <v>5</v>
      </c>
      <c r="D9" s="241"/>
      <c r="E9" s="242"/>
      <c r="IV9" s="237">
        <v>4.3499999999999997E-2</v>
      </c>
    </row>
    <row r="10" spans="2:256" ht="18.75" customHeight="1" x14ac:dyDescent="0.3">
      <c r="B10" s="11" t="s">
        <v>6</v>
      </c>
      <c r="C10" s="291">
        <v>644350</v>
      </c>
      <c r="D10" s="243"/>
      <c r="E10" s="244"/>
      <c r="G10" s="311"/>
      <c r="H10" s="245"/>
      <c r="IV10" s="237">
        <v>6.9599999999999995E-2</v>
      </c>
    </row>
    <row r="11" spans="2:256" ht="18.75" customHeight="1" x14ac:dyDescent="0.3">
      <c r="B11" s="13" t="s">
        <v>7</v>
      </c>
      <c r="C11" s="292">
        <v>5.2199999999999998E-3</v>
      </c>
      <c r="D11" s="241"/>
      <c r="E11" s="244"/>
      <c r="G11" s="312"/>
      <c r="H11" s="245"/>
    </row>
    <row r="12" spans="2:256" ht="18.75" customHeight="1" thickBot="1" x14ac:dyDescent="0.35">
      <c r="B12" s="15" t="s">
        <v>8</v>
      </c>
      <c r="C12" s="246"/>
      <c r="D12" s="241"/>
      <c r="E12" s="242"/>
      <c r="G12" s="313"/>
      <c r="H12" s="245"/>
      <c r="IR12" s="248"/>
      <c r="IV12" s="249"/>
    </row>
    <row r="13" spans="2:256" s="1" customFormat="1" ht="18.75" customHeight="1" thickBot="1" x14ac:dyDescent="0.35">
      <c r="B13" s="15" t="s">
        <v>9</v>
      </c>
      <c r="C13" s="112">
        <v>2400</v>
      </c>
      <c r="D13" s="111" t="s">
        <v>10</v>
      </c>
      <c r="E13" s="10"/>
      <c r="F13" s="106"/>
      <c r="G13" s="17"/>
      <c r="H13" s="12"/>
      <c r="IR13" s="16"/>
      <c r="IV13" s="18" t="s">
        <v>10</v>
      </c>
    </row>
    <row r="14" spans="2:256" ht="10.5" customHeight="1" thickBot="1" x14ac:dyDescent="0.35">
      <c r="B14" s="250"/>
      <c r="C14" s="251"/>
      <c r="D14" s="252"/>
      <c r="F14" s="308"/>
      <c r="G14" s="312"/>
      <c r="H14" s="245"/>
      <c r="IR14" s="248"/>
    </row>
    <row r="15" spans="2:256" s="249" customFormat="1" ht="33.6" customHeight="1" x14ac:dyDescent="0.3">
      <c r="B15" s="96" t="s">
        <v>11</v>
      </c>
      <c r="C15" s="97" t="s">
        <v>12</v>
      </c>
      <c r="D15" s="98" t="s">
        <v>13</v>
      </c>
      <c r="E15" s="307" t="s">
        <v>14</v>
      </c>
      <c r="F15" s="309" t="s">
        <v>116</v>
      </c>
      <c r="G15" s="314" t="s">
        <v>16</v>
      </c>
      <c r="H15" s="245"/>
      <c r="IR15" s="253"/>
    </row>
    <row r="16" spans="2:256" s="249" customFormat="1" ht="9" customHeight="1" x14ac:dyDescent="0.3">
      <c r="B16" s="254"/>
      <c r="C16" s="239"/>
      <c r="D16" s="239"/>
      <c r="E16" s="255"/>
      <c r="F16" s="255"/>
      <c r="G16" s="107"/>
      <c r="IR16" s="253"/>
    </row>
    <row r="17" spans="2:252" s="249" customFormat="1" ht="18.75" customHeight="1" x14ac:dyDescent="0.3">
      <c r="B17" s="256" t="s">
        <v>17</v>
      </c>
      <c r="C17" s="257"/>
      <c r="D17" s="258"/>
      <c r="E17" s="259"/>
      <c r="F17" s="259"/>
      <c r="G17" s="108"/>
      <c r="IR17" s="253"/>
    </row>
    <row r="18" spans="2:252" s="249" customFormat="1" ht="18.75" customHeight="1" x14ac:dyDescent="0.3">
      <c r="B18" s="26" t="s">
        <v>18</v>
      </c>
      <c r="C18" s="27" t="s">
        <v>19</v>
      </c>
      <c r="D18" s="28"/>
      <c r="E18" s="29">
        <f>IF(C10&lt;C5,FALSE,C10)</f>
        <v>644350</v>
      </c>
      <c r="F18" s="29">
        <f>+E18</f>
        <v>644350</v>
      </c>
      <c r="G18" s="103">
        <f t="shared" ref="G18:G23" si="0">+E18/$C$13</f>
        <v>268.47916666666669</v>
      </c>
      <c r="IR18" s="253"/>
    </row>
    <row r="19" spans="2:252" s="249" customFormat="1" ht="18.75" customHeight="1" x14ac:dyDescent="0.3">
      <c r="B19" s="26" t="s">
        <v>20</v>
      </c>
      <c r="C19" s="27" t="s">
        <v>122</v>
      </c>
      <c r="D19" s="28"/>
      <c r="E19" s="29">
        <f>IF(E18+E20+E21+E22&lt;=(C5*2),C6,0)</f>
        <v>74000</v>
      </c>
      <c r="F19" s="29">
        <f>+E19</f>
        <v>74000</v>
      </c>
      <c r="G19" s="103">
        <f t="shared" si="0"/>
        <v>30.833333333333332</v>
      </c>
    </row>
    <row r="20" spans="2:252" s="249" customFormat="1" ht="18.75" customHeight="1" x14ac:dyDescent="0.3">
      <c r="B20" s="26" t="s">
        <v>22</v>
      </c>
      <c r="C20" s="27" t="s">
        <v>23</v>
      </c>
      <c r="D20" s="262"/>
      <c r="E20" s="339">
        <f>+G60+G63</f>
        <v>0</v>
      </c>
      <c r="F20" s="42">
        <f>+E20</f>
        <v>0</v>
      </c>
      <c r="G20" s="103">
        <f t="shared" si="0"/>
        <v>0</v>
      </c>
      <c r="J20" s="264"/>
    </row>
    <row r="21" spans="2:252" s="249" customFormat="1" ht="18.75" customHeight="1" x14ac:dyDescent="0.3">
      <c r="B21" s="26" t="s">
        <v>118</v>
      </c>
      <c r="C21" s="27" t="s">
        <v>25</v>
      </c>
      <c r="D21" s="262"/>
      <c r="E21" s="339">
        <f>+G61+G62+G64</f>
        <v>0</v>
      </c>
      <c r="F21" s="42">
        <f>+E21</f>
        <v>0</v>
      </c>
      <c r="G21" s="103">
        <f t="shared" si="0"/>
        <v>0</v>
      </c>
    </row>
    <row r="22" spans="2:252" s="249" customFormat="1" ht="18.75" customHeight="1" x14ac:dyDescent="0.3">
      <c r="B22" s="26" t="s">
        <v>26</v>
      </c>
      <c r="C22" s="27" t="s">
        <v>110</v>
      </c>
      <c r="D22" s="262"/>
      <c r="E22" s="339">
        <f>+G65+G66+G67+G68</f>
        <v>0</v>
      </c>
      <c r="F22" s="42">
        <f>+E22</f>
        <v>0</v>
      </c>
      <c r="G22" s="103">
        <f t="shared" si="0"/>
        <v>0</v>
      </c>
    </row>
    <row r="23" spans="2:252" s="249" customFormat="1" ht="18.75" customHeight="1" x14ac:dyDescent="0.3">
      <c r="B23" s="148" t="s">
        <v>28</v>
      </c>
      <c r="C23" s="265"/>
      <c r="D23" s="266"/>
      <c r="E23" s="30">
        <f>SUM(E18:E22)</f>
        <v>718350</v>
      </c>
      <c r="F23" s="30">
        <f>SUM(F18:F22)</f>
        <v>718350</v>
      </c>
      <c r="G23" s="104">
        <f t="shared" si="0"/>
        <v>299.3125</v>
      </c>
    </row>
    <row r="24" spans="2:252" s="249" customFormat="1" ht="18.75" customHeight="1" x14ac:dyDescent="0.3">
      <c r="B24" s="267"/>
      <c r="C24" s="268"/>
      <c r="D24" s="269"/>
      <c r="E24" s="263"/>
      <c r="F24" s="263"/>
      <c r="G24" s="108"/>
    </row>
    <row r="25" spans="2:252" s="249" customFormat="1" ht="18.75" customHeight="1" x14ac:dyDescent="0.3">
      <c r="B25" s="270" t="s">
        <v>29</v>
      </c>
      <c r="C25" s="257"/>
      <c r="D25" s="258"/>
      <c r="E25" s="263"/>
      <c r="F25" s="263"/>
      <c r="G25" s="108"/>
    </row>
    <row r="26" spans="2:252" s="249" customFormat="1" ht="18.75" customHeight="1" x14ac:dyDescent="0.3">
      <c r="B26" s="26" t="s">
        <v>30</v>
      </c>
      <c r="C26" s="27" t="s">
        <v>31</v>
      </c>
      <c r="D26" s="35">
        <v>8.3333333333333343E-2</v>
      </c>
      <c r="E26" s="29">
        <f>E23*D26</f>
        <v>59862.500000000007</v>
      </c>
      <c r="F26" s="29">
        <f>+E26</f>
        <v>59862.500000000007</v>
      </c>
      <c r="G26" s="103">
        <f>+E26/$C$13</f>
        <v>24.942708333333336</v>
      </c>
    </row>
    <row r="27" spans="2:252" s="249" customFormat="1" ht="18.75" customHeight="1" x14ac:dyDescent="0.3">
      <c r="B27" s="26" t="s">
        <v>32</v>
      </c>
      <c r="C27" s="27" t="s">
        <v>33</v>
      </c>
      <c r="D27" s="36">
        <v>0.12</v>
      </c>
      <c r="E27" s="29">
        <f>+E26*D27</f>
        <v>7183.5000000000009</v>
      </c>
      <c r="F27" s="29">
        <f>+E27</f>
        <v>7183.5000000000009</v>
      </c>
      <c r="G27" s="103">
        <f>+E27/$C$13</f>
        <v>2.9931250000000005</v>
      </c>
    </row>
    <row r="28" spans="2:252" s="249" customFormat="1" ht="18.75" customHeight="1" x14ac:dyDescent="0.3">
      <c r="B28" s="26" t="s">
        <v>34</v>
      </c>
      <c r="C28" s="27" t="s">
        <v>31</v>
      </c>
      <c r="D28" s="35">
        <v>8.3333333333333343E-2</v>
      </c>
      <c r="E28" s="29">
        <f>E23*D28</f>
        <v>59862.500000000007</v>
      </c>
      <c r="F28" s="29">
        <f>+E28</f>
        <v>59862.500000000007</v>
      </c>
      <c r="G28" s="103">
        <f>+E28/$C$13</f>
        <v>24.942708333333336</v>
      </c>
    </row>
    <row r="29" spans="2:252" s="249" customFormat="1" ht="18.75" customHeight="1" x14ac:dyDescent="0.3">
      <c r="B29" s="26" t="s">
        <v>35</v>
      </c>
      <c r="C29" s="37" t="s">
        <v>36</v>
      </c>
      <c r="D29" s="35">
        <v>4.1666666666666664E-2</v>
      </c>
      <c r="E29" s="29">
        <f>(E18+E20)*D29</f>
        <v>26847.916666666664</v>
      </c>
      <c r="F29" s="29">
        <f>+E29</f>
        <v>26847.916666666664</v>
      </c>
      <c r="G29" s="103">
        <f>+E29/$C$13</f>
        <v>11.186631944444443</v>
      </c>
    </row>
    <row r="30" spans="2:252" s="249" customFormat="1" ht="18.75" customHeight="1" x14ac:dyDescent="0.3">
      <c r="B30" s="177" t="s">
        <v>37</v>
      </c>
      <c r="C30" s="38"/>
      <c r="D30" s="33"/>
      <c r="E30" s="30">
        <f>SUM(E26:E29)</f>
        <v>153756.41666666669</v>
      </c>
      <c r="F30" s="30">
        <f>SUM(F26:F29)</f>
        <v>153756.41666666669</v>
      </c>
      <c r="G30" s="104">
        <f>+E30/$C$13</f>
        <v>64.065173611111121</v>
      </c>
    </row>
    <row r="31" spans="2:252" s="249" customFormat="1" ht="18.75" customHeight="1" x14ac:dyDescent="0.3">
      <c r="B31" s="260"/>
      <c r="C31" s="261"/>
      <c r="D31" s="262"/>
      <c r="E31" s="259"/>
      <c r="F31" s="259"/>
      <c r="G31" s="108"/>
      <c r="H31" s="238"/>
    </row>
    <row r="32" spans="2:252" s="249" customFormat="1" ht="18.75" customHeight="1" x14ac:dyDescent="0.3">
      <c r="B32" s="256" t="s">
        <v>38</v>
      </c>
      <c r="C32" s="257"/>
      <c r="D32" s="258"/>
      <c r="E32" s="259"/>
      <c r="F32" s="259"/>
      <c r="G32" s="108"/>
      <c r="H32" s="238"/>
    </row>
    <row r="33" spans="2:9" s="249" customFormat="1" ht="18.75" customHeight="1" x14ac:dyDescent="0.3">
      <c r="B33" s="310" t="s">
        <v>39</v>
      </c>
      <c r="C33" s="85">
        <f>ROUND(IF($E$18+E20+E21+E22&lt;=($C$5*25),ROUND($E$18+E20+E21+E22,-3),ROUND($C$5*25,-3))*0.125,-2)</f>
        <v>80500</v>
      </c>
      <c r="D33" s="36">
        <v>8.5000000000000006E-2</v>
      </c>
      <c r="E33" s="29">
        <f>C33-E73</f>
        <v>54700</v>
      </c>
      <c r="F33" s="29">
        <v>0</v>
      </c>
      <c r="G33" s="103">
        <f t="shared" ref="G33:G38" si="1">+E33/$C$13</f>
        <v>22.791666666666668</v>
      </c>
      <c r="H33" s="274"/>
      <c r="I33" s="275"/>
    </row>
    <row r="34" spans="2:9" s="249" customFormat="1" ht="18.75" customHeight="1" x14ac:dyDescent="0.3">
      <c r="B34" s="26" t="s">
        <v>40</v>
      </c>
      <c r="C34" s="85">
        <f>ROUND(IF($E$18+E20+E21+E22&lt;=($C$5*25),ROUND($E$18+E20+E21+E22,-3),ROUND($C$5*25,-3))*0.16,-2)</f>
        <v>103000</v>
      </c>
      <c r="D34" s="36">
        <v>0.12</v>
      </c>
      <c r="E34" s="29">
        <f>C34-E74</f>
        <v>77200</v>
      </c>
      <c r="F34" s="29">
        <f>+E34</f>
        <v>77200</v>
      </c>
      <c r="G34" s="103">
        <f t="shared" si="1"/>
        <v>32.166666666666664</v>
      </c>
      <c r="H34" s="276"/>
    </row>
    <row r="35" spans="2:9" s="249" customFormat="1" ht="18.75" customHeight="1" x14ac:dyDescent="0.3">
      <c r="B35" s="26" t="s">
        <v>119</v>
      </c>
      <c r="C35" s="37" t="s">
        <v>42</v>
      </c>
      <c r="D35" s="28">
        <f>C11</f>
        <v>5.2199999999999998E-3</v>
      </c>
      <c r="E35" s="29">
        <f>ROUND(IF($E$18+E21+E20+E22&lt;=($C$5*20),ROUND($E$18+E20+E21+E22,-3),ROUND($C$5*20,-3))*D35,-2)</f>
        <v>3400</v>
      </c>
      <c r="F35" s="29">
        <f>+E35</f>
        <v>3400</v>
      </c>
      <c r="G35" s="103">
        <f t="shared" si="1"/>
        <v>1.4166666666666667</v>
      </c>
      <c r="H35" s="238"/>
    </row>
    <row r="36" spans="2:9" s="249" customFormat="1" ht="18.75" customHeight="1" x14ac:dyDescent="0.3">
      <c r="B36" s="26" t="s">
        <v>43</v>
      </c>
      <c r="C36" s="271"/>
      <c r="D36" s="36">
        <v>8.5000000000000006E-2</v>
      </c>
      <c r="E36" s="29">
        <f>ROUND(IF($E$29&lt;=($C$5*25),ROUND($E$29,-3),ROUND($C$5*25,-3))*D36,-2)</f>
        <v>2300</v>
      </c>
      <c r="F36" s="29">
        <v>0</v>
      </c>
      <c r="G36" s="103">
        <f t="shared" si="1"/>
        <v>0.95833333333333337</v>
      </c>
    </row>
    <row r="37" spans="2:9" s="249" customFormat="1" ht="18.75" customHeight="1" x14ac:dyDescent="0.3">
      <c r="B37" s="26" t="s">
        <v>44</v>
      </c>
      <c r="C37" s="271"/>
      <c r="D37" s="36">
        <v>0.12</v>
      </c>
      <c r="E37" s="29">
        <f>ROUND(IF($E$29&lt;=($C$5*25),ROUND($E$29,-3),ROUND($C$5*25,-3))*D37,-2)</f>
        <v>3200</v>
      </c>
      <c r="F37" s="29">
        <f>+E37</f>
        <v>3200</v>
      </c>
      <c r="G37" s="103">
        <f t="shared" si="1"/>
        <v>1.3333333333333333</v>
      </c>
    </row>
    <row r="38" spans="2:9" s="249" customFormat="1" ht="18.75" customHeight="1" x14ac:dyDescent="0.3">
      <c r="B38" s="177" t="s">
        <v>45</v>
      </c>
      <c r="C38" s="272"/>
      <c r="D38" s="269"/>
      <c r="E38" s="30">
        <f>SUM(E33:E37)</f>
        <v>140800</v>
      </c>
      <c r="F38" s="30">
        <f>SUM(F33:F37)</f>
        <v>83800</v>
      </c>
      <c r="G38" s="104">
        <f t="shared" si="1"/>
        <v>58.666666666666664</v>
      </c>
    </row>
    <row r="39" spans="2:9" s="249" customFormat="1" ht="18.75" customHeight="1" x14ac:dyDescent="0.3">
      <c r="B39" s="260"/>
      <c r="C39" s="261"/>
      <c r="D39" s="262"/>
      <c r="E39" s="259"/>
      <c r="F39" s="259"/>
      <c r="G39" s="108"/>
    </row>
    <row r="40" spans="2:9" s="249" customFormat="1" ht="18.75" customHeight="1" x14ac:dyDescent="0.3">
      <c r="B40" s="256" t="s">
        <v>46</v>
      </c>
      <c r="C40" s="257"/>
      <c r="D40" s="258"/>
      <c r="E40" s="259"/>
      <c r="F40" s="259"/>
      <c r="G40" s="108"/>
    </row>
    <row r="41" spans="2:9" s="249" customFormat="1" ht="18.75" customHeight="1" x14ac:dyDescent="0.3">
      <c r="B41" s="26" t="s">
        <v>47</v>
      </c>
      <c r="C41" s="37" t="s">
        <v>48</v>
      </c>
      <c r="D41" s="36">
        <v>0.09</v>
      </c>
      <c r="E41" s="29">
        <f>ROUND(ROUND(E18+E20+E21+E22,-3)*D41,-2)</f>
        <v>58000</v>
      </c>
      <c r="F41" s="29">
        <f>ROUND(ROUND(F18+F20+F21+F22,-3)*0.04,-2)</f>
        <v>25800</v>
      </c>
      <c r="G41" s="103">
        <f>+E41/$C$13</f>
        <v>24.166666666666668</v>
      </c>
    </row>
    <row r="42" spans="2:9" s="249" customFormat="1" ht="18.75" customHeight="1" x14ac:dyDescent="0.3">
      <c r="B42" s="26" t="s">
        <v>49</v>
      </c>
      <c r="C42" s="37"/>
      <c r="D42" s="36">
        <v>0.09</v>
      </c>
      <c r="E42" s="29">
        <f>ROUND(ROUND(E29,-3)*D42,-2)</f>
        <v>2400</v>
      </c>
      <c r="F42" s="29">
        <f>ROUND(ROUND(F29,-3)*0.04,-2)</f>
        <v>1100</v>
      </c>
      <c r="G42" s="103">
        <f>+E42/$C$13</f>
        <v>1</v>
      </c>
    </row>
    <row r="43" spans="2:9" s="249" customFormat="1" ht="18.75" customHeight="1" x14ac:dyDescent="0.3">
      <c r="B43" s="177" t="s">
        <v>50</v>
      </c>
      <c r="C43" s="38"/>
      <c r="D43" s="33"/>
      <c r="E43" s="30">
        <f>SUM(E41:E42)</f>
        <v>60400</v>
      </c>
      <c r="F43" s="30">
        <f>SUM(F41:F42)</f>
        <v>26900</v>
      </c>
      <c r="G43" s="104">
        <f>+E43/$C$13</f>
        <v>25.166666666666668</v>
      </c>
    </row>
    <row r="44" spans="2:9" s="249" customFormat="1" ht="18.75" customHeight="1" x14ac:dyDescent="0.3">
      <c r="B44" s="273"/>
      <c r="C44" s="271"/>
      <c r="D44" s="262"/>
      <c r="E44" s="259"/>
      <c r="F44" s="259"/>
      <c r="G44" s="108"/>
    </row>
    <row r="45" spans="2:9" s="249" customFormat="1" ht="18.75" customHeight="1" x14ac:dyDescent="0.3">
      <c r="B45" s="256" t="s">
        <v>51</v>
      </c>
      <c r="C45" s="257"/>
      <c r="D45" s="258"/>
      <c r="E45" s="259"/>
      <c r="F45" s="259"/>
      <c r="G45" s="108"/>
    </row>
    <row r="46" spans="2:9" s="249" customFormat="1" ht="18.75" customHeight="1" x14ac:dyDescent="0.3">
      <c r="B46" s="39" t="s">
        <v>53</v>
      </c>
      <c r="C46" s="37" t="s">
        <v>54</v>
      </c>
      <c r="D46" s="293"/>
      <c r="E46" s="29">
        <f>IF(E18+E20+E21+E22&lt;=C5*2,(C12*3)/12,0)</f>
        <v>0</v>
      </c>
      <c r="F46" s="29">
        <f>+E46</f>
        <v>0</v>
      </c>
      <c r="G46" s="104">
        <f>+E46/$C$13</f>
        <v>0</v>
      </c>
    </row>
    <row r="47" spans="2:9" s="249" customFormat="1" ht="18.75" customHeight="1" x14ac:dyDescent="0.3">
      <c r="B47" s="260"/>
      <c r="C47" s="261"/>
      <c r="D47" s="262"/>
      <c r="E47" s="277"/>
      <c r="F47" s="277"/>
      <c r="G47" s="108"/>
    </row>
    <row r="48" spans="2:9" s="249" customFormat="1" ht="18.75" customHeight="1" x14ac:dyDescent="0.3">
      <c r="B48" s="31" t="s">
        <v>55</v>
      </c>
      <c r="C48" s="32"/>
      <c r="D48" s="33"/>
      <c r="E48" s="30">
        <f>E23+E30+E38+E43+E46</f>
        <v>1073306.4166666667</v>
      </c>
      <c r="F48" s="30">
        <f>F23+F30+F38+F43+F46</f>
        <v>982806.41666666674</v>
      </c>
      <c r="G48" s="104">
        <f>+E48/$C$13</f>
        <v>447.21100694444448</v>
      </c>
      <c r="I48" s="275"/>
    </row>
    <row r="49" spans="1:10" s="249" customFormat="1" ht="18.75" customHeight="1" thickBot="1" x14ac:dyDescent="0.35">
      <c r="B49" s="80" t="s">
        <v>56</v>
      </c>
      <c r="C49" s="43"/>
      <c r="D49" s="44"/>
      <c r="E49" s="93">
        <f>+(E48/(E23-E19))-1</f>
        <v>0.66571958821551447</v>
      </c>
      <c r="F49" s="93">
        <f>+(F48/(F23-F19))-1</f>
        <v>0.52526797030599326</v>
      </c>
      <c r="G49" s="109"/>
    </row>
    <row r="50" spans="1:10" s="249" customFormat="1" ht="13.5" customHeight="1" x14ac:dyDescent="0.3">
      <c r="B50" s="278"/>
      <c r="C50" s="279"/>
      <c r="D50" s="280"/>
      <c r="E50" s="281"/>
      <c r="F50" s="300"/>
      <c r="G50" s="110"/>
    </row>
    <row r="51" spans="1:10" s="249" customFormat="1" ht="13.5" customHeight="1" thickBot="1" x14ac:dyDescent="0.35">
      <c r="B51" s="278"/>
      <c r="C51" s="279"/>
      <c r="D51" s="280"/>
      <c r="E51" s="281"/>
      <c r="F51" s="300"/>
      <c r="G51" s="110"/>
    </row>
    <row r="52" spans="1:10" s="249" customFormat="1" ht="18.75" customHeight="1" x14ac:dyDescent="0.3">
      <c r="A52" s="225"/>
      <c r="B52" s="74" t="s">
        <v>57</v>
      </c>
      <c r="C52" s="294"/>
      <c r="D52" s="295"/>
      <c r="E52" s="187">
        <f>E48*12</f>
        <v>12879677</v>
      </c>
      <c r="F52" s="315">
        <f>F48*12</f>
        <v>11793677</v>
      </c>
      <c r="G52" s="321">
        <f>+E52/$C$13</f>
        <v>5366.5320833333335</v>
      </c>
      <c r="H52" s="225"/>
    </row>
    <row r="53" spans="1:10" s="249" customFormat="1" ht="18.75" customHeight="1" x14ac:dyDescent="0.3">
      <c r="A53" s="225"/>
      <c r="B53" s="26" t="s">
        <v>123</v>
      </c>
      <c r="C53" s="27"/>
      <c r="D53" s="296"/>
      <c r="E53" s="29">
        <v>298</v>
      </c>
      <c r="F53" s="316">
        <v>298</v>
      </c>
      <c r="G53" s="320">
        <v>298</v>
      </c>
      <c r="H53" s="225"/>
    </row>
    <row r="54" spans="1:10" s="249" customFormat="1" ht="18.75" customHeight="1" x14ac:dyDescent="0.3">
      <c r="A54" s="225"/>
      <c r="B54" s="26" t="s">
        <v>59</v>
      </c>
      <c r="C54" s="27"/>
      <c r="D54" s="296"/>
      <c r="E54" s="29">
        <f>E52/E53</f>
        <v>43220.392617449666</v>
      </c>
      <c r="F54" s="316">
        <f>F52/F53</f>
        <v>39576.097315436244</v>
      </c>
      <c r="G54" s="318">
        <f>+E54/$C$13</f>
        <v>18.008496923937361</v>
      </c>
      <c r="H54" s="225"/>
    </row>
    <row r="55" spans="1:10" s="249" customFormat="1" ht="18.75" customHeight="1" thickBot="1" x14ac:dyDescent="0.35">
      <c r="A55" s="225"/>
      <c r="B55" s="188" t="s">
        <v>60</v>
      </c>
      <c r="C55" s="69"/>
      <c r="D55" s="297"/>
      <c r="E55" s="82">
        <f>E54/8</f>
        <v>5402.5490771812083</v>
      </c>
      <c r="F55" s="317">
        <f>F54/8</f>
        <v>4947.0121644295305</v>
      </c>
      <c r="G55" s="319">
        <f>+E55/$C$13</f>
        <v>2.2510621154921702</v>
      </c>
      <c r="H55" s="225"/>
    </row>
    <row r="56" spans="1:10" s="249" customFormat="1" ht="11.25" customHeight="1" x14ac:dyDescent="0.3">
      <c r="A56" s="225"/>
      <c r="B56" s="238"/>
      <c r="C56" s="282"/>
      <c r="D56" s="283"/>
      <c r="E56" s="281"/>
      <c r="F56" s="234"/>
      <c r="G56" s="208"/>
      <c r="H56" s="225"/>
    </row>
    <row r="57" spans="1:10" s="249" customFormat="1" ht="11.25" customHeight="1" thickBot="1" x14ac:dyDescent="0.35">
      <c r="A57" s="225"/>
      <c r="B57" s="238"/>
      <c r="C57" s="282"/>
      <c r="D57" s="283"/>
      <c r="E57" s="281"/>
      <c r="F57" s="234"/>
      <c r="G57" s="208"/>
      <c r="H57" s="225"/>
    </row>
    <row r="58" spans="1:10" s="249" customFormat="1" ht="18.75" customHeight="1" thickBot="1" x14ac:dyDescent="0.35">
      <c r="A58" s="225"/>
      <c r="B58" s="45" t="s">
        <v>61</v>
      </c>
      <c r="C58" s="46"/>
      <c r="D58" s="47" t="s">
        <v>13</v>
      </c>
      <c r="E58" s="48" t="s">
        <v>62</v>
      </c>
      <c r="F58" s="301" t="s">
        <v>63</v>
      </c>
      <c r="G58" s="49" t="s">
        <v>62</v>
      </c>
    </row>
    <row r="59" spans="1:10" s="249" customFormat="1" ht="18.75" customHeight="1" x14ac:dyDescent="0.3">
      <c r="A59" s="225"/>
      <c r="B59" s="50" t="s">
        <v>64</v>
      </c>
      <c r="C59" s="51" t="s">
        <v>112</v>
      </c>
      <c r="D59" s="52"/>
      <c r="E59" s="213">
        <f>(E18/30)/8</f>
        <v>2684.7916666666665</v>
      </c>
      <c r="F59" s="302"/>
      <c r="G59" s="298"/>
      <c r="H59" s="225"/>
      <c r="I59" s="253"/>
    </row>
    <row r="60" spans="1:10" s="249" customFormat="1" ht="18.75" customHeight="1" x14ac:dyDescent="0.3">
      <c r="A60" s="225"/>
      <c r="B60" s="39" t="s">
        <v>66</v>
      </c>
      <c r="C60" s="37" t="s">
        <v>113</v>
      </c>
      <c r="D60" s="54">
        <v>0.35</v>
      </c>
      <c r="E60" s="214">
        <f>$E$59*D60</f>
        <v>939.67708333333326</v>
      </c>
      <c r="F60" s="303"/>
      <c r="G60" s="190">
        <f t="shared" ref="G60:G68" si="2">E60*F60</f>
        <v>0</v>
      </c>
      <c r="H60" s="225"/>
      <c r="I60" s="284"/>
      <c r="J60" s="264"/>
    </row>
    <row r="61" spans="1:10" s="249" customFormat="1" ht="18.75" customHeight="1" x14ac:dyDescent="0.3">
      <c r="A61" s="225"/>
      <c r="B61" s="39" t="s">
        <v>68</v>
      </c>
      <c r="C61" s="37" t="s">
        <v>69</v>
      </c>
      <c r="D61" s="54">
        <v>0.75</v>
      </c>
      <c r="E61" s="214">
        <f>$E$59*D61</f>
        <v>2013.59375</v>
      </c>
      <c r="F61" s="303"/>
      <c r="G61" s="190">
        <f t="shared" si="2"/>
        <v>0</v>
      </c>
      <c r="H61" s="225"/>
      <c r="I61" s="284"/>
    </row>
    <row r="62" spans="1:10" s="249" customFormat="1" ht="18.75" customHeight="1" x14ac:dyDescent="0.3">
      <c r="A62" s="225"/>
      <c r="B62" s="56" t="s">
        <v>70</v>
      </c>
      <c r="C62" s="57" t="s">
        <v>71</v>
      </c>
      <c r="D62" s="58">
        <v>1.75</v>
      </c>
      <c r="E62" s="214">
        <f>$E$59*D62</f>
        <v>4698.3854166666661</v>
      </c>
      <c r="F62" s="304"/>
      <c r="G62" s="190">
        <f t="shared" si="2"/>
        <v>0</v>
      </c>
      <c r="H62" s="225"/>
      <c r="I62" s="253"/>
    </row>
    <row r="63" spans="1:10" s="249" customFormat="1" ht="18.75" customHeight="1" x14ac:dyDescent="0.3">
      <c r="A63" s="225"/>
      <c r="B63" s="26" t="s">
        <v>72</v>
      </c>
      <c r="C63" s="27" t="s">
        <v>73</v>
      </c>
      <c r="D63" s="222">
        <v>1.1000000000000001</v>
      </c>
      <c r="E63" s="215">
        <f t="shared" ref="E63:E68" si="3">$E$59*D63</f>
        <v>2953.2708333333335</v>
      </c>
      <c r="F63" s="304"/>
      <c r="G63" s="190">
        <f t="shared" si="2"/>
        <v>0</v>
      </c>
      <c r="H63" s="225"/>
      <c r="I63" s="253"/>
    </row>
    <row r="64" spans="1:10" s="249" customFormat="1" ht="18.75" customHeight="1" x14ac:dyDescent="0.3">
      <c r="A64" s="225"/>
      <c r="B64" s="86" t="s">
        <v>74</v>
      </c>
      <c r="C64" s="27" t="s">
        <v>75</v>
      </c>
      <c r="D64" s="223">
        <v>2.1</v>
      </c>
      <c r="E64" s="215">
        <f t="shared" si="3"/>
        <v>5638.0625</v>
      </c>
      <c r="F64" s="304"/>
      <c r="G64" s="190">
        <f t="shared" si="2"/>
        <v>0</v>
      </c>
      <c r="H64" s="225"/>
      <c r="J64" s="253"/>
    </row>
    <row r="65" spans="1:10" s="249" customFormat="1" ht="18.75" customHeight="1" x14ac:dyDescent="0.3">
      <c r="A65" s="225"/>
      <c r="B65" s="59" t="s">
        <v>76</v>
      </c>
      <c r="C65" s="60" t="s">
        <v>77</v>
      </c>
      <c r="D65" s="61">
        <v>1.25</v>
      </c>
      <c r="E65" s="215">
        <f t="shared" si="3"/>
        <v>3355.989583333333</v>
      </c>
      <c r="F65" s="303"/>
      <c r="G65" s="190">
        <f t="shared" si="2"/>
        <v>0</v>
      </c>
      <c r="H65" s="225"/>
      <c r="J65" s="253"/>
    </row>
    <row r="66" spans="1:10" s="249" customFormat="1" ht="18.75" customHeight="1" x14ac:dyDescent="0.3">
      <c r="A66" s="225"/>
      <c r="B66" s="62" t="s">
        <v>78</v>
      </c>
      <c r="C66" s="37" t="s">
        <v>79</v>
      </c>
      <c r="D66" s="54">
        <v>1.75</v>
      </c>
      <c r="E66" s="215">
        <f t="shared" si="3"/>
        <v>4698.3854166666661</v>
      </c>
      <c r="F66" s="305"/>
      <c r="G66" s="190">
        <f t="shared" si="2"/>
        <v>0</v>
      </c>
      <c r="H66" s="225"/>
    </row>
    <row r="67" spans="1:10" s="249" customFormat="1" ht="18.75" customHeight="1" x14ac:dyDescent="0.3">
      <c r="A67" s="225"/>
      <c r="B67" s="62" t="s">
        <v>80</v>
      </c>
      <c r="C67" s="37" t="s">
        <v>81</v>
      </c>
      <c r="D67" s="54">
        <v>2</v>
      </c>
      <c r="E67" s="215">
        <f t="shared" si="3"/>
        <v>5369.583333333333</v>
      </c>
      <c r="F67" s="305"/>
      <c r="G67" s="190">
        <f t="shared" si="2"/>
        <v>0</v>
      </c>
      <c r="H67" s="225"/>
    </row>
    <row r="68" spans="1:10" s="249" customFormat="1" ht="18.75" customHeight="1" thickBot="1" x14ac:dyDescent="0.35">
      <c r="A68" s="225"/>
      <c r="B68" s="63" t="s">
        <v>82</v>
      </c>
      <c r="C68" s="64" t="s">
        <v>83</v>
      </c>
      <c r="D68" s="65">
        <v>2.5</v>
      </c>
      <c r="E68" s="216">
        <f t="shared" si="3"/>
        <v>6711.9791666666661</v>
      </c>
      <c r="F68" s="306"/>
      <c r="G68" s="193">
        <f t="shared" si="2"/>
        <v>0</v>
      </c>
      <c r="H68" s="225"/>
    </row>
    <row r="69" spans="1:10" s="249" customFormat="1" ht="18.75" customHeight="1" thickBot="1" x14ac:dyDescent="0.35">
      <c r="A69" s="225"/>
      <c r="B69" s="95" t="s">
        <v>124</v>
      </c>
      <c r="C69" s="226"/>
      <c r="D69" s="227"/>
      <c r="E69" s="228"/>
      <c r="F69" s="234"/>
      <c r="G69" s="66">
        <f>SUM(G60:G68)</f>
        <v>0</v>
      </c>
      <c r="H69" s="225"/>
    </row>
    <row r="70" spans="1:10" s="249" customFormat="1" ht="13.5" customHeight="1" thickBot="1" x14ac:dyDescent="0.35">
      <c r="A70" s="225"/>
      <c r="B70" s="238"/>
      <c r="C70" s="282"/>
      <c r="D70" s="283"/>
      <c r="E70" s="281"/>
      <c r="F70" s="234"/>
      <c r="G70" s="208"/>
      <c r="H70" s="225"/>
    </row>
    <row r="71" spans="1:10" s="249" customFormat="1" ht="18.75" customHeight="1" thickBot="1" x14ac:dyDescent="0.35">
      <c r="A71" s="225"/>
      <c r="B71" s="113" t="s">
        <v>85</v>
      </c>
      <c r="C71" s="114"/>
      <c r="D71" s="105" t="s">
        <v>13</v>
      </c>
      <c r="E71" s="48" t="s">
        <v>62</v>
      </c>
      <c r="F71" s="234"/>
      <c r="G71" s="208"/>
      <c r="H71" s="225"/>
    </row>
    <row r="72" spans="1:10" s="249" customFormat="1" ht="18.75" customHeight="1" x14ac:dyDescent="0.3">
      <c r="A72" s="225"/>
      <c r="B72" s="74" t="s">
        <v>86</v>
      </c>
      <c r="C72" s="67" t="s">
        <v>87</v>
      </c>
      <c r="D72" s="295"/>
      <c r="E72" s="291"/>
      <c r="F72" s="234"/>
      <c r="G72" s="208"/>
      <c r="H72" s="225"/>
    </row>
    <row r="73" spans="1:10" s="249" customFormat="1" ht="18.75" customHeight="1" x14ac:dyDescent="0.3">
      <c r="A73" s="225"/>
      <c r="B73" s="26" t="s">
        <v>88</v>
      </c>
      <c r="C73" s="27" t="s">
        <v>89</v>
      </c>
      <c r="D73" s="54">
        <v>0.04</v>
      </c>
      <c r="E73" s="217">
        <f>ROUND(IF($E$18+E20+E21+E22&lt;=($C$5*25),ROUND($E$18+E20+E21+E22,-3),ROUND($C$5*25,-3))*D73,-2)</f>
        <v>25800</v>
      </c>
      <c r="F73" s="234"/>
      <c r="G73" s="208"/>
      <c r="H73" s="225"/>
    </row>
    <row r="74" spans="1:10" s="249" customFormat="1" ht="18.75" customHeight="1" x14ac:dyDescent="0.3">
      <c r="A74" s="225"/>
      <c r="B74" s="26" t="s">
        <v>90</v>
      </c>
      <c r="C74" s="37" t="s">
        <v>91</v>
      </c>
      <c r="D74" s="54">
        <v>0.04</v>
      </c>
      <c r="E74" s="217">
        <f>ROUND(IF($E$18+E20+E21+E22&lt;=($C$5*25),ROUND($E$18+E20+E21+E22,-3),ROUND($C$5*25,-3))*D74,-2)</f>
        <v>25800</v>
      </c>
      <c r="F74" s="234"/>
      <c r="G74" s="208"/>
      <c r="H74" s="225"/>
    </row>
    <row r="75" spans="1:10" s="249" customFormat="1" ht="18.75" customHeight="1" x14ac:dyDescent="0.3">
      <c r="A75" s="225"/>
      <c r="B75" s="26" t="s">
        <v>92</v>
      </c>
      <c r="C75" s="37" t="s">
        <v>93</v>
      </c>
      <c r="D75" s="79">
        <f>IF(E18+E20+E21+E22&lt;(C5*4),0,0.01)</f>
        <v>0</v>
      </c>
      <c r="E75" s="29">
        <f>IF(E18+E20+E21+E22&lt;(C5*4),0,(E18+E20+E21+E22)*D75)</f>
        <v>0</v>
      </c>
      <c r="F75" s="234"/>
      <c r="G75" s="208"/>
      <c r="H75" s="225"/>
    </row>
    <row r="76" spans="1:10" s="249" customFormat="1" ht="18.75" customHeight="1" x14ac:dyDescent="0.3">
      <c r="A76" s="225"/>
      <c r="B76" s="26" t="s">
        <v>94</v>
      </c>
      <c r="C76" s="37" t="s">
        <v>95</v>
      </c>
      <c r="D76" s="36">
        <f>IF(E18+E20+E21+E22&lt;C81,D81,IF(E18+E20+E21+E22&lt;C82,D82,IF(E18+E20+E21+E22&lt;C83,D83,IF(E18+E20+E21+E22&lt;C84,D84,IF(E18+E20+E21+E22&lt;C85,D85,D86)))))</f>
        <v>0</v>
      </c>
      <c r="E76" s="195">
        <f>(E18+E20+E21+E22)*D76</f>
        <v>0</v>
      </c>
      <c r="F76" s="234"/>
      <c r="G76" s="208"/>
      <c r="H76" s="225"/>
    </row>
    <row r="77" spans="1:10" s="249" customFormat="1" ht="18.75" customHeight="1" thickBot="1" x14ac:dyDescent="0.35">
      <c r="A77" s="225"/>
      <c r="B77" s="94" t="s">
        <v>96</v>
      </c>
      <c r="C77" s="69"/>
      <c r="D77" s="196"/>
      <c r="E77" s="70">
        <f>SUM(E72:E76)</f>
        <v>51600</v>
      </c>
      <c r="F77" s="234"/>
      <c r="G77" s="208"/>
      <c r="H77" s="225"/>
    </row>
    <row r="78" spans="1:10" s="249" customFormat="1" ht="13.5" customHeight="1" x14ac:dyDescent="0.3">
      <c r="A78" s="225"/>
      <c r="B78" s="238"/>
      <c r="C78" s="282"/>
      <c r="D78" s="283"/>
      <c r="E78" s="281"/>
      <c r="F78" s="234"/>
      <c r="G78" s="208"/>
      <c r="H78" s="225"/>
    </row>
    <row r="79" spans="1:10" ht="13.5" customHeight="1" thickBot="1" x14ac:dyDescent="0.35">
      <c r="B79" s="238"/>
      <c r="C79" s="282"/>
      <c r="D79" s="285"/>
      <c r="E79" s="281"/>
    </row>
    <row r="80" spans="1:10" ht="16.2" thickBot="1" x14ac:dyDescent="0.35">
      <c r="B80" s="71" t="s">
        <v>97</v>
      </c>
      <c r="C80" s="72"/>
      <c r="D80" s="19"/>
      <c r="E80" s="73"/>
    </row>
    <row r="81" spans="2:256" ht="15.6" x14ac:dyDescent="0.3">
      <c r="B81" s="74" t="s">
        <v>98</v>
      </c>
      <c r="C81" s="218">
        <f>$C$5*16</f>
        <v>10309600</v>
      </c>
      <c r="D81" s="75">
        <v>0</v>
      </c>
      <c r="E81" s="76"/>
    </row>
    <row r="82" spans="2:256" ht="15.6" x14ac:dyDescent="0.3">
      <c r="B82" s="39" t="s">
        <v>99</v>
      </c>
      <c r="C82" s="219">
        <f>$C$5*17</f>
        <v>10953950</v>
      </c>
      <c r="D82" s="77">
        <v>2E-3</v>
      </c>
      <c r="E82" s="78"/>
    </row>
    <row r="83" spans="2:256" ht="15.6" x14ac:dyDescent="0.3">
      <c r="B83" s="39" t="s">
        <v>100</v>
      </c>
      <c r="C83" s="220">
        <f>$C$5*18</f>
        <v>11598300</v>
      </c>
      <c r="D83" s="79">
        <v>4.0000000000000001E-3</v>
      </c>
      <c r="E83" s="29"/>
    </row>
    <row r="84" spans="2:256" ht="15.6" x14ac:dyDescent="0.3">
      <c r="B84" s="39" t="s">
        <v>101</v>
      </c>
      <c r="C84" s="220">
        <f>$C$5*19</f>
        <v>12242650</v>
      </c>
      <c r="D84" s="79">
        <v>6.0000000000000001E-3</v>
      </c>
      <c r="E84" s="29"/>
    </row>
    <row r="85" spans="2:256" ht="15.6" x14ac:dyDescent="0.3">
      <c r="B85" s="39" t="s">
        <v>102</v>
      </c>
      <c r="C85" s="220">
        <f>$C$5*20</f>
        <v>12887000</v>
      </c>
      <c r="D85" s="79">
        <v>8.0000000000000002E-3</v>
      </c>
      <c r="E85" s="29"/>
    </row>
    <row r="86" spans="2:256" ht="16.2" thickBot="1" x14ac:dyDescent="0.35">
      <c r="B86" s="80" t="s">
        <v>103</v>
      </c>
      <c r="C86" s="221">
        <v>12887000</v>
      </c>
      <c r="D86" s="81">
        <v>0.01</v>
      </c>
      <c r="E86" s="82"/>
      <c r="IV86" s="225">
        <v>2013</v>
      </c>
    </row>
    <row r="87" spans="2:256" x14ac:dyDescent="0.25">
      <c r="B87" s="245"/>
      <c r="C87" s="287"/>
      <c r="D87" s="288"/>
      <c r="E87" s="149" t="str">
        <f>+B69</f>
        <v>V1..0 Enero 12 de 2014</v>
      </c>
    </row>
    <row r="88" spans="2:256" ht="14.4" x14ac:dyDescent="0.3">
      <c r="D88" s="289"/>
      <c r="E88" s="290"/>
    </row>
    <row r="89" spans="2:256" ht="15.6" x14ac:dyDescent="0.3">
      <c r="C89" s="286"/>
    </row>
    <row r="90" spans="2:256" ht="15.6" x14ac:dyDescent="0.3">
      <c r="C90" s="286"/>
    </row>
    <row r="91" spans="2:256" ht="15.6" x14ac:dyDescent="0.3">
      <c r="C91" s="286"/>
    </row>
    <row r="92" spans="2:256" ht="15.6" x14ac:dyDescent="0.3">
      <c r="C92" s="286"/>
    </row>
    <row r="93" spans="2:256" ht="15.6" x14ac:dyDescent="0.3">
      <c r="C93" s="286"/>
    </row>
    <row r="94" spans="2:256" ht="15.6" x14ac:dyDescent="0.3">
      <c r="C94" s="286"/>
    </row>
    <row r="95" spans="2:256" ht="15.6" x14ac:dyDescent="0.3">
      <c r="C95" s="286"/>
    </row>
    <row r="96" spans="2:256" ht="15.6" x14ac:dyDescent="0.3">
      <c r="C96" s="286"/>
    </row>
    <row r="97" spans="3:3" ht="15.6" x14ac:dyDescent="0.3">
      <c r="C97" s="286"/>
    </row>
    <row r="98" spans="3:3" ht="15.6" x14ac:dyDescent="0.3">
      <c r="C98" s="286"/>
    </row>
    <row r="99" spans="3:3" ht="15.6" x14ac:dyDescent="0.3">
      <c r="C99" s="286"/>
    </row>
    <row r="65536" spans="256:256" x14ac:dyDescent="0.25">
      <c r="IV65536" s="322">
        <v>2015</v>
      </c>
    </row>
  </sheetData>
  <sheetProtection password="CC33" sheet="1"/>
  <protectedRanges>
    <protectedRange sqref="E20:F22" name="Rango5"/>
    <protectedRange sqref="C10:C12" name="Rango4"/>
    <protectedRange sqref="F60:F68" name="Rango2"/>
    <protectedRange sqref="E72" name="Rango3"/>
    <protectedRange sqref="C13" name="Rango4_1"/>
  </protectedRanges>
  <customSheetViews>
    <customSheetView guid="{005D785A-2C1A-7642-8E14-813F8ABC12DD}" fitToPage="1" topLeftCell="A2">
      <selection activeCell="C5" sqref="C5"/>
      <pageMargins left="0" right="0" top="0" bottom="0" header="0" footer="0"/>
      <pageSetup scale="10" fitToHeight="0" orientation="portrait" r:id="rId1"/>
    </customSheetView>
  </customSheetViews>
  <dataValidations disablePrompts="1" count="2">
    <dataValidation type="list" allowBlank="1" showInputMessage="1" showErrorMessage="1" sqref="C11" xr:uid="{00000000-0002-0000-0400-000000000000}">
      <formula1>$IV$6:$IV$10</formula1>
    </dataValidation>
    <dataValidation type="list" allowBlank="1" showInputMessage="1" showErrorMessage="1" sqref="D13" xr:uid="{00000000-0002-0000-0400-000001000000}">
      <formula1>$IV$13:$IV$16</formula1>
    </dataValidation>
  </dataValidations>
  <pageMargins left="0.25" right="0.25" top="0.75" bottom="0.75" header="0.3" footer="0.3"/>
  <pageSetup scale="10" fitToHeight="0"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V65536"/>
  <sheetViews>
    <sheetView zoomScale="77" zoomScaleNormal="77" zoomScalePageLayoutView="77" workbookViewId="0">
      <selection activeCell="J36" sqref="J36"/>
    </sheetView>
  </sheetViews>
  <sheetFormatPr baseColWidth="10" defaultColWidth="11.44140625" defaultRowHeight="13.2" x14ac:dyDescent="0.25"/>
  <cols>
    <col min="1" max="1" width="3.33203125" style="225" customWidth="1"/>
    <col min="2" max="2" width="45.33203125" style="225" customWidth="1"/>
    <col min="3" max="3" width="58.88671875" style="226" customWidth="1"/>
    <col min="4" max="4" width="11" style="227" customWidth="1"/>
    <col min="5" max="5" width="17.33203125" style="228" customWidth="1"/>
    <col min="6" max="6" width="17.44140625" style="234" customWidth="1"/>
    <col min="7" max="7" width="13.88671875" style="208" customWidth="1"/>
    <col min="8" max="8" width="7.6640625" style="225" customWidth="1"/>
    <col min="9" max="9" width="13.33203125" style="225" bestFit="1" customWidth="1"/>
    <col min="10" max="10" width="12" style="225" bestFit="1" customWidth="1"/>
    <col min="11" max="16384" width="11.44140625" style="225"/>
  </cols>
  <sheetData>
    <row r="1" spans="2:256" ht="11.25" customHeight="1" x14ac:dyDescent="0.25"/>
    <row r="2" spans="2:256" ht="18" customHeight="1" x14ac:dyDescent="0.3">
      <c r="B2" s="87" t="s">
        <v>0</v>
      </c>
      <c r="C2" s="229"/>
      <c r="D2" s="230"/>
      <c r="E2" s="231"/>
    </row>
    <row r="3" spans="2:256" ht="14.25" customHeight="1" thickBot="1" x14ac:dyDescent="0.3"/>
    <row r="4" spans="2:256" ht="18.75" customHeight="1" thickBot="1" x14ac:dyDescent="0.4">
      <c r="B4" s="146" t="s">
        <v>125</v>
      </c>
      <c r="C4" s="232"/>
      <c r="E4" s="233"/>
    </row>
    <row r="5" spans="2:256" ht="18.75" customHeight="1" x14ac:dyDescent="0.3">
      <c r="B5" s="6" t="s">
        <v>2</v>
      </c>
      <c r="C5" s="76">
        <v>616000</v>
      </c>
      <c r="E5" s="340"/>
      <c r="G5" s="209"/>
      <c r="I5" s="299"/>
    </row>
    <row r="6" spans="2:256" ht="18.75" customHeight="1" thickBot="1" x14ac:dyDescent="0.35">
      <c r="B6" s="159" t="s">
        <v>3</v>
      </c>
      <c r="C6" s="82">
        <v>72000</v>
      </c>
      <c r="E6" s="340"/>
      <c r="G6" s="209"/>
      <c r="I6" s="235"/>
      <c r="J6" s="236"/>
      <c r="IV6" s="237">
        <v>5.2199999999999998E-3</v>
      </c>
    </row>
    <row r="7" spans="2:256" ht="13.5" customHeight="1" x14ac:dyDescent="0.3">
      <c r="B7" s="238"/>
      <c r="C7" s="239"/>
      <c r="E7" s="340"/>
      <c r="G7" s="209"/>
      <c r="IV7" s="237">
        <v>1.044E-2</v>
      </c>
    </row>
    <row r="8" spans="2:256" ht="12.75" customHeight="1" x14ac:dyDescent="0.25">
      <c r="B8" s="238"/>
      <c r="C8" s="238"/>
      <c r="E8" s="340"/>
      <c r="G8" s="209"/>
      <c r="IV8" s="237">
        <v>2.436E-2</v>
      </c>
    </row>
    <row r="9" spans="2:256" ht="12" customHeight="1" thickBot="1" x14ac:dyDescent="0.3">
      <c r="B9" s="9" t="s">
        <v>4</v>
      </c>
      <c r="C9" s="240" t="s">
        <v>5</v>
      </c>
      <c r="D9" s="241"/>
      <c r="E9" s="341"/>
      <c r="IV9" s="237">
        <v>4.3499999999999997E-2</v>
      </c>
    </row>
    <row r="10" spans="2:256" ht="18.75" customHeight="1" x14ac:dyDescent="0.3">
      <c r="B10" s="11" t="s">
        <v>6</v>
      </c>
      <c r="C10" s="291">
        <v>616000</v>
      </c>
      <c r="D10" s="243"/>
      <c r="E10" s="244"/>
      <c r="G10" s="311"/>
      <c r="H10" s="245"/>
      <c r="IV10" s="237">
        <v>6.9599999999999995E-2</v>
      </c>
    </row>
    <row r="11" spans="2:256" ht="18.75" customHeight="1" x14ac:dyDescent="0.3">
      <c r="B11" s="13" t="s">
        <v>7</v>
      </c>
      <c r="C11" s="292">
        <v>5.2199999999999998E-3</v>
      </c>
      <c r="D11" s="241"/>
      <c r="E11" s="244"/>
      <c r="G11" s="312"/>
      <c r="H11" s="245"/>
    </row>
    <row r="12" spans="2:256" ht="18.75" customHeight="1" thickBot="1" x14ac:dyDescent="0.35">
      <c r="B12" s="15" t="s">
        <v>8</v>
      </c>
      <c r="C12" s="246"/>
      <c r="D12" s="241"/>
      <c r="E12" s="242"/>
      <c r="G12" s="313"/>
      <c r="H12" s="245"/>
      <c r="IR12" s="248"/>
      <c r="IV12" s="249"/>
    </row>
    <row r="13" spans="2:256" s="1" customFormat="1" ht="18.75" customHeight="1" thickBot="1" x14ac:dyDescent="0.35">
      <c r="B13" s="15" t="s">
        <v>9</v>
      </c>
      <c r="C13" s="112">
        <v>2000</v>
      </c>
      <c r="D13" s="111" t="s">
        <v>10</v>
      </c>
      <c r="E13" s="10"/>
      <c r="F13" s="106"/>
      <c r="G13" s="17"/>
      <c r="H13" s="12"/>
      <c r="IR13" s="16"/>
      <c r="IV13" s="18" t="s">
        <v>10</v>
      </c>
    </row>
    <row r="14" spans="2:256" ht="10.5" customHeight="1" thickBot="1" x14ac:dyDescent="0.35">
      <c r="B14" s="250"/>
      <c r="C14" s="251"/>
      <c r="D14" s="252"/>
      <c r="F14" s="308"/>
      <c r="G14" s="312"/>
      <c r="H14" s="245"/>
      <c r="IR14" s="248"/>
    </row>
    <row r="15" spans="2:256" s="249" customFormat="1" ht="33.6" customHeight="1" x14ac:dyDescent="0.3">
      <c r="B15" s="96" t="s">
        <v>11</v>
      </c>
      <c r="C15" s="97" t="s">
        <v>12</v>
      </c>
      <c r="D15" s="98" t="s">
        <v>13</v>
      </c>
      <c r="E15" s="307" t="s">
        <v>14</v>
      </c>
      <c r="F15" s="309" t="s">
        <v>116</v>
      </c>
      <c r="G15" s="314" t="s">
        <v>16</v>
      </c>
      <c r="H15" s="245"/>
      <c r="IR15" s="253"/>
    </row>
    <row r="16" spans="2:256" s="249" customFormat="1" ht="9" customHeight="1" x14ac:dyDescent="0.3">
      <c r="B16" s="254"/>
      <c r="C16" s="239"/>
      <c r="D16" s="239"/>
      <c r="E16" s="255"/>
      <c r="F16" s="255"/>
      <c r="G16" s="107"/>
      <c r="IR16" s="253"/>
    </row>
    <row r="17" spans="2:252" s="249" customFormat="1" ht="18.75" customHeight="1" x14ac:dyDescent="0.3">
      <c r="B17" s="256" t="s">
        <v>17</v>
      </c>
      <c r="C17" s="257"/>
      <c r="D17" s="258"/>
      <c r="E17" s="259"/>
      <c r="F17" s="259"/>
      <c r="G17" s="108"/>
      <c r="IR17" s="253"/>
    </row>
    <row r="18" spans="2:252" s="249" customFormat="1" ht="18.75" customHeight="1" x14ac:dyDescent="0.3">
      <c r="B18" s="26" t="s">
        <v>18</v>
      </c>
      <c r="C18" s="27" t="s">
        <v>19</v>
      </c>
      <c r="D18" s="28"/>
      <c r="E18" s="29">
        <f>IF(C10&lt;C5,FALSE,C10)</f>
        <v>616000</v>
      </c>
      <c r="F18" s="29">
        <f>+E18</f>
        <v>616000</v>
      </c>
      <c r="G18" s="103">
        <f t="shared" ref="G18:G23" si="0">+E18/$C$13</f>
        <v>308</v>
      </c>
      <c r="IR18" s="253"/>
    </row>
    <row r="19" spans="2:252" s="249" customFormat="1" ht="18.75" customHeight="1" x14ac:dyDescent="0.3">
      <c r="B19" s="26" t="s">
        <v>20</v>
      </c>
      <c r="C19" s="27" t="s">
        <v>126</v>
      </c>
      <c r="D19" s="28"/>
      <c r="E19" s="29">
        <f>IF(E18+E20+E21+E22&lt;=(C5*2),C6,0)</f>
        <v>72000</v>
      </c>
      <c r="F19" s="29">
        <f>+E19</f>
        <v>72000</v>
      </c>
      <c r="G19" s="103">
        <f t="shared" si="0"/>
        <v>36</v>
      </c>
    </row>
    <row r="20" spans="2:252" s="249" customFormat="1" ht="18.75" customHeight="1" x14ac:dyDescent="0.3">
      <c r="B20" s="26" t="s">
        <v>22</v>
      </c>
      <c r="C20" s="27" t="s">
        <v>23</v>
      </c>
      <c r="D20" s="262"/>
      <c r="E20" s="263">
        <f>+G60+G63</f>
        <v>0</v>
      </c>
      <c r="F20" s="42">
        <f>+E20</f>
        <v>0</v>
      </c>
      <c r="G20" s="103">
        <f t="shared" si="0"/>
        <v>0</v>
      </c>
      <c r="J20" s="264"/>
    </row>
    <row r="21" spans="2:252" s="249" customFormat="1" ht="18.75" customHeight="1" x14ac:dyDescent="0.3">
      <c r="B21" s="26" t="s">
        <v>118</v>
      </c>
      <c r="C21" s="27" t="s">
        <v>25</v>
      </c>
      <c r="D21" s="262"/>
      <c r="E21" s="263">
        <f>+G61+G62+G64</f>
        <v>0</v>
      </c>
      <c r="F21" s="42">
        <f>+E21</f>
        <v>0</v>
      </c>
      <c r="G21" s="103">
        <f t="shared" si="0"/>
        <v>0</v>
      </c>
    </row>
    <row r="22" spans="2:252" s="249" customFormat="1" ht="18.75" customHeight="1" x14ac:dyDescent="0.3">
      <c r="B22" s="26" t="s">
        <v>26</v>
      </c>
      <c r="C22" s="27" t="s">
        <v>110</v>
      </c>
      <c r="D22" s="262"/>
      <c r="E22" s="263">
        <f>+G65+G66+G67+G68</f>
        <v>0</v>
      </c>
      <c r="F22" s="42">
        <f>+E22</f>
        <v>0</v>
      </c>
      <c r="G22" s="103">
        <f t="shared" si="0"/>
        <v>0</v>
      </c>
    </row>
    <row r="23" spans="2:252" s="249" customFormat="1" ht="18.75" customHeight="1" x14ac:dyDescent="0.3">
      <c r="B23" s="148" t="s">
        <v>28</v>
      </c>
      <c r="C23" s="265"/>
      <c r="D23" s="266"/>
      <c r="E23" s="30">
        <f>SUM(E18:E22)</f>
        <v>688000</v>
      </c>
      <c r="F23" s="30">
        <f>SUM(F18:F22)</f>
        <v>688000</v>
      </c>
      <c r="G23" s="104">
        <f t="shared" si="0"/>
        <v>344</v>
      </c>
    </row>
    <row r="24" spans="2:252" s="249" customFormat="1" ht="18.75" customHeight="1" x14ac:dyDescent="0.3">
      <c r="B24" s="267"/>
      <c r="C24" s="268"/>
      <c r="D24" s="269"/>
      <c r="E24" s="263"/>
      <c r="F24" s="263"/>
      <c r="G24" s="108"/>
    </row>
    <row r="25" spans="2:252" s="249" customFormat="1" ht="18.75" customHeight="1" x14ac:dyDescent="0.3">
      <c r="B25" s="270" t="s">
        <v>29</v>
      </c>
      <c r="C25" s="257"/>
      <c r="D25" s="258"/>
      <c r="E25" s="263"/>
      <c r="F25" s="263"/>
      <c r="G25" s="108"/>
    </row>
    <row r="26" spans="2:252" s="249" customFormat="1" ht="18.75" customHeight="1" x14ac:dyDescent="0.3">
      <c r="B26" s="26" t="s">
        <v>30</v>
      </c>
      <c r="C26" s="27" t="s">
        <v>31</v>
      </c>
      <c r="D26" s="35">
        <v>8.3333333333333343E-2</v>
      </c>
      <c r="E26" s="29">
        <f>E23*D26</f>
        <v>57333.333333333343</v>
      </c>
      <c r="F26" s="29">
        <f>+E26</f>
        <v>57333.333333333343</v>
      </c>
      <c r="G26" s="103">
        <f>+E26/$C$13</f>
        <v>28.666666666666671</v>
      </c>
    </row>
    <row r="27" spans="2:252" s="249" customFormat="1" ht="18.75" customHeight="1" x14ac:dyDescent="0.3">
      <c r="B27" s="26" t="s">
        <v>32</v>
      </c>
      <c r="C27" s="27" t="s">
        <v>33</v>
      </c>
      <c r="D27" s="36">
        <v>0.12</v>
      </c>
      <c r="E27" s="29">
        <f>+E26*D27</f>
        <v>6880.0000000000009</v>
      </c>
      <c r="F27" s="29">
        <f>+E27</f>
        <v>6880.0000000000009</v>
      </c>
      <c r="G27" s="103">
        <f>+E27/$C$13</f>
        <v>3.4400000000000004</v>
      </c>
    </row>
    <row r="28" spans="2:252" s="249" customFormat="1" ht="18.75" customHeight="1" x14ac:dyDescent="0.3">
      <c r="B28" s="26" t="s">
        <v>34</v>
      </c>
      <c r="C28" s="27" t="s">
        <v>31</v>
      </c>
      <c r="D28" s="35">
        <v>8.3333333333333343E-2</v>
      </c>
      <c r="E28" s="29">
        <f>E23*D28</f>
        <v>57333.333333333343</v>
      </c>
      <c r="F28" s="29">
        <f>+E28</f>
        <v>57333.333333333343</v>
      </c>
      <c r="G28" s="103">
        <f>+E28/$C$13</f>
        <v>28.666666666666671</v>
      </c>
    </row>
    <row r="29" spans="2:252" s="249" customFormat="1" ht="18.75" customHeight="1" x14ac:dyDescent="0.3">
      <c r="B29" s="26" t="s">
        <v>35</v>
      </c>
      <c r="C29" s="37" t="s">
        <v>36</v>
      </c>
      <c r="D29" s="35">
        <v>4.1666666666666664E-2</v>
      </c>
      <c r="E29" s="29">
        <f>(E18+E20)*D29</f>
        <v>25666.666666666664</v>
      </c>
      <c r="F29" s="29">
        <f>+E29</f>
        <v>25666.666666666664</v>
      </c>
      <c r="G29" s="103">
        <f>+E29/$C$13</f>
        <v>12.833333333333332</v>
      </c>
    </row>
    <row r="30" spans="2:252" s="249" customFormat="1" ht="18.75" customHeight="1" x14ac:dyDescent="0.3">
      <c r="B30" s="177" t="s">
        <v>37</v>
      </c>
      <c r="C30" s="38"/>
      <c r="D30" s="33"/>
      <c r="E30" s="30">
        <f>SUM(E26:E29)</f>
        <v>147213.33333333334</v>
      </c>
      <c r="F30" s="30">
        <f>SUM(F26:F29)</f>
        <v>147213.33333333334</v>
      </c>
      <c r="G30" s="104">
        <f>+E30/$C$13</f>
        <v>73.606666666666669</v>
      </c>
    </row>
    <row r="31" spans="2:252" s="249" customFormat="1" ht="18.75" customHeight="1" x14ac:dyDescent="0.3">
      <c r="B31" s="260"/>
      <c r="C31" s="261"/>
      <c r="D31" s="262"/>
      <c r="E31" s="259"/>
      <c r="F31" s="259"/>
      <c r="G31" s="108"/>
      <c r="H31" s="238"/>
    </row>
    <row r="32" spans="2:252" s="249" customFormat="1" ht="18.75" customHeight="1" x14ac:dyDescent="0.3">
      <c r="B32" s="256" t="s">
        <v>38</v>
      </c>
      <c r="C32" s="257"/>
      <c r="D32" s="258"/>
      <c r="E32" s="259"/>
      <c r="F32" s="259"/>
      <c r="G32" s="108"/>
      <c r="H32" s="238"/>
    </row>
    <row r="33" spans="2:9" s="249" customFormat="1" ht="18.75" customHeight="1" x14ac:dyDescent="0.3">
      <c r="B33" s="310" t="s">
        <v>39</v>
      </c>
      <c r="C33" s="85">
        <f>ROUND(IF($E$18+E20+E21+E22&lt;=($C$5*25),ROUND($E$18+E20+E21+E22,-3),ROUND($C$5*25,-3))*0.125,-2)</f>
        <v>77000</v>
      </c>
      <c r="D33" s="36">
        <v>8.5000000000000006E-2</v>
      </c>
      <c r="E33" s="29">
        <f>C33-E73</f>
        <v>52400</v>
      </c>
      <c r="F33" s="29">
        <v>0</v>
      </c>
      <c r="G33" s="103">
        <f t="shared" ref="G33:G38" si="1">+E33/$C$13</f>
        <v>26.2</v>
      </c>
      <c r="H33" s="274"/>
      <c r="I33" s="275"/>
    </row>
    <row r="34" spans="2:9" s="249" customFormat="1" ht="18.75" customHeight="1" x14ac:dyDescent="0.3">
      <c r="B34" s="26" t="s">
        <v>40</v>
      </c>
      <c r="C34" s="85">
        <f>ROUND(IF($E$18+E20+E21+E22&lt;=($C$5*25),ROUND($E$18+E20+E21+E22,-3),ROUND($C$5*25,-3))*0.16,-2)</f>
        <v>98600</v>
      </c>
      <c r="D34" s="36">
        <v>0.12</v>
      </c>
      <c r="E34" s="29">
        <f>C34-E74</f>
        <v>74000</v>
      </c>
      <c r="F34" s="29">
        <f>+E34</f>
        <v>74000</v>
      </c>
      <c r="G34" s="103">
        <f t="shared" si="1"/>
        <v>37</v>
      </c>
      <c r="H34" s="276"/>
    </row>
    <row r="35" spans="2:9" s="249" customFormat="1" ht="18.75" customHeight="1" x14ac:dyDescent="0.3">
      <c r="B35" s="26" t="s">
        <v>119</v>
      </c>
      <c r="C35" s="37" t="s">
        <v>42</v>
      </c>
      <c r="D35" s="28">
        <f>C11</f>
        <v>5.2199999999999998E-3</v>
      </c>
      <c r="E35" s="29">
        <f>ROUND(IF($E$18+E21+E20+E22&lt;=($C$5*20),ROUND($E$18+E20+E21+E22,-3),ROUND($C$5*20,-3))*D35,-2)</f>
        <v>3200</v>
      </c>
      <c r="F35" s="29">
        <f>+E35</f>
        <v>3200</v>
      </c>
      <c r="G35" s="103">
        <f t="shared" si="1"/>
        <v>1.6</v>
      </c>
      <c r="H35" s="238"/>
    </row>
    <row r="36" spans="2:9" s="249" customFormat="1" ht="18.75" customHeight="1" x14ac:dyDescent="0.3">
      <c r="B36" s="26" t="s">
        <v>43</v>
      </c>
      <c r="C36" s="271"/>
      <c r="D36" s="36">
        <v>8.5000000000000006E-2</v>
      </c>
      <c r="E36" s="29">
        <f>ROUND(IF($E$29&lt;=($C$5*25),ROUND($E$29,-3),ROUND($C$5*25,-3))*D36,-2)</f>
        <v>2200</v>
      </c>
      <c r="F36" s="29">
        <v>0</v>
      </c>
      <c r="G36" s="103">
        <f t="shared" si="1"/>
        <v>1.1000000000000001</v>
      </c>
    </row>
    <row r="37" spans="2:9" s="249" customFormat="1" ht="18.75" customHeight="1" x14ac:dyDescent="0.3">
      <c r="B37" s="26" t="s">
        <v>44</v>
      </c>
      <c r="C37" s="271"/>
      <c r="D37" s="36">
        <v>0.12</v>
      </c>
      <c r="E37" s="29">
        <f>ROUND(IF($E$29&lt;=($C$5*25),ROUND($E$29,-3),ROUND($C$5*25,-3))*D37,-2)</f>
        <v>3100</v>
      </c>
      <c r="F37" s="29">
        <f>+E37</f>
        <v>3100</v>
      </c>
      <c r="G37" s="103">
        <f t="shared" si="1"/>
        <v>1.55</v>
      </c>
    </row>
    <row r="38" spans="2:9" s="249" customFormat="1" ht="18.75" customHeight="1" x14ac:dyDescent="0.3">
      <c r="B38" s="177" t="s">
        <v>45</v>
      </c>
      <c r="C38" s="272"/>
      <c r="D38" s="269"/>
      <c r="E38" s="30">
        <f>SUM(E33:E37)</f>
        <v>134900</v>
      </c>
      <c r="F38" s="30">
        <f>SUM(F33:F37)</f>
        <v>80300</v>
      </c>
      <c r="G38" s="104">
        <f t="shared" si="1"/>
        <v>67.45</v>
      </c>
    </row>
    <row r="39" spans="2:9" s="249" customFormat="1" ht="18.75" customHeight="1" x14ac:dyDescent="0.3">
      <c r="B39" s="260"/>
      <c r="C39" s="261"/>
      <c r="D39" s="262"/>
      <c r="E39" s="259"/>
      <c r="F39" s="259"/>
      <c r="G39" s="108"/>
    </row>
    <row r="40" spans="2:9" s="249" customFormat="1" ht="18.75" customHeight="1" x14ac:dyDescent="0.3">
      <c r="B40" s="256" t="s">
        <v>46</v>
      </c>
      <c r="C40" s="257"/>
      <c r="D40" s="258"/>
      <c r="E40" s="259"/>
      <c r="F40" s="259"/>
      <c r="G40" s="108"/>
    </row>
    <row r="41" spans="2:9" s="249" customFormat="1" ht="18.75" customHeight="1" x14ac:dyDescent="0.3">
      <c r="B41" s="26" t="s">
        <v>47</v>
      </c>
      <c r="C41" s="37" t="s">
        <v>48</v>
      </c>
      <c r="D41" s="36">
        <v>0.09</v>
      </c>
      <c r="E41" s="29">
        <f>ROUND(ROUND(E18+E20+E21+E22,-3)*D41,-2)</f>
        <v>55400</v>
      </c>
      <c r="F41" s="29">
        <f>ROUND(ROUND(F18+F20+F21+F22,-3)*0.04,-2)</f>
        <v>24600</v>
      </c>
      <c r="G41" s="103">
        <f>+E41/$C$13</f>
        <v>27.7</v>
      </c>
    </row>
    <row r="42" spans="2:9" s="249" customFormat="1" ht="18.75" customHeight="1" x14ac:dyDescent="0.3">
      <c r="B42" s="26" t="s">
        <v>49</v>
      </c>
      <c r="C42" s="37"/>
      <c r="D42" s="36">
        <v>0.09</v>
      </c>
      <c r="E42" s="29">
        <f>ROUND(ROUND(E29,-3)*D42,-2)</f>
        <v>2300</v>
      </c>
      <c r="F42" s="29">
        <f>ROUND(ROUND(F29,-3)*0.04,-2)</f>
        <v>1000</v>
      </c>
      <c r="G42" s="103">
        <f>+E42/$C$13</f>
        <v>1.1499999999999999</v>
      </c>
    </row>
    <row r="43" spans="2:9" s="249" customFormat="1" ht="18.75" customHeight="1" x14ac:dyDescent="0.3">
      <c r="B43" s="177" t="s">
        <v>50</v>
      </c>
      <c r="C43" s="38"/>
      <c r="D43" s="33"/>
      <c r="E43" s="30">
        <f>SUM(E41:E42)</f>
        <v>57700</v>
      </c>
      <c r="F43" s="30">
        <f>SUM(F41:F42)</f>
        <v>25600</v>
      </c>
      <c r="G43" s="104">
        <f>+E43/$C$13</f>
        <v>28.85</v>
      </c>
    </row>
    <row r="44" spans="2:9" s="249" customFormat="1" ht="18.75" customHeight="1" x14ac:dyDescent="0.3">
      <c r="B44" s="273"/>
      <c r="C44" s="271"/>
      <c r="D44" s="262"/>
      <c r="E44" s="259"/>
      <c r="F44" s="259"/>
      <c r="G44" s="108"/>
    </row>
    <row r="45" spans="2:9" s="249" customFormat="1" ht="18.75" customHeight="1" x14ac:dyDescent="0.3">
      <c r="B45" s="256" t="s">
        <v>51</v>
      </c>
      <c r="C45" s="257"/>
      <c r="D45" s="258"/>
      <c r="E45" s="259"/>
      <c r="F45" s="259"/>
      <c r="G45" s="108"/>
    </row>
    <row r="46" spans="2:9" s="249" customFormat="1" ht="18.75" customHeight="1" x14ac:dyDescent="0.3">
      <c r="B46" s="39" t="s">
        <v>53</v>
      </c>
      <c r="C46" s="37" t="s">
        <v>54</v>
      </c>
      <c r="D46" s="293"/>
      <c r="E46" s="29">
        <f>IF(E18+E20+E21+E22&lt;=C5*2,(C12*3)/12,0)</f>
        <v>0</v>
      </c>
      <c r="F46" s="29">
        <f>+E46</f>
        <v>0</v>
      </c>
      <c r="G46" s="104">
        <f>+E46/$C$13</f>
        <v>0</v>
      </c>
    </row>
    <row r="47" spans="2:9" s="249" customFormat="1" ht="18.75" customHeight="1" x14ac:dyDescent="0.3">
      <c r="B47" s="260"/>
      <c r="C47" s="261"/>
      <c r="D47" s="262"/>
      <c r="E47" s="277"/>
      <c r="F47" s="277"/>
      <c r="G47" s="108"/>
    </row>
    <row r="48" spans="2:9" s="249" customFormat="1" ht="18.75" customHeight="1" x14ac:dyDescent="0.3">
      <c r="B48" s="31" t="s">
        <v>55</v>
      </c>
      <c r="C48" s="32"/>
      <c r="D48" s="33"/>
      <c r="E48" s="30">
        <f>E23+E30+E38+E43+E46</f>
        <v>1027813.3333333334</v>
      </c>
      <c r="F48" s="30">
        <f>F23+F30+F38+F43+F46</f>
        <v>941113.33333333337</v>
      </c>
      <c r="G48" s="104">
        <f>+E48/$C$13</f>
        <v>513.90666666666664</v>
      </c>
    </row>
    <row r="49" spans="1:10" s="249" customFormat="1" ht="18.75" customHeight="1" thickBot="1" x14ac:dyDescent="0.35">
      <c r="B49" s="80" t="s">
        <v>56</v>
      </c>
      <c r="C49" s="43"/>
      <c r="D49" s="44"/>
      <c r="E49" s="93">
        <f>+(E48/(E23-E19))-1</f>
        <v>0.66852813852813853</v>
      </c>
      <c r="F49" s="93">
        <f>+(F48/(F23-F19))-1</f>
        <v>0.5277813852813853</v>
      </c>
      <c r="G49" s="109"/>
    </row>
    <row r="50" spans="1:10" s="249" customFormat="1" ht="13.5" customHeight="1" x14ac:dyDescent="0.3">
      <c r="B50" s="278"/>
      <c r="C50" s="279"/>
      <c r="D50" s="280"/>
      <c r="E50" s="281"/>
      <c r="F50" s="300"/>
      <c r="G50" s="110"/>
    </row>
    <row r="51" spans="1:10" s="249" customFormat="1" ht="13.5" customHeight="1" thickBot="1" x14ac:dyDescent="0.35">
      <c r="B51" s="278"/>
      <c r="C51" s="279"/>
      <c r="D51" s="280"/>
      <c r="E51" s="281"/>
      <c r="F51" s="300"/>
      <c r="G51" s="110"/>
    </row>
    <row r="52" spans="1:10" s="249" customFormat="1" ht="18.75" customHeight="1" x14ac:dyDescent="0.3">
      <c r="A52" s="225"/>
      <c r="B52" s="74" t="s">
        <v>57</v>
      </c>
      <c r="C52" s="294"/>
      <c r="D52" s="295"/>
      <c r="E52" s="187">
        <f>E48*12</f>
        <v>12333760</v>
      </c>
      <c r="F52" s="315">
        <f>F48*12</f>
        <v>11293360</v>
      </c>
      <c r="G52" s="321">
        <f>+E52/$C$13</f>
        <v>6166.88</v>
      </c>
      <c r="H52" s="225"/>
    </row>
    <row r="53" spans="1:10" s="249" customFormat="1" ht="18.75" customHeight="1" x14ac:dyDescent="0.3">
      <c r="A53" s="225"/>
      <c r="B53" s="26" t="s">
        <v>127</v>
      </c>
      <c r="C53" s="27"/>
      <c r="D53" s="296"/>
      <c r="E53" s="29">
        <v>296</v>
      </c>
      <c r="F53" s="316">
        <v>296</v>
      </c>
      <c r="G53" s="320">
        <v>296</v>
      </c>
      <c r="H53" s="225"/>
    </row>
    <row r="54" spans="1:10" s="249" customFormat="1" ht="18.75" customHeight="1" x14ac:dyDescent="0.3">
      <c r="A54" s="225"/>
      <c r="B54" s="26" t="s">
        <v>59</v>
      </c>
      <c r="C54" s="27"/>
      <c r="D54" s="296"/>
      <c r="E54" s="29">
        <f>E52/E53</f>
        <v>41668.108108108107</v>
      </c>
      <c r="F54" s="316">
        <f>F52/F53</f>
        <v>38153.24324324324</v>
      </c>
      <c r="G54" s="318">
        <f>+E54/$C$13</f>
        <v>20.834054054054054</v>
      </c>
      <c r="H54" s="225"/>
    </row>
    <row r="55" spans="1:10" s="249" customFormat="1" ht="18.75" customHeight="1" thickBot="1" x14ac:dyDescent="0.35">
      <c r="A55" s="225"/>
      <c r="B55" s="188" t="s">
        <v>60</v>
      </c>
      <c r="C55" s="69"/>
      <c r="D55" s="297"/>
      <c r="E55" s="82">
        <f>E54/8</f>
        <v>5208.5135135135133</v>
      </c>
      <c r="F55" s="317">
        <f>F54/8</f>
        <v>4769.155405405405</v>
      </c>
      <c r="G55" s="319">
        <f>+E55/$C$13</f>
        <v>2.6042567567567567</v>
      </c>
      <c r="H55" s="225"/>
    </row>
    <row r="56" spans="1:10" s="249" customFormat="1" ht="11.25" customHeight="1" x14ac:dyDescent="0.3">
      <c r="A56" s="225"/>
      <c r="B56" s="238"/>
      <c r="C56" s="282"/>
      <c r="D56" s="283"/>
      <c r="E56" s="281"/>
      <c r="F56" s="234"/>
      <c r="G56" s="208"/>
      <c r="H56" s="225"/>
    </row>
    <row r="57" spans="1:10" s="249" customFormat="1" ht="11.25" customHeight="1" thickBot="1" x14ac:dyDescent="0.35">
      <c r="A57" s="225"/>
      <c r="B57" s="238"/>
      <c r="C57" s="282"/>
      <c r="D57" s="283"/>
      <c r="E57" s="281"/>
      <c r="F57" s="234"/>
      <c r="G57" s="208"/>
      <c r="H57" s="225"/>
    </row>
    <row r="58" spans="1:10" s="249" customFormat="1" ht="18.75" customHeight="1" thickBot="1" x14ac:dyDescent="0.35">
      <c r="A58" s="225"/>
      <c r="B58" s="45" t="s">
        <v>61</v>
      </c>
      <c r="C58" s="46"/>
      <c r="D58" s="47" t="s">
        <v>13</v>
      </c>
      <c r="E58" s="48" t="s">
        <v>62</v>
      </c>
      <c r="F58" s="301" t="s">
        <v>63</v>
      </c>
      <c r="G58" s="49" t="s">
        <v>62</v>
      </c>
    </row>
    <row r="59" spans="1:10" s="249" customFormat="1" ht="18.75" customHeight="1" x14ac:dyDescent="0.3">
      <c r="A59" s="225"/>
      <c r="B59" s="50" t="s">
        <v>64</v>
      </c>
      <c r="C59" s="51" t="s">
        <v>112</v>
      </c>
      <c r="D59" s="52"/>
      <c r="E59" s="213">
        <f>(E18/30)/8</f>
        <v>2566.6666666666665</v>
      </c>
      <c r="F59" s="302"/>
      <c r="G59" s="298"/>
      <c r="H59" s="225"/>
      <c r="I59" s="253"/>
    </row>
    <row r="60" spans="1:10" s="249" customFormat="1" ht="18.75" customHeight="1" x14ac:dyDescent="0.3">
      <c r="A60" s="225"/>
      <c r="B60" s="39" t="s">
        <v>66</v>
      </c>
      <c r="C60" s="37" t="s">
        <v>113</v>
      </c>
      <c r="D60" s="54">
        <v>0.35</v>
      </c>
      <c r="E60" s="214">
        <f>$E$59*D60</f>
        <v>898.33333333333326</v>
      </c>
      <c r="F60" s="303"/>
      <c r="G60" s="190">
        <f t="shared" ref="G60:G68" si="2">E60*F60</f>
        <v>0</v>
      </c>
      <c r="H60" s="225"/>
      <c r="I60" s="284"/>
      <c r="J60" s="264"/>
    </row>
    <row r="61" spans="1:10" s="249" customFormat="1" ht="18.75" customHeight="1" x14ac:dyDescent="0.3">
      <c r="A61" s="225"/>
      <c r="B61" s="39" t="s">
        <v>68</v>
      </c>
      <c r="C61" s="37" t="s">
        <v>69</v>
      </c>
      <c r="D61" s="54">
        <v>0.75</v>
      </c>
      <c r="E61" s="214">
        <f>$E$59*D61</f>
        <v>1925</v>
      </c>
      <c r="F61" s="303"/>
      <c r="G61" s="190">
        <f t="shared" si="2"/>
        <v>0</v>
      </c>
      <c r="H61" s="225"/>
      <c r="I61" s="284"/>
    </row>
    <row r="62" spans="1:10" s="249" customFormat="1" ht="18.75" customHeight="1" x14ac:dyDescent="0.3">
      <c r="A62" s="225"/>
      <c r="B62" s="56" t="s">
        <v>70</v>
      </c>
      <c r="C62" s="57" t="s">
        <v>71</v>
      </c>
      <c r="D62" s="58">
        <v>1.75</v>
      </c>
      <c r="E62" s="214">
        <f>$E$59*D62</f>
        <v>4491.6666666666661</v>
      </c>
      <c r="F62" s="304"/>
      <c r="G62" s="190">
        <f t="shared" si="2"/>
        <v>0</v>
      </c>
      <c r="H62" s="225"/>
      <c r="I62" s="253"/>
    </row>
    <row r="63" spans="1:10" s="249" customFormat="1" ht="18.75" customHeight="1" x14ac:dyDescent="0.3">
      <c r="A63" s="225"/>
      <c r="B63" s="26" t="s">
        <v>72</v>
      </c>
      <c r="C63" s="27" t="s">
        <v>73</v>
      </c>
      <c r="D63" s="222">
        <v>1.1000000000000001</v>
      </c>
      <c r="E63" s="215">
        <f t="shared" ref="E63:E68" si="3">$E$59*D63</f>
        <v>2823.3333333333335</v>
      </c>
      <c r="F63" s="304"/>
      <c r="G63" s="190">
        <f t="shared" si="2"/>
        <v>0</v>
      </c>
      <c r="H63" s="225"/>
      <c r="I63" s="253"/>
    </row>
    <row r="64" spans="1:10" s="249" customFormat="1" ht="18.75" customHeight="1" x14ac:dyDescent="0.3">
      <c r="A64" s="225"/>
      <c r="B64" s="86" t="s">
        <v>74</v>
      </c>
      <c r="C64" s="27" t="s">
        <v>75</v>
      </c>
      <c r="D64" s="223">
        <v>2.1</v>
      </c>
      <c r="E64" s="215">
        <f t="shared" si="3"/>
        <v>5390</v>
      </c>
      <c r="F64" s="304"/>
      <c r="G64" s="190">
        <f t="shared" si="2"/>
        <v>0</v>
      </c>
      <c r="H64" s="225"/>
      <c r="J64" s="253"/>
    </row>
    <row r="65" spans="1:10" s="249" customFormat="1" ht="18.75" customHeight="1" x14ac:dyDescent="0.3">
      <c r="A65" s="225"/>
      <c r="B65" s="59" t="s">
        <v>76</v>
      </c>
      <c r="C65" s="60" t="s">
        <v>77</v>
      </c>
      <c r="D65" s="61">
        <v>1.25</v>
      </c>
      <c r="E65" s="215">
        <f t="shared" si="3"/>
        <v>3208.333333333333</v>
      </c>
      <c r="F65" s="303"/>
      <c r="G65" s="190">
        <f t="shared" si="2"/>
        <v>0</v>
      </c>
      <c r="H65" s="225"/>
      <c r="J65" s="253"/>
    </row>
    <row r="66" spans="1:10" s="249" customFormat="1" ht="18.75" customHeight="1" x14ac:dyDescent="0.3">
      <c r="A66" s="225"/>
      <c r="B66" s="62" t="s">
        <v>78</v>
      </c>
      <c r="C66" s="37" t="s">
        <v>79</v>
      </c>
      <c r="D66" s="54">
        <v>1.75</v>
      </c>
      <c r="E66" s="215">
        <f t="shared" si="3"/>
        <v>4491.6666666666661</v>
      </c>
      <c r="F66" s="305"/>
      <c r="G66" s="190">
        <f t="shared" si="2"/>
        <v>0</v>
      </c>
      <c r="H66" s="225"/>
    </row>
    <row r="67" spans="1:10" s="249" customFormat="1" ht="18.75" customHeight="1" x14ac:dyDescent="0.3">
      <c r="A67" s="225"/>
      <c r="B67" s="62" t="s">
        <v>80</v>
      </c>
      <c r="C67" s="37" t="s">
        <v>81</v>
      </c>
      <c r="D67" s="54">
        <v>2</v>
      </c>
      <c r="E67" s="215">
        <f t="shared" si="3"/>
        <v>5133.333333333333</v>
      </c>
      <c r="F67" s="305"/>
      <c r="G67" s="190">
        <f t="shared" si="2"/>
        <v>0</v>
      </c>
      <c r="H67" s="225"/>
    </row>
    <row r="68" spans="1:10" s="249" customFormat="1" ht="18.75" customHeight="1" thickBot="1" x14ac:dyDescent="0.35">
      <c r="A68" s="225"/>
      <c r="B68" s="63" t="s">
        <v>82</v>
      </c>
      <c r="C68" s="64" t="s">
        <v>83</v>
      </c>
      <c r="D68" s="65">
        <v>2.5</v>
      </c>
      <c r="E68" s="216">
        <f t="shared" si="3"/>
        <v>6416.6666666666661</v>
      </c>
      <c r="F68" s="306"/>
      <c r="G68" s="193">
        <f t="shared" si="2"/>
        <v>0</v>
      </c>
      <c r="H68" s="225"/>
    </row>
    <row r="69" spans="1:10" s="249" customFormat="1" ht="18.75" customHeight="1" thickBot="1" x14ac:dyDescent="0.35">
      <c r="A69" s="225"/>
      <c r="B69" s="95" t="s">
        <v>128</v>
      </c>
      <c r="C69" s="226"/>
      <c r="D69" s="227"/>
      <c r="E69" s="228"/>
      <c r="F69" s="234"/>
      <c r="G69" s="66">
        <f>SUM(G60:G68)</f>
        <v>0</v>
      </c>
      <c r="H69" s="225"/>
    </row>
    <row r="70" spans="1:10" s="249" customFormat="1" ht="13.5" customHeight="1" thickBot="1" x14ac:dyDescent="0.35">
      <c r="A70" s="225"/>
      <c r="B70" s="238"/>
      <c r="C70" s="282"/>
      <c r="D70" s="283"/>
      <c r="E70" s="281"/>
      <c r="F70" s="234"/>
      <c r="G70" s="208"/>
      <c r="H70" s="225"/>
    </row>
    <row r="71" spans="1:10" s="249" customFormat="1" ht="18.75" customHeight="1" thickBot="1" x14ac:dyDescent="0.35">
      <c r="A71" s="225"/>
      <c r="B71" s="113" t="s">
        <v>85</v>
      </c>
      <c r="C71" s="114"/>
      <c r="D71" s="105" t="s">
        <v>13</v>
      </c>
      <c r="E71" s="48" t="s">
        <v>62</v>
      </c>
      <c r="F71" s="234"/>
      <c r="G71" s="208"/>
      <c r="H71" s="225"/>
    </row>
    <row r="72" spans="1:10" s="249" customFormat="1" ht="18.75" customHeight="1" x14ac:dyDescent="0.3">
      <c r="A72" s="225"/>
      <c r="B72" s="74" t="s">
        <v>86</v>
      </c>
      <c r="C72" s="67" t="s">
        <v>87</v>
      </c>
      <c r="D72" s="295"/>
      <c r="E72" s="291"/>
      <c r="F72" s="234"/>
      <c r="G72" s="208"/>
      <c r="H72" s="225"/>
    </row>
    <row r="73" spans="1:10" s="249" customFormat="1" ht="18.75" customHeight="1" x14ac:dyDescent="0.3">
      <c r="A73" s="225"/>
      <c r="B73" s="26" t="s">
        <v>88</v>
      </c>
      <c r="C73" s="27" t="s">
        <v>89</v>
      </c>
      <c r="D73" s="54">
        <v>0.04</v>
      </c>
      <c r="E73" s="217">
        <f>ROUND(IF($E$18+E20+E21+E22&lt;=($C$5*25),ROUND($E$18+E20+E21+E22,-3),ROUND($C$5*25,-3))*D73,-2)</f>
        <v>24600</v>
      </c>
      <c r="F73" s="234"/>
      <c r="G73" s="208"/>
      <c r="H73" s="225"/>
    </row>
    <row r="74" spans="1:10" s="249" customFormat="1" ht="18.75" customHeight="1" x14ac:dyDescent="0.3">
      <c r="A74" s="225"/>
      <c r="B74" s="26" t="s">
        <v>90</v>
      </c>
      <c r="C74" s="37" t="s">
        <v>91</v>
      </c>
      <c r="D74" s="54">
        <v>0.04</v>
      </c>
      <c r="E74" s="217">
        <f>ROUND(IF($E$18+E20+E21+E22&lt;=($C$5*25),ROUND($E$18+E20+E21+E22,-3),ROUND($C$5*25,-3))*D74,-2)</f>
        <v>24600</v>
      </c>
      <c r="F74" s="234"/>
      <c r="G74" s="208"/>
      <c r="H74" s="225"/>
    </row>
    <row r="75" spans="1:10" s="249" customFormat="1" ht="18.75" customHeight="1" x14ac:dyDescent="0.3">
      <c r="A75" s="225"/>
      <c r="B75" s="26" t="s">
        <v>92</v>
      </c>
      <c r="C75" s="37" t="s">
        <v>93</v>
      </c>
      <c r="D75" s="79">
        <f>IF(E18+E20+E21+E22&lt;(C5*4),0,0.01)</f>
        <v>0</v>
      </c>
      <c r="E75" s="29">
        <f>IF(E18+E20+E21+E22&lt;(C5*4),0,(E18+E20+E21+E22)*D75)</f>
        <v>0</v>
      </c>
      <c r="F75" s="234"/>
      <c r="G75" s="208"/>
      <c r="H75" s="225"/>
    </row>
    <row r="76" spans="1:10" s="249" customFormat="1" ht="18.75" customHeight="1" x14ac:dyDescent="0.3">
      <c r="A76" s="225"/>
      <c r="B76" s="26" t="s">
        <v>94</v>
      </c>
      <c r="C76" s="37" t="s">
        <v>95</v>
      </c>
      <c r="D76" s="36">
        <f>IF(E18+E20+E21+E22&lt;C81,D81,IF(E18+E20+E21+E22&lt;C82,D82,IF(E18+E20+E21+E22&lt;C83,D83,IF(E18+E20+E21+E22&lt;C84,D84,IF(E18+E20+E21+E22&lt;C85,D85,D86)))))</f>
        <v>0</v>
      </c>
      <c r="E76" s="195">
        <f>(E18+E20+E21+E22)*D76</f>
        <v>0</v>
      </c>
      <c r="F76" s="234"/>
      <c r="G76" s="208"/>
      <c r="H76" s="225"/>
    </row>
    <row r="77" spans="1:10" s="249" customFormat="1" ht="18.75" customHeight="1" thickBot="1" x14ac:dyDescent="0.35">
      <c r="A77" s="225"/>
      <c r="B77" s="94" t="s">
        <v>96</v>
      </c>
      <c r="C77" s="69"/>
      <c r="D77" s="196"/>
      <c r="E77" s="70">
        <f>SUM(E72:E76)</f>
        <v>49200</v>
      </c>
      <c r="F77" s="234"/>
      <c r="G77" s="208"/>
      <c r="H77" s="225"/>
    </row>
    <row r="78" spans="1:10" s="249" customFormat="1" ht="13.5" customHeight="1" x14ac:dyDescent="0.3">
      <c r="A78" s="225"/>
      <c r="B78" s="238"/>
      <c r="C78" s="282"/>
      <c r="D78" s="283"/>
      <c r="E78" s="281"/>
      <c r="F78" s="234"/>
      <c r="G78" s="208"/>
      <c r="H78" s="225"/>
    </row>
    <row r="79" spans="1:10" ht="13.5" customHeight="1" thickBot="1" x14ac:dyDescent="0.35">
      <c r="B79" s="238"/>
      <c r="C79" s="282"/>
      <c r="D79" s="285"/>
      <c r="E79" s="281"/>
    </row>
    <row r="80" spans="1:10" ht="16.2" thickBot="1" x14ac:dyDescent="0.35">
      <c r="B80" s="71" t="s">
        <v>97</v>
      </c>
      <c r="C80" s="72"/>
      <c r="D80" s="19"/>
      <c r="E80" s="73"/>
    </row>
    <row r="81" spans="2:256" ht="15.6" x14ac:dyDescent="0.3">
      <c r="B81" s="74" t="s">
        <v>98</v>
      </c>
      <c r="C81" s="218">
        <f>$C$5*16</f>
        <v>9856000</v>
      </c>
      <c r="D81" s="75">
        <v>0</v>
      </c>
      <c r="E81" s="76"/>
    </row>
    <row r="82" spans="2:256" ht="15.6" x14ac:dyDescent="0.3">
      <c r="B82" s="39" t="s">
        <v>99</v>
      </c>
      <c r="C82" s="219">
        <f>$C$5*17</f>
        <v>10472000</v>
      </c>
      <c r="D82" s="77">
        <v>2E-3</v>
      </c>
      <c r="E82" s="78"/>
    </row>
    <row r="83" spans="2:256" ht="15.6" x14ac:dyDescent="0.3">
      <c r="B83" s="39" t="s">
        <v>100</v>
      </c>
      <c r="C83" s="220">
        <f>$C$5*18</f>
        <v>11088000</v>
      </c>
      <c r="D83" s="79">
        <v>4.0000000000000001E-3</v>
      </c>
      <c r="E83" s="29"/>
    </row>
    <row r="84" spans="2:256" ht="15.6" x14ac:dyDescent="0.3">
      <c r="B84" s="39" t="s">
        <v>101</v>
      </c>
      <c r="C84" s="220">
        <f>$C$5*19</f>
        <v>11704000</v>
      </c>
      <c r="D84" s="79">
        <v>6.0000000000000001E-3</v>
      </c>
      <c r="E84" s="29"/>
    </row>
    <row r="85" spans="2:256" ht="15.6" x14ac:dyDescent="0.3">
      <c r="B85" s="39" t="s">
        <v>102</v>
      </c>
      <c r="C85" s="220">
        <f>$C$5*20</f>
        <v>12320000</v>
      </c>
      <c r="D85" s="79">
        <v>8.0000000000000002E-3</v>
      </c>
      <c r="E85" s="29"/>
    </row>
    <row r="86" spans="2:256" ht="16.2" thickBot="1" x14ac:dyDescent="0.35">
      <c r="B86" s="80" t="s">
        <v>103</v>
      </c>
      <c r="C86" s="221">
        <v>12320000</v>
      </c>
      <c r="D86" s="81">
        <v>0.01</v>
      </c>
      <c r="E86" s="82"/>
      <c r="IV86" s="225">
        <v>2013</v>
      </c>
    </row>
    <row r="87" spans="2:256" x14ac:dyDescent="0.25">
      <c r="B87" s="245"/>
      <c r="C87" s="287"/>
      <c r="D87" s="288"/>
      <c r="E87" s="149" t="str">
        <f>+B69</f>
        <v>V1.2 Enero 4 de 2014</v>
      </c>
    </row>
    <row r="88" spans="2:256" ht="14.4" x14ac:dyDescent="0.3">
      <c r="D88" s="289"/>
      <c r="E88" s="290"/>
    </row>
    <row r="89" spans="2:256" ht="15.6" x14ac:dyDescent="0.3">
      <c r="C89" s="286"/>
    </row>
    <row r="90" spans="2:256" ht="15.6" x14ac:dyDescent="0.3">
      <c r="C90" s="286"/>
    </row>
    <row r="91" spans="2:256" ht="15.6" x14ac:dyDescent="0.3">
      <c r="C91" s="286"/>
    </row>
    <row r="92" spans="2:256" ht="15.6" x14ac:dyDescent="0.3">
      <c r="C92" s="286"/>
    </row>
    <row r="93" spans="2:256" ht="15.6" x14ac:dyDescent="0.3">
      <c r="C93" s="286"/>
    </row>
    <row r="94" spans="2:256" ht="15.6" x14ac:dyDescent="0.3">
      <c r="C94" s="286"/>
    </row>
    <row r="95" spans="2:256" ht="15.6" x14ac:dyDescent="0.3">
      <c r="C95" s="286"/>
    </row>
    <row r="96" spans="2:256" ht="15.6" x14ac:dyDescent="0.3">
      <c r="C96" s="286"/>
    </row>
    <row r="97" spans="3:3" ht="15.6" x14ac:dyDescent="0.3">
      <c r="C97" s="286"/>
    </row>
    <row r="98" spans="3:3" ht="15.6" x14ac:dyDescent="0.3">
      <c r="C98" s="286"/>
    </row>
    <row r="99" spans="3:3" ht="15.6" x14ac:dyDescent="0.3">
      <c r="C99" s="286"/>
    </row>
    <row r="65536" spans="256:256" x14ac:dyDescent="0.25">
      <c r="IV65536" s="322">
        <v>2014</v>
      </c>
    </row>
  </sheetData>
  <sheetProtection password="CC23" sheet="1"/>
  <protectedRanges>
    <protectedRange sqref="E20:F22" name="Rango5"/>
    <protectedRange sqref="C10:C12" name="Rango4"/>
    <protectedRange sqref="F60:F68" name="Rango2"/>
    <protectedRange sqref="E72" name="Rango3"/>
    <protectedRange sqref="C13" name="Rango4_1"/>
  </protectedRanges>
  <customSheetViews>
    <customSheetView guid="{005D785A-2C1A-7642-8E14-813F8ABC12DD}" scale="77" fitToPage="1">
      <selection activeCell="E8" sqref="E8"/>
      <pageMargins left="0" right="0" top="0" bottom="0" header="0" footer="0"/>
      <pageSetup scale="10" fitToHeight="0" orientation="portrait" horizontalDpi="300" verticalDpi="300" r:id="rId1"/>
    </customSheetView>
  </customSheetViews>
  <dataValidations disablePrompts="1" count="2">
    <dataValidation type="list" allowBlank="1" showInputMessage="1" showErrorMessage="1" sqref="C11" xr:uid="{00000000-0002-0000-0500-000000000000}">
      <formula1>$IV$6:$IV$10</formula1>
    </dataValidation>
    <dataValidation type="list" allowBlank="1" showInputMessage="1" showErrorMessage="1" sqref="D13" xr:uid="{00000000-0002-0000-0500-000001000000}">
      <formula1>$IV$13:$IV$16</formula1>
    </dataValidation>
  </dataValidations>
  <pageMargins left="0.70866141732283472" right="0.70866141732283472" top="0.39370078740157483" bottom="0" header="0.31496062992125984" footer="0.31496062992125984"/>
  <pageSetup scale="10" fitToHeight="0" orientation="portrait" horizontalDpi="300" verticalDpi="30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IV65536"/>
  <sheetViews>
    <sheetView topLeftCell="C5" zoomScale="150" zoomScaleNormal="150" zoomScalePageLayoutView="150" workbookViewId="0">
      <selection activeCell="C5" sqref="C5"/>
    </sheetView>
  </sheetViews>
  <sheetFormatPr baseColWidth="10" defaultColWidth="11.44140625" defaultRowHeight="13.2" x14ac:dyDescent="0.25"/>
  <cols>
    <col min="1" max="1" width="3.33203125" style="225" customWidth="1"/>
    <col min="2" max="2" width="45.33203125" style="225" customWidth="1"/>
    <col min="3" max="3" width="58.88671875" style="226" customWidth="1"/>
    <col min="4" max="4" width="11" style="227" customWidth="1"/>
    <col min="5" max="5" width="17.33203125" style="228" customWidth="1"/>
    <col min="6" max="6" width="10.44140625" style="323" customWidth="1"/>
    <col min="7" max="7" width="13.88671875" style="323" customWidth="1"/>
    <col min="8" max="8" width="7.6640625" style="225" customWidth="1"/>
    <col min="9" max="9" width="13.33203125" style="225" bestFit="1" customWidth="1"/>
    <col min="10" max="10" width="12" style="225" bestFit="1" customWidth="1"/>
    <col min="11" max="16384" width="11.44140625" style="225"/>
  </cols>
  <sheetData>
    <row r="1" spans="2:256" ht="11.25" customHeight="1" x14ac:dyDescent="0.25"/>
    <row r="2" spans="2:256" ht="18" customHeight="1" x14ac:dyDescent="0.3">
      <c r="B2" s="87" t="s">
        <v>0</v>
      </c>
      <c r="C2" s="229"/>
      <c r="D2" s="230"/>
      <c r="E2" s="231"/>
    </row>
    <row r="3" spans="2:256" ht="14.25" customHeight="1" thickBot="1" x14ac:dyDescent="0.3"/>
    <row r="4" spans="2:256" ht="18.75" customHeight="1" thickBot="1" x14ac:dyDescent="0.4">
      <c r="B4" s="146" t="s">
        <v>129</v>
      </c>
      <c r="C4" s="232"/>
      <c r="E4" s="233"/>
    </row>
    <row r="5" spans="2:256" ht="18.75" customHeight="1" x14ac:dyDescent="0.3">
      <c r="B5" s="6" t="s">
        <v>2</v>
      </c>
      <c r="C5" s="76">
        <v>589500</v>
      </c>
      <c r="E5" s="234"/>
      <c r="G5" s="234"/>
      <c r="I5" s="323"/>
    </row>
    <row r="6" spans="2:256" ht="18.75" customHeight="1" thickBot="1" x14ac:dyDescent="0.35">
      <c r="B6" s="159" t="s">
        <v>3</v>
      </c>
      <c r="C6" s="82">
        <v>70500</v>
      </c>
      <c r="G6" s="234"/>
      <c r="I6" s="235"/>
      <c r="J6" s="236"/>
      <c r="IV6" s="237">
        <v>5.2199999999999998E-3</v>
      </c>
    </row>
    <row r="7" spans="2:256" ht="13.5" customHeight="1" x14ac:dyDescent="0.3">
      <c r="B7" s="238"/>
      <c r="C7" s="239"/>
      <c r="G7" s="234"/>
      <c r="IV7" s="237">
        <v>1.044E-2</v>
      </c>
    </row>
    <row r="8" spans="2:256" ht="12.75" customHeight="1" x14ac:dyDescent="0.25">
      <c r="B8" s="238"/>
      <c r="C8" s="238"/>
      <c r="G8" s="234"/>
      <c r="IV8" s="237">
        <v>2.436E-2</v>
      </c>
    </row>
    <row r="9" spans="2:256" ht="12" customHeight="1" thickBot="1" x14ac:dyDescent="0.3">
      <c r="B9" s="9" t="s">
        <v>4</v>
      </c>
      <c r="C9" s="240" t="s">
        <v>130</v>
      </c>
      <c r="D9" s="241"/>
      <c r="E9" s="242"/>
      <c r="IV9" s="237">
        <v>4.3499999999999997E-2</v>
      </c>
    </row>
    <row r="10" spans="2:256" ht="18.75" customHeight="1" x14ac:dyDescent="0.3">
      <c r="B10" s="11" t="s">
        <v>6</v>
      </c>
      <c r="C10" s="291">
        <v>589500</v>
      </c>
      <c r="D10" s="243"/>
      <c r="E10" s="244"/>
      <c r="G10" s="324"/>
      <c r="H10" s="245"/>
      <c r="IV10" s="237">
        <v>6.9599999999999995E-2</v>
      </c>
    </row>
    <row r="11" spans="2:256" ht="18.75" customHeight="1" x14ac:dyDescent="0.3">
      <c r="B11" s="13" t="s">
        <v>7</v>
      </c>
      <c r="C11" s="292">
        <v>2.436E-2</v>
      </c>
      <c r="D11" s="241"/>
      <c r="E11" s="244"/>
      <c r="G11" s="325"/>
      <c r="H11" s="245"/>
    </row>
    <row r="12" spans="2:256" ht="18.75" customHeight="1" thickBot="1" x14ac:dyDescent="0.35">
      <c r="B12" s="15" t="s">
        <v>8</v>
      </c>
      <c r="C12" s="326"/>
      <c r="D12" s="241"/>
      <c r="E12" s="242"/>
      <c r="G12" s="247"/>
      <c r="H12" s="245"/>
      <c r="IR12" s="248"/>
      <c r="IV12" s="249"/>
    </row>
    <row r="13" spans="2:256" ht="10.5" customHeight="1" x14ac:dyDescent="0.3">
      <c r="B13" s="238"/>
      <c r="C13" s="247"/>
      <c r="D13" s="241"/>
      <c r="E13" s="242"/>
      <c r="G13" s="325"/>
      <c r="H13" s="245"/>
      <c r="IR13" s="248"/>
    </row>
    <row r="14" spans="2:256" ht="10.5" customHeight="1" thickBot="1" x14ac:dyDescent="0.35">
      <c r="B14" s="250"/>
      <c r="C14" s="251"/>
      <c r="D14" s="252"/>
      <c r="F14" s="327"/>
      <c r="G14" s="325"/>
      <c r="H14" s="245"/>
      <c r="IR14" s="248"/>
    </row>
    <row r="15" spans="2:256" s="249" customFormat="1" ht="18.75" customHeight="1" x14ac:dyDescent="0.3">
      <c r="B15" s="96" t="s">
        <v>11</v>
      </c>
      <c r="C15" s="97" t="s">
        <v>12</v>
      </c>
      <c r="D15" s="98" t="s">
        <v>13</v>
      </c>
      <c r="E15" s="99" t="s">
        <v>131</v>
      </c>
      <c r="F15" s="328"/>
      <c r="G15" s="325"/>
      <c r="H15" s="245"/>
      <c r="IR15" s="253"/>
    </row>
    <row r="16" spans="2:256" s="249" customFormat="1" ht="9" customHeight="1" x14ac:dyDescent="0.3">
      <c r="B16" s="254"/>
      <c r="C16" s="239"/>
      <c r="D16" s="239"/>
      <c r="E16" s="255"/>
      <c r="F16" s="328"/>
      <c r="G16" s="328"/>
      <c r="IR16" s="253"/>
    </row>
    <row r="17" spans="2:252" s="249" customFormat="1" ht="18.75" customHeight="1" x14ac:dyDescent="0.3">
      <c r="B17" s="256" t="s">
        <v>17</v>
      </c>
      <c r="C17" s="257"/>
      <c r="D17" s="258"/>
      <c r="E17" s="259"/>
      <c r="F17" s="328"/>
      <c r="G17" s="328"/>
      <c r="IR17" s="253"/>
    </row>
    <row r="18" spans="2:252" s="249" customFormat="1" ht="18.75" customHeight="1" x14ac:dyDescent="0.3">
      <c r="B18" s="26" t="s">
        <v>18</v>
      </c>
      <c r="C18" s="27" t="s">
        <v>19</v>
      </c>
      <c r="D18" s="28"/>
      <c r="E18" s="29">
        <f>IF(C10&lt;C5,FALSE,C10)</f>
        <v>589500</v>
      </c>
      <c r="F18" s="329"/>
      <c r="G18" s="328"/>
      <c r="IR18" s="253"/>
    </row>
    <row r="19" spans="2:252" s="249" customFormat="1" ht="18.75" customHeight="1" x14ac:dyDescent="0.3">
      <c r="B19" s="26" t="s">
        <v>20</v>
      </c>
      <c r="C19" s="27" t="s">
        <v>132</v>
      </c>
      <c r="D19" s="28"/>
      <c r="E19" s="29">
        <f>IF(E18+E20+E21+E22&lt;=(C5*2),C6,0)</f>
        <v>70500</v>
      </c>
      <c r="F19" s="329"/>
      <c r="G19" s="328"/>
    </row>
    <row r="20" spans="2:252" s="249" customFormat="1" ht="18.75" customHeight="1" x14ac:dyDescent="0.3">
      <c r="B20" s="26" t="s">
        <v>22</v>
      </c>
      <c r="C20" s="27" t="s">
        <v>23</v>
      </c>
      <c r="D20" s="262"/>
      <c r="E20" s="263"/>
      <c r="F20" s="329"/>
      <c r="G20" s="328"/>
      <c r="J20" s="264"/>
    </row>
    <row r="21" spans="2:252" s="249" customFormat="1" ht="18.75" customHeight="1" x14ac:dyDescent="0.3">
      <c r="B21" s="26" t="s">
        <v>118</v>
      </c>
      <c r="C21" s="27" t="s">
        <v>25</v>
      </c>
      <c r="D21" s="262"/>
      <c r="E21" s="263"/>
      <c r="F21" s="329"/>
      <c r="G21" s="328"/>
    </row>
    <row r="22" spans="2:252" s="249" customFormat="1" ht="18.75" customHeight="1" x14ac:dyDescent="0.3">
      <c r="B22" s="26" t="s">
        <v>26</v>
      </c>
      <c r="C22" s="27" t="s">
        <v>110</v>
      </c>
      <c r="D22" s="262"/>
      <c r="E22" s="263"/>
      <c r="F22" s="329"/>
      <c r="G22" s="328"/>
    </row>
    <row r="23" spans="2:252" s="249" customFormat="1" ht="18.75" customHeight="1" x14ac:dyDescent="0.3">
      <c r="B23" s="148" t="s">
        <v>28</v>
      </c>
      <c r="C23" s="265"/>
      <c r="D23" s="266"/>
      <c r="E23" s="30">
        <f>SUM(E18:E22)</f>
        <v>660000</v>
      </c>
      <c r="F23" s="330"/>
      <c r="G23" s="330"/>
    </row>
    <row r="24" spans="2:252" s="249" customFormat="1" ht="18.75" customHeight="1" x14ac:dyDescent="0.3">
      <c r="B24" s="267"/>
      <c r="C24" s="268"/>
      <c r="D24" s="269"/>
      <c r="E24" s="263"/>
      <c r="F24" s="330"/>
      <c r="G24" s="330"/>
    </row>
    <row r="25" spans="2:252" s="249" customFormat="1" ht="18.75" customHeight="1" x14ac:dyDescent="0.3">
      <c r="B25" s="270" t="s">
        <v>29</v>
      </c>
      <c r="C25" s="257"/>
      <c r="D25" s="258"/>
      <c r="E25" s="263"/>
      <c r="F25" s="330"/>
      <c r="G25" s="330"/>
    </row>
    <row r="26" spans="2:252" s="249" customFormat="1" ht="18.75" customHeight="1" x14ac:dyDescent="0.3">
      <c r="B26" s="26" t="s">
        <v>30</v>
      </c>
      <c r="C26" s="27" t="s">
        <v>31</v>
      </c>
      <c r="D26" s="35">
        <v>8.3333333333333343E-2</v>
      </c>
      <c r="E26" s="29">
        <f>E23*D26</f>
        <v>55000.000000000007</v>
      </c>
      <c r="F26" s="328"/>
      <c r="G26" s="328"/>
    </row>
    <row r="27" spans="2:252" s="249" customFormat="1" ht="18.75" customHeight="1" x14ac:dyDescent="0.3">
      <c r="B27" s="26" t="s">
        <v>32</v>
      </c>
      <c r="C27" s="27" t="s">
        <v>33</v>
      </c>
      <c r="D27" s="36">
        <v>0.12</v>
      </c>
      <c r="E27" s="29">
        <f>+E26*D27</f>
        <v>6600.0000000000009</v>
      </c>
      <c r="F27" s="328"/>
      <c r="G27" s="328"/>
    </row>
    <row r="28" spans="2:252" s="249" customFormat="1" ht="18.75" customHeight="1" x14ac:dyDescent="0.3">
      <c r="B28" s="26" t="s">
        <v>34</v>
      </c>
      <c r="C28" s="27" t="s">
        <v>31</v>
      </c>
      <c r="D28" s="35">
        <v>8.3333333333333343E-2</v>
      </c>
      <c r="E28" s="29">
        <f>E23*D28</f>
        <v>55000.000000000007</v>
      </c>
      <c r="F28" s="328"/>
      <c r="G28" s="328"/>
    </row>
    <row r="29" spans="2:252" s="249" customFormat="1" ht="18.75" customHeight="1" x14ac:dyDescent="0.3">
      <c r="B29" s="26" t="s">
        <v>35</v>
      </c>
      <c r="C29" s="37" t="s">
        <v>36</v>
      </c>
      <c r="D29" s="35">
        <v>4.1666666666666664E-2</v>
      </c>
      <c r="E29" s="29">
        <f>(E18+E20)*D29</f>
        <v>24562.5</v>
      </c>
      <c r="F29" s="328"/>
      <c r="G29" s="331"/>
    </row>
    <row r="30" spans="2:252" s="249" customFormat="1" ht="18.75" customHeight="1" x14ac:dyDescent="0.3">
      <c r="B30" s="177" t="s">
        <v>37</v>
      </c>
      <c r="C30" s="38"/>
      <c r="D30" s="33"/>
      <c r="E30" s="30">
        <f>SUM(E26:E29)</f>
        <v>141162.5</v>
      </c>
      <c r="F30" s="328"/>
      <c r="G30" s="328"/>
    </row>
    <row r="31" spans="2:252" s="249" customFormat="1" ht="18.75" customHeight="1" x14ac:dyDescent="0.3">
      <c r="B31" s="260"/>
      <c r="C31" s="261"/>
      <c r="D31" s="262"/>
      <c r="E31" s="259"/>
      <c r="F31" s="328"/>
      <c r="G31" s="328"/>
      <c r="H31" s="238"/>
    </row>
    <row r="32" spans="2:252" s="249" customFormat="1" ht="18.75" customHeight="1" x14ac:dyDescent="0.3">
      <c r="B32" s="256" t="s">
        <v>38</v>
      </c>
      <c r="C32" s="257"/>
      <c r="D32" s="258"/>
      <c r="E32" s="259"/>
      <c r="F32" s="328"/>
      <c r="G32" s="328"/>
      <c r="H32" s="238"/>
    </row>
    <row r="33" spans="2:9" s="249" customFormat="1" ht="18.75" customHeight="1" x14ac:dyDescent="0.3">
      <c r="B33" s="39" t="s">
        <v>39</v>
      </c>
      <c r="C33" s="85">
        <f>ROUND(IF($E$18+E20+E21+E22&lt;=($C$5*25),ROUND($E$18+E20+E21+E22,-3),ROUND($C$5*25,-3))*0.125,-2)</f>
        <v>73800</v>
      </c>
      <c r="D33" s="36">
        <v>8.5000000000000006E-2</v>
      </c>
      <c r="E33" s="29">
        <f>C33-E73</f>
        <v>50200</v>
      </c>
      <c r="F33" s="328"/>
      <c r="G33" s="332"/>
      <c r="H33" s="274"/>
      <c r="I33" s="275"/>
    </row>
    <row r="34" spans="2:9" s="249" customFormat="1" ht="18.75" customHeight="1" x14ac:dyDescent="0.3">
      <c r="B34" s="26" t="s">
        <v>40</v>
      </c>
      <c r="C34" s="85">
        <f>ROUND(IF($E$18+E20+E21+E22&lt;=($C$5*25),ROUND($E$18+E20+E21+E22,-3),ROUND($C$5*25,-3))*0.16,-2)</f>
        <v>94400</v>
      </c>
      <c r="D34" s="36">
        <v>0.12</v>
      </c>
      <c r="E34" s="29">
        <f>C34-E74</f>
        <v>70800</v>
      </c>
      <c r="F34" s="328"/>
      <c r="G34" s="332"/>
      <c r="H34" s="276"/>
    </row>
    <row r="35" spans="2:9" s="249" customFormat="1" ht="18.75" customHeight="1" x14ac:dyDescent="0.3">
      <c r="B35" s="26" t="s">
        <v>119</v>
      </c>
      <c r="C35" s="37" t="s">
        <v>42</v>
      </c>
      <c r="D35" s="28">
        <f>C11</f>
        <v>2.436E-2</v>
      </c>
      <c r="E35" s="29">
        <f>ROUND(IF($E$18+E21+E20+E22&lt;=($C$5*20),ROUND($E$18+E20+E21+E22,-3),ROUND($C$5*20,-3))*D35,-2)</f>
        <v>14400</v>
      </c>
      <c r="F35" s="328"/>
      <c r="G35" s="332"/>
      <c r="H35" s="238"/>
    </row>
    <row r="36" spans="2:9" s="249" customFormat="1" ht="18.75" customHeight="1" x14ac:dyDescent="0.3">
      <c r="B36" s="26" t="s">
        <v>43</v>
      </c>
      <c r="C36" s="271"/>
      <c r="D36" s="36">
        <v>8.5000000000000006E-2</v>
      </c>
      <c r="E36" s="29">
        <f>ROUND(IF($E$29&lt;=($C$5*25),ROUND($E$29,-3),ROUND($C$5*25,-3))*D36,-2)</f>
        <v>2100</v>
      </c>
      <c r="F36" s="328"/>
      <c r="G36" s="328"/>
    </row>
    <row r="37" spans="2:9" s="249" customFormat="1" ht="18.75" customHeight="1" x14ac:dyDescent="0.3">
      <c r="B37" s="26" t="s">
        <v>44</v>
      </c>
      <c r="C37" s="271"/>
      <c r="D37" s="36">
        <v>0.12</v>
      </c>
      <c r="E37" s="29">
        <f>ROUND(IF($E$29&lt;=($C$5*25),ROUND($E$29,-3),ROUND($C$5*25,-3))*D37,-2)</f>
        <v>3000</v>
      </c>
      <c r="F37" s="328"/>
      <c r="G37" s="328"/>
    </row>
    <row r="38" spans="2:9" s="249" customFormat="1" ht="18.75" customHeight="1" x14ac:dyDescent="0.3">
      <c r="B38" s="177" t="s">
        <v>45</v>
      </c>
      <c r="C38" s="272"/>
      <c r="D38" s="269"/>
      <c r="E38" s="30">
        <f>SUM(E33:E37)</f>
        <v>140500</v>
      </c>
      <c r="F38" s="328"/>
      <c r="G38" s="328"/>
    </row>
    <row r="39" spans="2:9" s="249" customFormat="1" ht="18.75" customHeight="1" x14ac:dyDescent="0.3">
      <c r="B39" s="260"/>
      <c r="C39" s="261"/>
      <c r="D39" s="262"/>
      <c r="E39" s="259"/>
      <c r="F39" s="328"/>
      <c r="G39" s="328"/>
    </row>
    <row r="40" spans="2:9" s="249" customFormat="1" ht="18.75" customHeight="1" x14ac:dyDescent="0.3">
      <c r="B40" s="256" t="s">
        <v>46</v>
      </c>
      <c r="C40" s="257"/>
      <c r="D40" s="258"/>
      <c r="E40" s="259"/>
      <c r="F40" s="328"/>
      <c r="G40" s="328"/>
    </row>
    <row r="41" spans="2:9" s="249" customFormat="1" ht="18.75" customHeight="1" x14ac:dyDescent="0.3">
      <c r="B41" s="26" t="s">
        <v>47</v>
      </c>
      <c r="C41" s="37" t="s">
        <v>133</v>
      </c>
      <c r="D41" s="36">
        <v>0.04</v>
      </c>
      <c r="E41" s="29">
        <f>ROUND(ROUND(E18+E20+E21+E22,-3)*D41,-2)</f>
        <v>23600</v>
      </c>
      <c r="F41" s="328"/>
      <c r="G41" s="328"/>
    </row>
    <row r="42" spans="2:9" s="249" customFormat="1" ht="18.75" customHeight="1" x14ac:dyDescent="0.3">
      <c r="B42" s="26" t="s">
        <v>49</v>
      </c>
      <c r="C42" s="37"/>
      <c r="D42" s="36">
        <v>0.04</v>
      </c>
      <c r="E42" s="29">
        <f>ROUND(ROUND(E29,-3)*D42,-2)</f>
        <v>1000</v>
      </c>
      <c r="F42" s="328"/>
      <c r="G42" s="328"/>
    </row>
    <row r="43" spans="2:9" s="249" customFormat="1" ht="18.75" customHeight="1" x14ac:dyDescent="0.3">
      <c r="B43" s="177" t="s">
        <v>50</v>
      </c>
      <c r="C43" s="38"/>
      <c r="D43" s="33"/>
      <c r="E43" s="30">
        <f>SUM(E41:E42)</f>
        <v>24600</v>
      </c>
      <c r="F43" s="328"/>
      <c r="G43" s="328"/>
    </row>
    <row r="44" spans="2:9" s="249" customFormat="1" ht="18.75" customHeight="1" x14ac:dyDescent="0.3">
      <c r="B44" s="273"/>
      <c r="C44" s="271"/>
      <c r="D44" s="262"/>
      <c r="E44" s="259"/>
      <c r="F44" s="328"/>
      <c r="G44" s="328"/>
    </row>
    <row r="45" spans="2:9" s="249" customFormat="1" ht="18.75" customHeight="1" x14ac:dyDescent="0.3">
      <c r="B45" s="256" t="s">
        <v>51</v>
      </c>
      <c r="C45" s="257"/>
      <c r="D45" s="258"/>
      <c r="E45" s="259"/>
      <c r="F45" s="328"/>
      <c r="G45" s="328"/>
    </row>
    <row r="46" spans="2:9" s="249" customFormat="1" ht="18.75" customHeight="1" x14ac:dyDescent="0.3">
      <c r="B46" s="39" t="s">
        <v>53</v>
      </c>
      <c r="C46" s="37" t="s">
        <v>54</v>
      </c>
      <c r="D46" s="293"/>
      <c r="E46" s="29">
        <f>IF(E18+E20+E21+E22&lt;=C5*2,(C12*3)/12,0)</f>
        <v>0</v>
      </c>
      <c r="F46" s="328"/>
      <c r="G46" s="328"/>
    </row>
    <row r="47" spans="2:9" s="249" customFormat="1" ht="18.75" customHeight="1" x14ac:dyDescent="0.3">
      <c r="B47" s="260"/>
      <c r="C47" s="261"/>
      <c r="D47" s="262"/>
      <c r="E47" s="277"/>
      <c r="F47" s="328"/>
      <c r="G47" s="328"/>
    </row>
    <row r="48" spans="2:9" s="249" customFormat="1" ht="18.75" customHeight="1" x14ac:dyDescent="0.3">
      <c r="B48" s="31" t="s">
        <v>55</v>
      </c>
      <c r="C48" s="32"/>
      <c r="D48" s="33"/>
      <c r="E48" s="30">
        <f>E23+E30+E38+E43+E46</f>
        <v>966262.5</v>
      </c>
      <c r="F48" s="333"/>
      <c r="G48" s="330"/>
    </row>
    <row r="49" spans="1:10" s="249" customFormat="1" ht="18.75" customHeight="1" thickBot="1" x14ac:dyDescent="0.35">
      <c r="B49" s="80" t="s">
        <v>56</v>
      </c>
      <c r="C49" s="43"/>
      <c r="D49" s="44"/>
      <c r="E49" s="93">
        <f>+(E48/(E23-E19))-1</f>
        <v>0.63912213740458013</v>
      </c>
      <c r="F49" s="330"/>
      <c r="G49" s="330"/>
    </row>
    <row r="50" spans="1:10" s="249" customFormat="1" ht="13.5" customHeight="1" x14ac:dyDescent="0.3">
      <c r="B50" s="278"/>
      <c r="C50" s="279"/>
      <c r="D50" s="280"/>
      <c r="E50" s="281"/>
      <c r="F50" s="330"/>
      <c r="G50" s="330"/>
    </row>
    <row r="51" spans="1:10" s="249" customFormat="1" ht="13.5" customHeight="1" thickBot="1" x14ac:dyDescent="0.35">
      <c r="B51" s="278"/>
      <c r="C51" s="279"/>
      <c r="D51" s="280"/>
      <c r="E51" s="281"/>
      <c r="F51" s="330"/>
      <c r="G51" s="330"/>
    </row>
    <row r="52" spans="1:10" s="249" customFormat="1" ht="18.75" customHeight="1" x14ac:dyDescent="0.3">
      <c r="A52" s="225"/>
      <c r="B52" s="74" t="s">
        <v>57</v>
      </c>
      <c r="C52" s="294"/>
      <c r="D52" s="295"/>
      <c r="E52" s="187">
        <f>E48*12</f>
        <v>11595150</v>
      </c>
      <c r="F52" s="323"/>
      <c r="G52" s="323"/>
      <c r="H52" s="225"/>
    </row>
    <row r="53" spans="1:10" s="249" customFormat="1" ht="18.75" customHeight="1" x14ac:dyDescent="0.3">
      <c r="A53" s="225"/>
      <c r="B53" s="26" t="s">
        <v>127</v>
      </c>
      <c r="C53" s="27"/>
      <c r="D53" s="296"/>
      <c r="E53" s="29">
        <v>296</v>
      </c>
      <c r="F53" s="323"/>
      <c r="G53" s="323"/>
      <c r="H53" s="225"/>
    </row>
    <row r="54" spans="1:10" s="249" customFormat="1" ht="18.75" customHeight="1" x14ac:dyDescent="0.3">
      <c r="A54" s="225"/>
      <c r="B54" s="26" t="s">
        <v>59</v>
      </c>
      <c r="C54" s="27"/>
      <c r="D54" s="296"/>
      <c r="E54" s="29">
        <f>E52/E53</f>
        <v>39172.804054054053</v>
      </c>
      <c r="F54" s="323"/>
      <c r="G54" s="323"/>
      <c r="H54" s="225"/>
    </row>
    <row r="55" spans="1:10" s="249" customFormat="1" ht="18.75" customHeight="1" thickBot="1" x14ac:dyDescent="0.35">
      <c r="A55" s="225"/>
      <c r="B55" s="188" t="s">
        <v>60</v>
      </c>
      <c r="C55" s="69"/>
      <c r="D55" s="297"/>
      <c r="E55" s="82">
        <f>E54/8</f>
        <v>4896.6005067567567</v>
      </c>
      <c r="F55" s="323"/>
      <c r="G55" s="323"/>
      <c r="H55" s="225"/>
    </row>
    <row r="56" spans="1:10" s="249" customFormat="1" ht="11.25" customHeight="1" x14ac:dyDescent="0.3">
      <c r="A56" s="225"/>
      <c r="B56" s="238"/>
      <c r="C56" s="282"/>
      <c r="D56" s="283"/>
      <c r="E56" s="281"/>
      <c r="F56" s="323"/>
      <c r="G56" s="323"/>
      <c r="H56" s="225"/>
    </row>
    <row r="57" spans="1:10" s="249" customFormat="1" ht="11.25" customHeight="1" thickBot="1" x14ac:dyDescent="0.35">
      <c r="A57" s="225"/>
      <c r="B57" s="238"/>
      <c r="C57" s="282"/>
      <c r="D57" s="283"/>
      <c r="E57" s="281"/>
      <c r="F57" s="323"/>
      <c r="G57" s="323"/>
      <c r="H57" s="225"/>
    </row>
    <row r="58" spans="1:10" s="249" customFormat="1" ht="18.75" customHeight="1" thickBot="1" x14ac:dyDescent="0.35">
      <c r="A58" s="225"/>
      <c r="B58" s="45" t="s">
        <v>61</v>
      </c>
      <c r="C58" s="46"/>
      <c r="D58" s="47" t="s">
        <v>13</v>
      </c>
      <c r="E58" s="48" t="s">
        <v>62</v>
      </c>
      <c r="F58" s="47" t="s">
        <v>63</v>
      </c>
      <c r="G58" s="49" t="s">
        <v>62</v>
      </c>
    </row>
    <row r="59" spans="1:10" s="249" customFormat="1" ht="18.75" customHeight="1" x14ac:dyDescent="0.3">
      <c r="A59" s="225"/>
      <c r="B59" s="50" t="s">
        <v>64</v>
      </c>
      <c r="C59" s="51" t="s">
        <v>112</v>
      </c>
      <c r="D59" s="52"/>
      <c r="E59" s="213">
        <f>(E18/30)/8</f>
        <v>2456.25</v>
      </c>
      <c r="F59" s="334"/>
      <c r="G59" s="298"/>
      <c r="H59" s="225"/>
      <c r="I59" s="253"/>
    </row>
    <row r="60" spans="1:10" s="249" customFormat="1" ht="18.75" customHeight="1" x14ac:dyDescent="0.3">
      <c r="A60" s="225"/>
      <c r="B60" s="39" t="s">
        <v>66</v>
      </c>
      <c r="C60" s="37" t="s">
        <v>113</v>
      </c>
      <c r="D60" s="54">
        <v>0.35</v>
      </c>
      <c r="E60" s="214">
        <f>$E$59*D60</f>
        <v>859.6875</v>
      </c>
      <c r="F60" s="335"/>
      <c r="G60" s="190">
        <f t="shared" ref="G60:G68" si="0">E60*F60</f>
        <v>0</v>
      </c>
      <c r="H60" s="225"/>
      <c r="I60" s="284"/>
      <c r="J60" s="264"/>
    </row>
    <row r="61" spans="1:10" s="249" customFormat="1" ht="18.75" customHeight="1" x14ac:dyDescent="0.3">
      <c r="A61" s="225"/>
      <c r="B61" s="39" t="s">
        <v>68</v>
      </c>
      <c r="C61" s="37" t="s">
        <v>69</v>
      </c>
      <c r="D61" s="54">
        <v>0.75</v>
      </c>
      <c r="E61" s="214">
        <f>$E$59*D61</f>
        <v>1842.1875</v>
      </c>
      <c r="F61" s="335"/>
      <c r="G61" s="190">
        <f t="shared" si="0"/>
        <v>0</v>
      </c>
      <c r="H61" s="225"/>
      <c r="I61" s="284"/>
    </row>
    <row r="62" spans="1:10" s="249" customFormat="1" ht="18.75" customHeight="1" x14ac:dyDescent="0.3">
      <c r="A62" s="225"/>
      <c r="B62" s="56" t="s">
        <v>70</v>
      </c>
      <c r="C62" s="57" t="s">
        <v>71</v>
      </c>
      <c r="D62" s="58">
        <v>1.75</v>
      </c>
      <c r="E62" s="214">
        <f>$E$59*D62</f>
        <v>4298.4375</v>
      </c>
      <c r="F62" s="336"/>
      <c r="G62" s="190">
        <f t="shared" si="0"/>
        <v>0</v>
      </c>
      <c r="H62" s="225"/>
      <c r="I62" s="253"/>
    </row>
    <row r="63" spans="1:10" s="249" customFormat="1" ht="18.75" customHeight="1" x14ac:dyDescent="0.3">
      <c r="A63" s="225"/>
      <c r="B63" s="26" t="s">
        <v>72</v>
      </c>
      <c r="C63" s="27" t="s">
        <v>73</v>
      </c>
      <c r="D63" s="222">
        <v>1.1000000000000001</v>
      </c>
      <c r="E63" s="215">
        <f t="shared" ref="E63:E68" si="1">$E$59*D63</f>
        <v>2701.875</v>
      </c>
      <c r="F63" s="336"/>
      <c r="G63" s="190">
        <f t="shared" si="0"/>
        <v>0</v>
      </c>
      <c r="H63" s="225"/>
      <c r="I63" s="253"/>
    </row>
    <row r="64" spans="1:10" s="249" customFormat="1" ht="18.75" customHeight="1" x14ac:dyDescent="0.3">
      <c r="A64" s="225"/>
      <c r="B64" s="86" t="s">
        <v>74</v>
      </c>
      <c r="C64" s="27" t="s">
        <v>75</v>
      </c>
      <c r="D64" s="223">
        <v>2.1</v>
      </c>
      <c r="E64" s="215">
        <f t="shared" si="1"/>
        <v>5158.125</v>
      </c>
      <c r="F64" s="336"/>
      <c r="G64" s="190">
        <f t="shared" si="0"/>
        <v>0</v>
      </c>
      <c r="H64" s="225"/>
      <c r="J64" s="253"/>
    </row>
    <row r="65" spans="1:10" s="249" customFormat="1" ht="18.75" customHeight="1" x14ac:dyDescent="0.3">
      <c r="A65" s="225"/>
      <c r="B65" s="59" t="s">
        <v>76</v>
      </c>
      <c r="C65" s="60" t="s">
        <v>77</v>
      </c>
      <c r="D65" s="61">
        <v>1.25</v>
      </c>
      <c r="E65" s="215">
        <f t="shared" si="1"/>
        <v>3070.3125</v>
      </c>
      <c r="F65" s="335"/>
      <c r="G65" s="190">
        <f t="shared" si="0"/>
        <v>0</v>
      </c>
      <c r="H65" s="225"/>
      <c r="J65" s="253"/>
    </row>
    <row r="66" spans="1:10" s="249" customFormat="1" ht="18.75" customHeight="1" x14ac:dyDescent="0.3">
      <c r="A66" s="225"/>
      <c r="B66" s="62" t="s">
        <v>78</v>
      </c>
      <c r="C66" s="37" t="s">
        <v>79</v>
      </c>
      <c r="D66" s="54">
        <v>1.75</v>
      </c>
      <c r="E66" s="215">
        <f t="shared" si="1"/>
        <v>4298.4375</v>
      </c>
      <c r="F66" s="337"/>
      <c r="G66" s="190">
        <f t="shared" si="0"/>
        <v>0</v>
      </c>
      <c r="H66" s="225"/>
    </row>
    <row r="67" spans="1:10" s="249" customFormat="1" ht="18.75" customHeight="1" x14ac:dyDescent="0.3">
      <c r="A67" s="225"/>
      <c r="B67" s="62" t="s">
        <v>80</v>
      </c>
      <c r="C67" s="37" t="s">
        <v>81</v>
      </c>
      <c r="D67" s="54">
        <v>2</v>
      </c>
      <c r="E67" s="215">
        <f t="shared" si="1"/>
        <v>4912.5</v>
      </c>
      <c r="F67" s="337"/>
      <c r="G67" s="190">
        <f t="shared" si="0"/>
        <v>0</v>
      </c>
      <c r="H67" s="225"/>
    </row>
    <row r="68" spans="1:10" s="249" customFormat="1" ht="18.75" customHeight="1" thickBot="1" x14ac:dyDescent="0.35">
      <c r="A68" s="225"/>
      <c r="B68" s="63" t="s">
        <v>82</v>
      </c>
      <c r="C68" s="64" t="s">
        <v>83</v>
      </c>
      <c r="D68" s="65">
        <v>2.5</v>
      </c>
      <c r="E68" s="216">
        <f t="shared" si="1"/>
        <v>6140.625</v>
      </c>
      <c r="F68" s="338"/>
      <c r="G68" s="193">
        <f t="shared" si="0"/>
        <v>0</v>
      </c>
      <c r="H68" s="225"/>
    </row>
    <row r="69" spans="1:10" s="249" customFormat="1" ht="18.75" customHeight="1" thickBot="1" x14ac:dyDescent="0.35">
      <c r="A69" s="225"/>
      <c r="B69" s="95" t="s">
        <v>134</v>
      </c>
      <c r="C69" s="226"/>
      <c r="D69" s="227"/>
      <c r="E69" s="228"/>
      <c r="F69" s="323"/>
      <c r="G69" s="66">
        <f>SUM(G60:G68)</f>
        <v>0</v>
      </c>
      <c r="H69" s="225"/>
    </row>
    <row r="70" spans="1:10" s="249" customFormat="1" ht="13.5" customHeight="1" thickBot="1" x14ac:dyDescent="0.35">
      <c r="A70" s="225"/>
      <c r="B70" s="238"/>
      <c r="C70" s="282"/>
      <c r="D70" s="283"/>
      <c r="E70" s="281"/>
      <c r="F70" s="323"/>
      <c r="G70" s="323"/>
      <c r="H70" s="225"/>
    </row>
    <row r="71" spans="1:10" s="249" customFormat="1" ht="18.75" customHeight="1" thickBot="1" x14ac:dyDescent="0.35">
      <c r="A71" s="225"/>
      <c r="B71" s="113" t="s">
        <v>85</v>
      </c>
      <c r="C71" s="114"/>
      <c r="D71" s="105" t="s">
        <v>13</v>
      </c>
      <c r="E71" s="48" t="s">
        <v>62</v>
      </c>
      <c r="F71" s="323"/>
      <c r="G71" s="323"/>
      <c r="H71" s="225"/>
    </row>
    <row r="72" spans="1:10" s="249" customFormat="1" ht="18.75" customHeight="1" x14ac:dyDescent="0.3">
      <c r="A72" s="225"/>
      <c r="B72" s="74" t="s">
        <v>86</v>
      </c>
      <c r="C72" s="67" t="s">
        <v>87</v>
      </c>
      <c r="D72" s="295"/>
      <c r="E72" s="291"/>
      <c r="F72" s="323"/>
      <c r="G72" s="323"/>
      <c r="H72" s="225"/>
    </row>
    <row r="73" spans="1:10" s="249" customFormat="1" ht="18.75" customHeight="1" x14ac:dyDescent="0.3">
      <c r="A73" s="225"/>
      <c r="B73" s="26" t="s">
        <v>88</v>
      </c>
      <c r="C73" s="27" t="s">
        <v>89</v>
      </c>
      <c r="D73" s="54">
        <v>0.04</v>
      </c>
      <c r="E73" s="217">
        <f>ROUND(IF($E$18+E20+E21+E22&lt;=($C$5*25),ROUND($E$18+E20+E21+E22,-3),ROUND($C$5*25,-3))*D73,-2)</f>
        <v>23600</v>
      </c>
      <c r="F73" s="323"/>
      <c r="G73" s="323"/>
      <c r="H73" s="225"/>
    </row>
    <row r="74" spans="1:10" s="249" customFormat="1" ht="18.75" customHeight="1" x14ac:dyDescent="0.3">
      <c r="A74" s="225"/>
      <c r="B74" s="26" t="s">
        <v>90</v>
      </c>
      <c r="C74" s="37" t="s">
        <v>91</v>
      </c>
      <c r="D74" s="54">
        <v>0.04</v>
      </c>
      <c r="E74" s="217">
        <f>ROUND(IF($E$18+E20+E21+E22&lt;=($C$5*25),ROUND($E$18+E20+E21+E22,-3),ROUND($C$5*25,-3))*D74,-2)</f>
        <v>23600</v>
      </c>
      <c r="F74" s="323"/>
      <c r="G74" s="323"/>
      <c r="H74" s="225"/>
    </row>
    <row r="75" spans="1:10" s="249" customFormat="1" ht="18.75" customHeight="1" x14ac:dyDescent="0.3">
      <c r="A75" s="225"/>
      <c r="B75" s="26" t="s">
        <v>92</v>
      </c>
      <c r="C75" s="37" t="s">
        <v>93</v>
      </c>
      <c r="D75" s="79">
        <f>IF(E18+E20+E21+E22&lt;(C5*4),0,0.01)</f>
        <v>0</v>
      </c>
      <c r="E75" s="29">
        <f>IF(E18+E20+E21+E22&lt;(C5*4),0,(E18+E20+E21+E22)*D75)</f>
        <v>0</v>
      </c>
      <c r="F75" s="323"/>
      <c r="G75" s="323"/>
      <c r="H75" s="225"/>
    </row>
    <row r="76" spans="1:10" s="249" customFormat="1" ht="18.75" customHeight="1" x14ac:dyDescent="0.3">
      <c r="A76" s="225"/>
      <c r="B76" s="26" t="s">
        <v>94</v>
      </c>
      <c r="C76" s="37" t="s">
        <v>95</v>
      </c>
      <c r="D76" s="36">
        <f>IF(E18+E20+E21+E22&lt;C81,D81,IF(E18+E20+E21+E22&lt;C82,D82,IF(E18+E20+E21+E22&lt;C83,D83,IF(E18+E20+E21+E22&lt;C84,D84,IF(E18+E20+E21+E22&lt;C85,D85,D86)))))</f>
        <v>0</v>
      </c>
      <c r="E76" s="195">
        <f>(E18+E20+E21+E22)*D76</f>
        <v>0</v>
      </c>
      <c r="F76" s="323"/>
      <c r="G76" s="323"/>
      <c r="H76" s="225"/>
    </row>
    <row r="77" spans="1:10" s="249" customFormat="1" ht="18.75" customHeight="1" thickBot="1" x14ac:dyDescent="0.35">
      <c r="A77" s="225"/>
      <c r="B77" s="94" t="s">
        <v>96</v>
      </c>
      <c r="C77" s="69"/>
      <c r="D77" s="196"/>
      <c r="E77" s="70">
        <f>SUM(E72:E76)</f>
        <v>47200</v>
      </c>
      <c r="F77" s="323"/>
      <c r="G77" s="323"/>
      <c r="H77" s="225"/>
    </row>
    <row r="78" spans="1:10" s="249" customFormat="1" ht="13.5" customHeight="1" x14ac:dyDescent="0.3">
      <c r="A78" s="225"/>
      <c r="B78" s="238"/>
      <c r="C78" s="282"/>
      <c r="D78" s="283"/>
      <c r="E78" s="281"/>
      <c r="F78" s="323"/>
      <c r="G78" s="323"/>
      <c r="H78" s="225"/>
    </row>
    <row r="79" spans="1:10" ht="13.5" customHeight="1" thickBot="1" x14ac:dyDescent="0.35">
      <c r="B79" s="238"/>
      <c r="C79" s="282"/>
      <c r="D79" s="285"/>
      <c r="E79" s="281"/>
    </row>
    <row r="80" spans="1:10" ht="16.2" thickBot="1" x14ac:dyDescent="0.35">
      <c r="B80" s="71" t="s">
        <v>97</v>
      </c>
      <c r="C80" s="72"/>
      <c r="D80" s="19"/>
      <c r="E80" s="73"/>
    </row>
    <row r="81" spans="2:256" ht="15.6" x14ac:dyDescent="0.3">
      <c r="B81" s="74" t="s">
        <v>98</v>
      </c>
      <c r="C81" s="218">
        <f>$C$5*16</f>
        <v>9432000</v>
      </c>
      <c r="D81" s="75">
        <v>0</v>
      </c>
      <c r="E81" s="76"/>
    </row>
    <row r="82" spans="2:256" ht="15.6" x14ac:dyDescent="0.3">
      <c r="B82" s="39" t="s">
        <v>99</v>
      </c>
      <c r="C82" s="219">
        <f>$C$5*17</f>
        <v>10021500</v>
      </c>
      <c r="D82" s="77">
        <v>2E-3</v>
      </c>
      <c r="E82" s="78"/>
    </row>
    <row r="83" spans="2:256" ht="15.6" x14ac:dyDescent="0.3">
      <c r="B83" s="39" t="s">
        <v>100</v>
      </c>
      <c r="C83" s="220">
        <f>$C$5*18</f>
        <v>10611000</v>
      </c>
      <c r="D83" s="79">
        <v>4.0000000000000001E-3</v>
      </c>
      <c r="E83" s="29"/>
    </row>
    <row r="84" spans="2:256" ht="15.6" x14ac:dyDescent="0.3">
      <c r="B84" s="39" t="s">
        <v>101</v>
      </c>
      <c r="C84" s="220">
        <f>$C$5*19</f>
        <v>11200500</v>
      </c>
      <c r="D84" s="79">
        <v>6.0000000000000001E-3</v>
      </c>
      <c r="E84" s="29"/>
    </row>
    <row r="85" spans="2:256" ht="15.6" x14ac:dyDescent="0.3">
      <c r="B85" s="39" t="s">
        <v>102</v>
      </c>
      <c r="C85" s="220">
        <f>$C$5*20</f>
        <v>11790000</v>
      </c>
      <c r="D85" s="79">
        <v>8.0000000000000002E-3</v>
      </c>
      <c r="E85" s="29"/>
    </row>
    <row r="86" spans="2:256" ht="16.2" thickBot="1" x14ac:dyDescent="0.35">
      <c r="B86" s="80" t="s">
        <v>103</v>
      </c>
      <c r="C86" s="221">
        <v>11790000</v>
      </c>
      <c r="D86" s="81">
        <v>0.01</v>
      </c>
      <c r="E86" s="82"/>
      <c r="IV86" s="225">
        <v>2013</v>
      </c>
    </row>
    <row r="87" spans="2:256" x14ac:dyDescent="0.25">
      <c r="B87" s="245"/>
      <c r="C87" s="287"/>
      <c r="D87" s="288"/>
      <c r="E87" s="149" t="str">
        <f>+B69</f>
        <v>V1 .0 Enero 1 de 2013</v>
      </c>
    </row>
    <row r="88" spans="2:256" ht="14.4" x14ac:dyDescent="0.3">
      <c r="D88" s="289"/>
      <c r="E88" s="290"/>
    </row>
    <row r="89" spans="2:256" ht="15.6" x14ac:dyDescent="0.3">
      <c r="C89" s="286"/>
    </row>
    <row r="90" spans="2:256" ht="15.6" x14ac:dyDescent="0.3">
      <c r="C90" s="286"/>
    </row>
    <row r="91" spans="2:256" ht="15.6" x14ac:dyDescent="0.3">
      <c r="C91" s="286"/>
    </row>
    <row r="92" spans="2:256" ht="15.6" x14ac:dyDescent="0.3">
      <c r="C92" s="286"/>
    </row>
    <row r="93" spans="2:256" ht="15.6" x14ac:dyDescent="0.3">
      <c r="C93" s="286"/>
    </row>
    <row r="94" spans="2:256" ht="15.6" x14ac:dyDescent="0.3">
      <c r="C94" s="286"/>
    </row>
    <row r="95" spans="2:256" ht="15.6" x14ac:dyDescent="0.3">
      <c r="C95" s="286"/>
    </row>
    <row r="96" spans="2:256" ht="15.6" x14ac:dyDescent="0.3">
      <c r="C96" s="286"/>
    </row>
    <row r="97" spans="3:3" ht="15.6" x14ac:dyDescent="0.3">
      <c r="C97" s="286"/>
    </row>
    <row r="98" spans="3:3" ht="15.6" x14ac:dyDescent="0.3">
      <c r="C98" s="286"/>
    </row>
    <row r="99" spans="3:3" ht="15.6" x14ac:dyDescent="0.3">
      <c r="C99" s="286"/>
    </row>
    <row r="65536" spans="256:256" x14ac:dyDescent="0.25">
      <c r="IV65536" s="225">
        <v>2013</v>
      </c>
    </row>
  </sheetData>
  <sheetProtection password="CC53" sheet="1" objects="1" scenarios="1"/>
  <protectedRanges>
    <protectedRange sqref="E20:E22" name="Rango5"/>
    <protectedRange sqref="C10:C12" name="Rango4"/>
    <protectedRange sqref="F60:F68" name="Rango2"/>
    <protectedRange sqref="E72" name="Rango3"/>
  </protectedRanges>
  <customSheetViews>
    <customSheetView guid="{005D785A-2C1A-7642-8E14-813F8ABC12DD}">
      <selection activeCell="F9" sqref="F9"/>
      <pageMargins left="0" right="0" top="0" bottom="0" header="0" footer="0"/>
    </customSheetView>
  </customSheetViews>
  <dataValidations count="1">
    <dataValidation type="list" allowBlank="1" showInputMessage="1" showErrorMessage="1" sqref="C11" xr:uid="{00000000-0002-0000-0600-000000000000}">
      <formula1>$IV$6:$IV$10</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IV65536"/>
  <sheetViews>
    <sheetView showGridLines="0" zoomScale="91" zoomScaleNormal="91" zoomScalePageLayoutView="91" workbookViewId="0">
      <selection activeCell="H37" sqref="H37"/>
    </sheetView>
  </sheetViews>
  <sheetFormatPr baseColWidth="10" defaultColWidth="11.44140625" defaultRowHeight="13.2" x14ac:dyDescent="0.25"/>
  <cols>
    <col min="1" max="1" width="3.33203125" style="1" customWidth="1"/>
    <col min="2" max="2" width="45.33203125" style="1" customWidth="1"/>
    <col min="3" max="3" width="58.88671875" style="2" customWidth="1"/>
    <col min="4" max="4" width="11" style="3" customWidth="1"/>
    <col min="5" max="5" width="17.33203125" style="4" customWidth="1"/>
    <col min="6" max="6" width="10.44140625" style="5" customWidth="1"/>
    <col min="7" max="7" width="13.88671875" style="5" customWidth="1"/>
    <col min="8" max="8" width="7.6640625" style="1" customWidth="1"/>
    <col min="9" max="9" width="13.33203125" style="1" bestFit="1" customWidth="1"/>
    <col min="10" max="10" width="12" style="1" bestFit="1" customWidth="1"/>
    <col min="11" max="16384" width="11.44140625" style="1"/>
  </cols>
  <sheetData>
    <row r="1" spans="1:256" ht="11.25" customHeight="1" x14ac:dyDescent="0.25">
      <c r="A1" s="155"/>
      <c r="B1" s="155"/>
      <c r="C1" s="115"/>
      <c r="D1" s="116"/>
      <c r="F1" s="156"/>
      <c r="G1" s="156"/>
    </row>
    <row r="2" spans="1:256" ht="18" customHeight="1" x14ac:dyDescent="0.3">
      <c r="A2" s="155"/>
      <c r="B2" s="87" t="s">
        <v>0</v>
      </c>
      <c r="C2" s="88"/>
      <c r="D2" s="89"/>
      <c r="E2" s="90"/>
      <c r="F2" s="156"/>
      <c r="G2" s="156"/>
    </row>
    <row r="3" spans="1:256" ht="14.25" customHeight="1" thickBot="1" x14ac:dyDescent="0.3">
      <c r="A3" s="155"/>
      <c r="B3" s="155"/>
      <c r="C3" s="115"/>
      <c r="D3" s="116"/>
      <c r="F3" s="156"/>
      <c r="G3" s="156"/>
    </row>
    <row r="4" spans="1:256" ht="18.75" customHeight="1" thickBot="1" x14ac:dyDescent="0.4">
      <c r="A4" s="155"/>
      <c r="B4" s="146" t="s">
        <v>135</v>
      </c>
      <c r="C4" s="117"/>
      <c r="D4" s="116"/>
      <c r="E4" s="207"/>
      <c r="F4" s="208"/>
      <c r="G4" s="156"/>
    </row>
    <row r="5" spans="1:256" ht="18.75" customHeight="1" x14ac:dyDescent="0.3">
      <c r="A5" s="155"/>
      <c r="B5" s="6" t="s">
        <v>2</v>
      </c>
      <c r="C5" s="76">
        <v>566700</v>
      </c>
      <c r="D5" s="116"/>
      <c r="E5" s="209"/>
      <c r="F5" s="208"/>
      <c r="G5" s="156"/>
      <c r="I5" s="156"/>
    </row>
    <row r="6" spans="1:256" ht="18.75" customHeight="1" thickBot="1" x14ac:dyDescent="0.35">
      <c r="A6" s="155"/>
      <c r="B6" s="159" t="s">
        <v>3</v>
      </c>
      <c r="C6" s="82">
        <v>67800</v>
      </c>
      <c r="D6" s="116"/>
      <c r="E6" s="210"/>
      <c r="F6" s="208"/>
      <c r="G6" s="156"/>
      <c r="I6" s="160"/>
      <c r="J6" s="150"/>
      <c r="IV6" s="7">
        <v>5.2199999999999998E-3</v>
      </c>
    </row>
    <row r="7" spans="1:256" ht="13.5" customHeight="1" x14ac:dyDescent="0.3">
      <c r="A7" s="155"/>
      <c r="B7" s="161"/>
      <c r="C7" s="162"/>
      <c r="D7" s="116"/>
      <c r="E7" s="210"/>
      <c r="F7" s="208"/>
      <c r="G7" s="156"/>
      <c r="IV7" s="7">
        <v>1.044E-2</v>
      </c>
    </row>
    <row r="8" spans="1:256" ht="12.75" customHeight="1" x14ac:dyDescent="0.25">
      <c r="A8" s="155"/>
      <c r="B8" s="161"/>
      <c r="C8" s="161"/>
      <c r="D8" s="116"/>
      <c r="E8" s="210"/>
      <c r="F8" s="208"/>
      <c r="G8" s="156"/>
      <c r="IV8" s="7">
        <v>2.436E-2</v>
      </c>
    </row>
    <row r="9" spans="1:256" ht="12" customHeight="1" thickBot="1" x14ac:dyDescent="0.3">
      <c r="A9" s="155"/>
      <c r="B9" s="9" t="s">
        <v>4</v>
      </c>
      <c r="C9" s="147" t="s">
        <v>130</v>
      </c>
      <c r="D9" s="118"/>
      <c r="E9" s="211"/>
      <c r="F9" s="208"/>
      <c r="G9" s="156"/>
      <c r="IV9" s="7">
        <v>4.3499999999999997E-2</v>
      </c>
    </row>
    <row r="10" spans="1:256" ht="18.75" customHeight="1" x14ac:dyDescent="0.3">
      <c r="A10" s="155"/>
      <c r="B10" s="11" t="s">
        <v>6</v>
      </c>
      <c r="C10" s="100">
        <v>566700</v>
      </c>
      <c r="D10" s="119"/>
      <c r="E10" s="212"/>
      <c r="F10" s="208"/>
      <c r="G10" s="154"/>
      <c r="H10" s="12"/>
      <c r="IV10" s="7">
        <v>6.9599999999999995E-2</v>
      </c>
    </row>
    <row r="11" spans="1:256" ht="18.75" customHeight="1" x14ac:dyDescent="0.3">
      <c r="A11" s="155"/>
      <c r="B11" s="13" t="s">
        <v>7</v>
      </c>
      <c r="C11" s="224">
        <v>5.2199999999999998E-3</v>
      </c>
      <c r="D11" s="118"/>
      <c r="E11" s="212"/>
      <c r="F11" s="208"/>
      <c r="G11" s="120"/>
      <c r="H11" s="12"/>
    </row>
    <row r="12" spans="1:256" ht="18.75" customHeight="1" thickBot="1" x14ac:dyDescent="0.35">
      <c r="A12" s="155"/>
      <c r="B12" s="15" t="s">
        <v>8</v>
      </c>
      <c r="C12" s="164"/>
      <c r="D12" s="118"/>
      <c r="E12" s="10"/>
      <c r="F12" s="156"/>
      <c r="G12" s="121"/>
      <c r="H12" s="12"/>
      <c r="IR12" s="16"/>
      <c r="IV12" s="18"/>
    </row>
    <row r="13" spans="1:256" ht="10.5" customHeight="1" x14ac:dyDescent="0.3">
      <c r="A13" s="155"/>
      <c r="B13" s="161"/>
      <c r="C13" s="121"/>
      <c r="D13" s="118"/>
      <c r="E13" s="10"/>
      <c r="F13" s="156"/>
      <c r="G13" s="120"/>
      <c r="H13" s="12"/>
      <c r="IR13" s="16"/>
    </row>
    <row r="14" spans="1:256" ht="10.5" customHeight="1" thickBot="1" x14ac:dyDescent="0.35">
      <c r="A14" s="155"/>
      <c r="B14" s="165"/>
      <c r="C14" s="122"/>
      <c r="D14" s="123"/>
      <c r="F14" s="166"/>
      <c r="G14" s="120"/>
      <c r="H14" s="12"/>
      <c r="IR14" s="16"/>
    </row>
    <row r="15" spans="1:256" s="18" customFormat="1" ht="18.75" customHeight="1" x14ac:dyDescent="0.3">
      <c r="A15" s="167"/>
      <c r="B15" s="96" t="s">
        <v>11</v>
      </c>
      <c r="C15" s="97" t="s">
        <v>12</v>
      </c>
      <c r="D15" s="98" t="s">
        <v>13</v>
      </c>
      <c r="E15" s="99" t="s">
        <v>131</v>
      </c>
      <c r="F15" s="168"/>
      <c r="G15" s="120"/>
      <c r="H15" s="12"/>
      <c r="IR15" s="20"/>
    </row>
    <row r="16" spans="1:256" s="18" customFormat="1" ht="9" customHeight="1" x14ac:dyDescent="0.3">
      <c r="A16" s="167"/>
      <c r="B16" s="169"/>
      <c r="C16" s="162"/>
      <c r="D16" s="162"/>
      <c r="E16" s="21"/>
      <c r="F16" s="168"/>
      <c r="G16" s="168"/>
      <c r="IR16" s="20"/>
    </row>
    <row r="17" spans="1:252" s="18" customFormat="1" ht="18.75" customHeight="1" x14ac:dyDescent="0.3">
      <c r="A17" s="167"/>
      <c r="B17" s="22" t="s">
        <v>17</v>
      </c>
      <c r="C17" s="23"/>
      <c r="D17" s="24"/>
      <c r="E17" s="25"/>
      <c r="F17" s="168"/>
      <c r="G17" s="168"/>
      <c r="IR17" s="20"/>
    </row>
    <row r="18" spans="1:252" s="18" customFormat="1" ht="18.75" customHeight="1" x14ac:dyDescent="0.3">
      <c r="A18" s="167"/>
      <c r="B18" s="26" t="s">
        <v>18</v>
      </c>
      <c r="C18" s="27" t="s">
        <v>19</v>
      </c>
      <c r="D18" s="170"/>
      <c r="E18" s="29">
        <f>IF(C10&lt;C5,FALSE,C10)</f>
        <v>566700</v>
      </c>
      <c r="F18" s="171"/>
      <c r="G18" s="168"/>
      <c r="IR18" s="20"/>
    </row>
    <row r="19" spans="1:252" s="18" customFormat="1" ht="18.75" customHeight="1" x14ac:dyDescent="0.3">
      <c r="A19" s="167"/>
      <c r="B19" s="26" t="s">
        <v>20</v>
      </c>
      <c r="C19" s="27" t="s">
        <v>136</v>
      </c>
      <c r="D19" s="170"/>
      <c r="E19" s="29">
        <f>IF(E18+E20+E21+E22&lt;=(C5*2),C6,0)</f>
        <v>67800</v>
      </c>
      <c r="F19" s="171"/>
      <c r="G19" s="168"/>
    </row>
    <row r="20" spans="1:252" s="18" customFormat="1" ht="18.75" customHeight="1" x14ac:dyDescent="0.3">
      <c r="A20" s="167"/>
      <c r="B20" s="26" t="s">
        <v>22</v>
      </c>
      <c r="C20" s="27" t="s">
        <v>23</v>
      </c>
      <c r="D20" s="170"/>
      <c r="E20" s="34"/>
      <c r="F20" s="171"/>
      <c r="G20" s="168"/>
      <c r="J20" s="151"/>
    </row>
    <row r="21" spans="1:252" s="18" customFormat="1" ht="18.75" customHeight="1" x14ac:dyDescent="0.3">
      <c r="A21" s="167"/>
      <c r="B21" s="26" t="s">
        <v>118</v>
      </c>
      <c r="C21" s="27" t="s">
        <v>25</v>
      </c>
      <c r="D21" s="170"/>
      <c r="E21" s="34"/>
      <c r="F21" s="171"/>
      <c r="G21" s="168"/>
    </row>
    <row r="22" spans="1:252" s="18" customFormat="1" ht="18.75" customHeight="1" x14ac:dyDescent="0.3">
      <c r="A22" s="167"/>
      <c r="B22" s="26" t="s">
        <v>26</v>
      </c>
      <c r="C22" s="27" t="s">
        <v>110</v>
      </c>
      <c r="D22" s="170"/>
      <c r="E22" s="34"/>
      <c r="F22" s="171"/>
      <c r="G22" s="168"/>
    </row>
    <row r="23" spans="1:252" s="18" customFormat="1" ht="18.75" customHeight="1" x14ac:dyDescent="0.3">
      <c r="A23" s="167"/>
      <c r="B23" s="148" t="s">
        <v>28</v>
      </c>
      <c r="C23" s="125"/>
      <c r="D23" s="172"/>
      <c r="E23" s="30">
        <f>SUM(E18:E22)</f>
        <v>634500</v>
      </c>
      <c r="F23" s="173"/>
      <c r="G23" s="173"/>
    </row>
    <row r="24" spans="1:252" s="18" customFormat="1" ht="18.75" customHeight="1" x14ac:dyDescent="0.3">
      <c r="A24" s="167"/>
      <c r="B24" s="174"/>
      <c r="C24" s="126"/>
      <c r="D24" s="175"/>
      <c r="E24" s="34"/>
      <c r="F24" s="173"/>
      <c r="G24" s="173"/>
    </row>
    <row r="25" spans="1:252" s="18" customFormat="1" ht="18.75" customHeight="1" x14ac:dyDescent="0.3">
      <c r="A25" s="167"/>
      <c r="B25" s="101" t="s">
        <v>29</v>
      </c>
      <c r="C25" s="23"/>
      <c r="D25" s="24"/>
      <c r="E25" s="34"/>
      <c r="F25" s="173"/>
      <c r="G25" s="173"/>
    </row>
    <row r="26" spans="1:252" s="18" customFormat="1" ht="18.75" customHeight="1" x14ac:dyDescent="0.3">
      <c r="A26" s="167"/>
      <c r="B26" s="26" t="s">
        <v>30</v>
      </c>
      <c r="C26" s="27" t="s">
        <v>31</v>
      </c>
      <c r="D26" s="35">
        <v>8.3333333333333343E-2</v>
      </c>
      <c r="E26" s="29">
        <f>E23*D26</f>
        <v>52875.000000000007</v>
      </c>
      <c r="F26" s="168"/>
      <c r="G26" s="168"/>
    </row>
    <row r="27" spans="1:252" s="18" customFormat="1" ht="18.75" customHeight="1" x14ac:dyDescent="0.3">
      <c r="A27" s="167"/>
      <c r="B27" s="26" t="s">
        <v>32</v>
      </c>
      <c r="C27" s="27" t="s">
        <v>33</v>
      </c>
      <c r="D27" s="36">
        <v>0.12</v>
      </c>
      <c r="E27" s="29">
        <f>+E26*D27</f>
        <v>6345.0000000000009</v>
      </c>
      <c r="F27" s="168"/>
      <c r="G27" s="168"/>
    </row>
    <row r="28" spans="1:252" s="18" customFormat="1" ht="18.75" customHeight="1" x14ac:dyDescent="0.3">
      <c r="A28" s="167"/>
      <c r="B28" s="26" t="s">
        <v>34</v>
      </c>
      <c r="C28" s="27" t="s">
        <v>31</v>
      </c>
      <c r="D28" s="35">
        <v>8.3333333333333343E-2</v>
      </c>
      <c r="E28" s="29">
        <f>E23*D28</f>
        <v>52875.000000000007</v>
      </c>
      <c r="F28" s="168"/>
      <c r="G28" s="168"/>
    </row>
    <row r="29" spans="1:252" s="18" customFormat="1" ht="18.75" customHeight="1" x14ac:dyDescent="0.3">
      <c r="A29" s="167"/>
      <c r="B29" s="26" t="s">
        <v>35</v>
      </c>
      <c r="C29" s="37" t="s">
        <v>36</v>
      </c>
      <c r="D29" s="35">
        <v>4.1666666666666664E-2</v>
      </c>
      <c r="E29" s="29">
        <f>(E18+E20)*D29</f>
        <v>23612.5</v>
      </c>
      <c r="F29" s="168"/>
      <c r="G29" s="176"/>
    </row>
    <row r="30" spans="1:252" s="18" customFormat="1" ht="18.75" customHeight="1" x14ac:dyDescent="0.3">
      <c r="A30" s="167"/>
      <c r="B30" s="177" t="s">
        <v>37</v>
      </c>
      <c r="C30" s="128"/>
      <c r="D30" s="175"/>
      <c r="E30" s="30">
        <f>SUM(E26:E29)</f>
        <v>135707.5</v>
      </c>
      <c r="F30" s="168"/>
      <c r="G30" s="168"/>
    </row>
    <row r="31" spans="1:252" s="18" customFormat="1" ht="18.75" customHeight="1" x14ac:dyDescent="0.3">
      <c r="A31" s="167"/>
      <c r="B31" s="178"/>
      <c r="C31" s="124"/>
      <c r="D31" s="170"/>
      <c r="E31" s="25"/>
      <c r="F31" s="168"/>
      <c r="G31" s="168"/>
      <c r="H31" s="8"/>
    </row>
    <row r="32" spans="1:252" s="18" customFormat="1" ht="18.75" customHeight="1" x14ac:dyDescent="0.3">
      <c r="A32" s="167"/>
      <c r="B32" s="22" t="s">
        <v>38</v>
      </c>
      <c r="C32" s="23"/>
      <c r="D32" s="24"/>
      <c r="E32" s="25"/>
      <c r="F32" s="168"/>
      <c r="G32" s="19"/>
      <c r="H32" s="8"/>
    </row>
    <row r="33" spans="1:9" s="18" customFormat="1" ht="18.75" customHeight="1" x14ac:dyDescent="0.3">
      <c r="A33" s="167"/>
      <c r="B33" s="39" t="s">
        <v>39</v>
      </c>
      <c r="C33" s="85">
        <f>ROUND(IF($E$18+E20+E21+E22&lt;=($C$5*25),ROUND($E$18+E20+E21+E22,-3),ROUND($C$5*25,-3))*0.125,-2)</f>
        <v>70900</v>
      </c>
      <c r="D33" s="36">
        <v>8.5000000000000006E-2</v>
      </c>
      <c r="E33" s="29">
        <f>C33-E73</f>
        <v>48200</v>
      </c>
      <c r="F33" s="168"/>
      <c r="G33" s="73"/>
      <c r="H33" s="40"/>
      <c r="I33" s="144"/>
    </row>
    <row r="34" spans="1:9" s="18" customFormat="1" ht="18.75" customHeight="1" x14ac:dyDescent="0.3">
      <c r="A34" s="167"/>
      <c r="B34" s="26" t="s">
        <v>40</v>
      </c>
      <c r="C34" s="85">
        <f>ROUND(IF($E$18+E20+E21+E22&lt;=($C$5*25),ROUND($E$18+E20+E21+E22,-3),ROUND($C$5*25,-3))*0.16,-2)</f>
        <v>90700</v>
      </c>
      <c r="D34" s="36">
        <v>0.12</v>
      </c>
      <c r="E34" s="29">
        <f>C34-E74</f>
        <v>68000</v>
      </c>
      <c r="F34" s="168"/>
      <c r="G34" s="73"/>
      <c r="H34" s="41"/>
    </row>
    <row r="35" spans="1:9" s="18" customFormat="1" ht="18.75" customHeight="1" x14ac:dyDescent="0.3">
      <c r="A35" s="167"/>
      <c r="B35" s="26" t="s">
        <v>119</v>
      </c>
      <c r="C35" s="37" t="s">
        <v>42</v>
      </c>
      <c r="D35" s="28">
        <f>C11</f>
        <v>5.2199999999999998E-3</v>
      </c>
      <c r="E35" s="29">
        <f>ROUND(IF($E$18+E21+E20+E22&lt;=($C$5*20),ROUND($E$18+E20+E21+E22,-3),ROUND($C$5*20,-3))*D35,-2)</f>
        <v>3000</v>
      </c>
      <c r="F35" s="168"/>
      <c r="G35" s="73"/>
      <c r="H35" s="8"/>
    </row>
    <row r="36" spans="1:9" s="18" customFormat="1" ht="18.75" customHeight="1" x14ac:dyDescent="0.3">
      <c r="A36" s="167"/>
      <c r="B36" s="26" t="s">
        <v>43</v>
      </c>
      <c r="C36" s="127"/>
      <c r="D36" s="36">
        <v>8.5000000000000006E-2</v>
      </c>
      <c r="E36" s="29">
        <f>ROUND(IF($E$29&lt;=($C$5*25),ROUND($E$29,-3),ROUND($C$5*25,-3))*D36,-2)</f>
        <v>2000</v>
      </c>
      <c r="F36" s="168"/>
      <c r="G36" s="168"/>
    </row>
    <row r="37" spans="1:9" s="18" customFormat="1" ht="18.75" customHeight="1" x14ac:dyDescent="0.3">
      <c r="A37" s="167"/>
      <c r="B37" s="26" t="s">
        <v>44</v>
      </c>
      <c r="C37" s="127"/>
      <c r="D37" s="36">
        <v>0.12</v>
      </c>
      <c r="E37" s="29">
        <f>ROUND(IF($E$29&lt;=($C$5*25),ROUND($E$29,-3),ROUND($C$5*25,-3))*D37,-2)</f>
        <v>2900</v>
      </c>
      <c r="F37" s="168"/>
      <c r="G37" s="168"/>
    </row>
    <row r="38" spans="1:9" s="18" customFormat="1" ht="18.75" customHeight="1" x14ac:dyDescent="0.3">
      <c r="A38" s="167"/>
      <c r="B38" s="177" t="s">
        <v>45</v>
      </c>
      <c r="C38" s="128"/>
      <c r="D38" s="175"/>
      <c r="E38" s="30">
        <f>SUM(E33:E37)</f>
        <v>124100</v>
      </c>
      <c r="F38" s="168"/>
      <c r="G38" s="168"/>
    </row>
    <row r="39" spans="1:9" s="18" customFormat="1" ht="18.75" customHeight="1" x14ac:dyDescent="0.3">
      <c r="A39" s="167"/>
      <c r="B39" s="178"/>
      <c r="C39" s="124"/>
      <c r="D39" s="170"/>
      <c r="E39" s="25"/>
      <c r="F39" s="168"/>
      <c r="G39" s="168"/>
    </row>
    <row r="40" spans="1:9" s="18" customFormat="1" ht="18.75" customHeight="1" x14ac:dyDescent="0.3">
      <c r="A40" s="167"/>
      <c r="B40" s="22" t="s">
        <v>46</v>
      </c>
      <c r="C40" s="23"/>
      <c r="D40" s="24"/>
      <c r="E40" s="25"/>
      <c r="F40" s="168"/>
      <c r="G40" s="168"/>
    </row>
    <row r="41" spans="1:9" s="18" customFormat="1" ht="18.75" customHeight="1" x14ac:dyDescent="0.3">
      <c r="A41" s="167"/>
      <c r="B41" s="26" t="s">
        <v>47</v>
      </c>
      <c r="C41" s="37" t="s">
        <v>137</v>
      </c>
      <c r="D41" s="36">
        <v>0.09</v>
      </c>
      <c r="E41" s="29">
        <f>ROUND(ROUND(E18+E20+E21+E22,-3)*D41,-2)</f>
        <v>51000</v>
      </c>
      <c r="F41" s="168"/>
      <c r="G41" s="168"/>
    </row>
    <row r="42" spans="1:9" s="18" customFormat="1" ht="18.75" customHeight="1" x14ac:dyDescent="0.3">
      <c r="A42" s="167"/>
      <c r="B42" s="26" t="s">
        <v>49</v>
      </c>
      <c r="C42" s="127"/>
      <c r="D42" s="36">
        <v>0.09</v>
      </c>
      <c r="E42" s="29">
        <f>ROUND(ROUND(E29,-3)*D42,-2)</f>
        <v>2200</v>
      </c>
      <c r="F42" s="168"/>
      <c r="G42" s="168"/>
    </row>
    <row r="43" spans="1:9" s="18" customFormat="1" ht="18.75" customHeight="1" x14ac:dyDescent="0.3">
      <c r="A43" s="167"/>
      <c r="B43" s="177" t="s">
        <v>50</v>
      </c>
      <c r="C43" s="128"/>
      <c r="D43" s="175"/>
      <c r="E43" s="30">
        <f>SUM(E41:E42)</f>
        <v>53200</v>
      </c>
      <c r="F43" s="168"/>
      <c r="G43" s="168"/>
    </row>
    <row r="44" spans="1:9" s="18" customFormat="1" ht="18.75" customHeight="1" x14ac:dyDescent="0.3">
      <c r="A44" s="167"/>
      <c r="B44" s="180"/>
      <c r="C44" s="127"/>
      <c r="D44" s="170"/>
      <c r="E44" s="25"/>
      <c r="F44" s="168"/>
      <c r="G44" s="168"/>
    </row>
    <row r="45" spans="1:9" s="18" customFormat="1" ht="18.75" customHeight="1" x14ac:dyDescent="0.3">
      <c r="A45" s="167"/>
      <c r="B45" s="22" t="s">
        <v>51</v>
      </c>
      <c r="C45" s="23"/>
      <c r="D45" s="24"/>
      <c r="E45" s="25"/>
      <c r="F45" s="168"/>
      <c r="G45" s="168"/>
    </row>
    <row r="46" spans="1:9" s="18" customFormat="1" ht="18.75" customHeight="1" x14ac:dyDescent="0.3">
      <c r="A46" s="167"/>
      <c r="B46" s="39" t="s">
        <v>53</v>
      </c>
      <c r="C46" s="37" t="s">
        <v>54</v>
      </c>
      <c r="D46" s="181"/>
      <c r="E46" s="29">
        <f>IF(E18+E20+E21+E22&lt;=C5*2,(C12*3)/12,0)</f>
        <v>0</v>
      </c>
      <c r="F46" s="168"/>
      <c r="G46" s="168"/>
    </row>
    <row r="47" spans="1:9" s="18" customFormat="1" ht="18.75" customHeight="1" x14ac:dyDescent="0.3">
      <c r="A47" s="167"/>
      <c r="B47" s="178"/>
      <c r="C47" s="124"/>
      <c r="D47" s="170"/>
      <c r="E47" s="182"/>
      <c r="F47" s="168"/>
      <c r="G47" s="168"/>
    </row>
    <row r="48" spans="1:9" s="18" customFormat="1" ht="18.75" customHeight="1" x14ac:dyDescent="0.3">
      <c r="A48" s="167"/>
      <c r="B48" s="31" t="s">
        <v>55</v>
      </c>
      <c r="C48" s="126"/>
      <c r="D48" s="175"/>
      <c r="E48" s="30">
        <f>E23+E30+E38+E43+E46</f>
        <v>947507.5</v>
      </c>
      <c r="F48" s="183"/>
      <c r="G48" s="173"/>
    </row>
    <row r="49" spans="1:10" s="18" customFormat="1" ht="18.75" customHeight="1" thickBot="1" x14ac:dyDescent="0.35">
      <c r="A49" s="167"/>
      <c r="B49" s="80" t="s">
        <v>56</v>
      </c>
      <c r="C49" s="129"/>
      <c r="D49" s="130"/>
      <c r="E49" s="93">
        <f>+(E48/(E23-E19))-1</f>
        <v>0.67197370742897466</v>
      </c>
      <c r="F49" s="173"/>
      <c r="G49" s="173"/>
    </row>
    <row r="50" spans="1:10" s="18" customFormat="1" ht="13.5" customHeight="1" x14ac:dyDescent="0.3">
      <c r="A50" s="167"/>
      <c r="B50" s="184"/>
      <c r="C50" s="131"/>
      <c r="D50" s="132"/>
      <c r="E50" s="185"/>
      <c r="F50" s="173"/>
      <c r="G50" s="173"/>
    </row>
    <row r="51" spans="1:10" s="18" customFormat="1" ht="13.5" customHeight="1" thickBot="1" x14ac:dyDescent="0.35">
      <c r="A51" s="167"/>
      <c r="B51" s="184"/>
      <c r="C51" s="131"/>
      <c r="D51" s="132"/>
      <c r="E51" s="185"/>
      <c r="F51" s="173"/>
      <c r="G51" s="173"/>
    </row>
    <row r="52" spans="1:10" s="18" customFormat="1" ht="18.75" customHeight="1" x14ac:dyDescent="0.3">
      <c r="A52" s="155"/>
      <c r="B52" s="74" t="s">
        <v>138</v>
      </c>
      <c r="C52" s="186"/>
      <c r="D52" s="133"/>
      <c r="E52" s="187">
        <f>E48*12</f>
        <v>11370090</v>
      </c>
      <c r="F52" s="156"/>
      <c r="G52" s="156"/>
      <c r="H52" s="1"/>
    </row>
    <row r="53" spans="1:10" s="18" customFormat="1" ht="18.75" customHeight="1" x14ac:dyDescent="0.3">
      <c r="A53" s="155"/>
      <c r="B53" s="26" t="s">
        <v>139</v>
      </c>
      <c r="C53" s="124"/>
      <c r="D53" s="134"/>
      <c r="E53" s="29">
        <v>296</v>
      </c>
      <c r="F53" s="156"/>
      <c r="G53" s="156"/>
      <c r="H53" s="1"/>
    </row>
    <row r="54" spans="1:10" s="18" customFormat="1" ht="18.75" customHeight="1" x14ac:dyDescent="0.3">
      <c r="A54" s="155"/>
      <c r="B54" s="26" t="s">
        <v>59</v>
      </c>
      <c r="C54" s="124"/>
      <c r="D54" s="134"/>
      <c r="E54" s="29">
        <f>E52/E53</f>
        <v>38412.466216216213</v>
      </c>
      <c r="F54" s="156"/>
      <c r="G54" s="156"/>
      <c r="H54" s="1"/>
    </row>
    <row r="55" spans="1:10" s="18" customFormat="1" ht="18.75" customHeight="1" thickBot="1" x14ac:dyDescent="0.35">
      <c r="A55" s="155"/>
      <c r="B55" s="188" t="s">
        <v>60</v>
      </c>
      <c r="C55" s="135"/>
      <c r="D55" s="136"/>
      <c r="E55" s="82">
        <f>E54/8</f>
        <v>4801.5582770270266</v>
      </c>
      <c r="F55" s="156"/>
      <c r="G55" s="156"/>
      <c r="H55" s="1"/>
    </row>
    <row r="56" spans="1:10" s="18" customFormat="1" ht="11.25" customHeight="1" x14ac:dyDescent="0.3">
      <c r="A56" s="155"/>
      <c r="B56" s="161"/>
      <c r="C56" s="137"/>
      <c r="D56" s="138"/>
      <c r="E56" s="185"/>
      <c r="F56" s="156"/>
      <c r="G56" s="156"/>
      <c r="H56" s="1"/>
    </row>
    <row r="57" spans="1:10" s="18" customFormat="1" ht="11.25" customHeight="1" thickBot="1" x14ac:dyDescent="0.35">
      <c r="A57" s="155"/>
      <c r="B57" s="161"/>
      <c r="C57" s="137"/>
      <c r="D57" s="138"/>
      <c r="E57" s="185"/>
      <c r="F57" s="156"/>
      <c r="G57" s="156"/>
      <c r="H57" s="1"/>
    </row>
    <row r="58" spans="1:10" s="18" customFormat="1" ht="18.75" customHeight="1" thickBot="1" x14ac:dyDescent="0.35">
      <c r="A58" s="155"/>
      <c r="B58" s="45" t="s">
        <v>61</v>
      </c>
      <c r="C58" s="46"/>
      <c r="D58" s="47" t="s">
        <v>13</v>
      </c>
      <c r="E58" s="48" t="s">
        <v>62</v>
      </c>
      <c r="F58" s="47" t="s">
        <v>63</v>
      </c>
      <c r="G58" s="49" t="s">
        <v>62</v>
      </c>
    </row>
    <row r="59" spans="1:10" s="18" customFormat="1" ht="18.75" customHeight="1" x14ac:dyDescent="0.3">
      <c r="A59" s="155"/>
      <c r="B59" s="50" t="s">
        <v>64</v>
      </c>
      <c r="C59" s="51" t="s">
        <v>112</v>
      </c>
      <c r="D59" s="52"/>
      <c r="E59" s="213">
        <f>(E18/30)/8</f>
        <v>2361.25</v>
      </c>
      <c r="F59" s="139"/>
      <c r="G59" s="152"/>
      <c r="H59" s="1"/>
      <c r="I59" s="20"/>
    </row>
    <row r="60" spans="1:10" s="18" customFormat="1" ht="18.75" customHeight="1" x14ac:dyDescent="0.3">
      <c r="A60" s="155"/>
      <c r="B60" s="39" t="s">
        <v>66</v>
      </c>
      <c r="C60" s="37" t="s">
        <v>113</v>
      </c>
      <c r="D60" s="54">
        <v>0.35</v>
      </c>
      <c r="E60" s="214">
        <f>$E$59*D60</f>
        <v>826.4375</v>
      </c>
      <c r="F60" s="189"/>
      <c r="G60" s="190">
        <f t="shared" ref="G60:G68" si="0">E60*F60</f>
        <v>0</v>
      </c>
      <c r="H60" s="1"/>
      <c r="I60" s="83"/>
      <c r="J60" s="151"/>
    </row>
    <row r="61" spans="1:10" s="18" customFormat="1" ht="18.75" customHeight="1" x14ac:dyDescent="0.3">
      <c r="A61" s="155"/>
      <c r="B61" s="39" t="s">
        <v>68</v>
      </c>
      <c r="C61" s="37" t="s">
        <v>69</v>
      </c>
      <c r="D61" s="54">
        <v>0.75</v>
      </c>
      <c r="E61" s="214">
        <f>$E$59*D61</f>
        <v>1770.9375</v>
      </c>
      <c r="F61" s="189"/>
      <c r="G61" s="190">
        <f t="shared" si="0"/>
        <v>0</v>
      </c>
      <c r="H61" s="1"/>
      <c r="I61" s="83"/>
    </row>
    <row r="62" spans="1:10" s="18" customFormat="1" ht="18.75" customHeight="1" x14ac:dyDescent="0.3">
      <c r="A62" s="155"/>
      <c r="B62" s="56" t="s">
        <v>70</v>
      </c>
      <c r="C62" s="57" t="s">
        <v>71</v>
      </c>
      <c r="D62" s="58">
        <v>1.75</v>
      </c>
      <c r="E62" s="214">
        <f>$E$59*D62</f>
        <v>4132.1875</v>
      </c>
      <c r="F62" s="191"/>
      <c r="G62" s="190">
        <f t="shared" si="0"/>
        <v>0</v>
      </c>
      <c r="H62" s="1"/>
      <c r="I62" s="20"/>
    </row>
    <row r="63" spans="1:10" s="18" customFormat="1" ht="18.75" customHeight="1" x14ac:dyDescent="0.3">
      <c r="A63" s="155"/>
      <c r="B63" s="26" t="s">
        <v>72</v>
      </c>
      <c r="C63" s="27" t="s">
        <v>73</v>
      </c>
      <c r="D63" s="222">
        <v>1.1000000000000001</v>
      </c>
      <c r="E63" s="215">
        <f t="shared" ref="E63:E68" si="1">$E$59*D63</f>
        <v>2597.375</v>
      </c>
      <c r="F63" s="191"/>
      <c r="G63" s="190">
        <f t="shared" si="0"/>
        <v>0</v>
      </c>
      <c r="H63" s="1"/>
    </row>
    <row r="64" spans="1:10" s="18" customFormat="1" ht="18.75" customHeight="1" x14ac:dyDescent="0.3">
      <c r="A64" s="155"/>
      <c r="B64" s="86" t="s">
        <v>74</v>
      </c>
      <c r="C64" s="27" t="s">
        <v>75</v>
      </c>
      <c r="D64" s="223">
        <v>2.1</v>
      </c>
      <c r="E64" s="215">
        <f t="shared" si="1"/>
        <v>4958.625</v>
      </c>
      <c r="F64" s="191"/>
      <c r="G64" s="190">
        <f t="shared" si="0"/>
        <v>0</v>
      </c>
      <c r="H64" s="1"/>
      <c r="J64" s="20"/>
    </row>
    <row r="65" spans="1:10" s="18" customFormat="1" ht="18.75" customHeight="1" x14ac:dyDescent="0.3">
      <c r="A65" s="155"/>
      <c r="B65" s="59" t="s">
        <v>76</v>
      </c>
      <c r="C65" s="60" t="s">
        <v>77</v>
      </c>
      <c r="D65" s="61">
        <v>1.25</v>
      </c>
      <c r="E65" s="215">
        <f t="shared" si="1"/>
        <v>2951.5625</v>
      </c>
      <c r="F65" s="189"/>
      <c r="G65" s="190">
        <f t="shared" si="0"/>
        <v>0</v>
      </c>
      <c r="H65" s="1"/>
      <c r="J65" s="20"/>
    </row>
    <row r="66" spans="1:10" s="18" customFormat="1" ht="18.75" customHeight="1" x14ac:dyDescent="0.3">
      <c r="A66" s="155"/>
      <c r="B66" s="62" t="s">
        <v>78</v>
      </c>
      <c r="C66" s="37" t="s">
        <v>79</v>
      </c>
      <c r="D66" s="54">
        <v>1.75</v>
      </c>
      <c r="E66" s="215">
        <f t="shared" si="1"/>
        <v>4132.1875</v>
      </c>
      <c r="F66" s="189"/>
      <c r="G66" s="190">
        <f t="shared" si="0"/>
        <v>0</v>
      </c>
      <c r="H66" s="1"/>
    </row>
    <row r="67" spans="1:10" s="18" customFormat="1" ht="18.75" customHeight="1" x14ac:dyDescent="0.3">
      <c r="A67" s="155"/>
      <c r="B67" s="62" t="s">
        <v>80</v>
      </c>
      <c r="C67" s="37" t="s">
        <v>81</v>
      </c>
      <c r="D67" s="54">
        <v>2</v>
      </c>
      <c r="E67" s="215">
        <f t="shared" si="1"/>
        <v>4722.5</v>
      </c>
      <c r="F67" s="189"/>
      <c r="G67" s="190">
        <f t="shared" si="0"/>
        <v>0</v>
      </c>
      <c r="H67" s="1"/>
    </row>
    <row r="68" spans="1:10" s="18" customFormat="1" ht="18.75" customHeight="1" thickBot="1" x14ac:dyDescent="0.35">
      <c r="A68" s="155"/>
      <c r="B68" s="63" t="s">
        <v>82</v>
      </c>
      <c r="C68" s="64" t="s">
        <v>83</v>
      </c>
      <c r="D68" s="65">
        <v>2.5</v>
      </c>
      <c r="E68" s="216">
        <f t="shared" si="1"/>
        <v>5903.125</v>
      </c>
      <c r="F68" s="192"/>
      <c r="G68" s="193">
        <f t="shared" si="0"/>
        <v>0</v>
      </c>
      <c r="H68" s="1"/>
    </row>
    <row r="69" spans="1:10" s="18" customFormat="1" ht="18.75" customHeight="1" thickBot="1" x14ac:dyDescent="0.35">
      <c r="A69" s="155"/>
      <c r="B69" s="95" t="s">
        <v>140</v>
      </c>
      <c r="C69" s="115"/>
      <c r="D69" s="116"/>
      <c r="E69" s="4"/>
      <c r="F69" s="156"/>
      <c r="G69" s="66">
        <f>SUM(G60:G68)</f>
        <v>0</v>
      </c>
      <c r="H69" s="1"/>
    </row>
    <row r="70" spans="1:10" s="18" customFormat="1" ht="13.5" customHeight="1" thickBot="1" x14ac:dyDescent="0.35">
      <c r="A70" s="155"/>
      <c r="B70" s="161"/>
      <c r="C70" s="137"/>
      <c r="D70" s="138"/>
      <c r="E70" s="185"/>
      <c r="F70" s="156"/>
      <c r="G70" s="156"/>
      <c r="H70" s="1"/>
    </row>
    <row r="71" spans="1:10" s="18" customFormat="1" ht="18.75" customHeight="1" thickBot="1" x14ac:dyDescent="0.35">
      <c r="A71" s="155"/>
      <c r="B71" s="113" t="s">
        <v>85</v>
      </c>
      <c r="C71" s="114"/>
      <c r="D71" s="105" t="s">
        <v>13</v>
      </c>
      <c r="E71" s="48" t="s">
        <v>62</v>
      </c>
      <c r="F71" s="156"/>
      <c r="G71" s="156"/>
      <c r="H71" s="1"/>
    </row>
    <row r="72" spans="1:10" s="18" customFormat="1" ht="18.75" customHeight="1" x14ac:dyDescent="0.3">
      <c r="A72" s="155"/>
      <c r="B72" s="74" t="s">
        <v>86</v>
      </c>
      <c r="C72" s="67" t="s">
        <v>87</v>
      </c>
      <c r="D72" s="133"/>
      <c r="E72" s="194"/>
      <c r="F72" s="156"/>
      <c r="G72" s="156"/>
      <c r="H72" s="1"/>
    </row>
    <row r="73" spans="1:10" s="18" customFormat="1" ht="18.75" customHeight="1" x14ac:dyDescent="0.3">
      <c r="A73" s="155"/>
      <c r="B73" s="26" t="s">
        <v>88</v>
      </c>
      <c r="C73" s="27" t="s">
        <v>89</v>
      </c>
      <c r="D73" s="54">
        <v>0.04</v>
      </c>
      <c r="E73" s="217">
        <f>ROUND(IF($E$18+E20+E21+E22&lt;=($C$5*25),ROUND($E$18+E20+E21+E22,-3),ROUND($C$5*25,-3))*D73,-2)</f>
        <v>22700</v>
      </c>
      <c r="F73" s="156"/>
      <c r="G73" s="156"/>
      <c r="H73" s="1"/>
    </row>
    <row r="74" spans="1:10" s="18" customFormat="1" ht="18.75" customHeight="1" x14ac:dyDescent="0.3">
      <c r="A74" s="155"/>
      <c r="B74" s="26" t="s">
        <v>90</v>
      </c>
      <c r="C74" s="37" t="s">
        <v>91</v>
      </c>
      <c r="D74" s="54">
        <v>0.04</v>
      </c>
      <c r="E74" s="217">
        <f>ROUND(IF($E$18+E20+E21+E22&lt;=($C$5*25),ROUND($E$18+E20+E21+E22,-3),ROUND($C$5*25,-3))*D74,-2)</f>
        <v>22700</v>
      </c>
      <c r="F74" s="156"/>
      <c r="G74" s="156"/>
      <c r="H74" s="1"/>
    </row>
    <row r="75" spans="1:10" s="18" customFormat="1" ht="18.75" customHeight="1" x14ac:dyDescent="0.3">
      <c r="A75" s="155"/>
      <c r="B75" s="26" t="s">
        <v>92</v>
      </c>
      <c r="C75" s="37" t="s">
        <v>93</v>
      </c>
      <c r="D75" s="79">
        <f>IF(E18+E20+E21+E22&lt;(C5*4),0,0.01)</f>
        <v>0</v>
      </c>
      <c r="E75" s="29">
        <f>IF(E18+E20+E21+E22&lt;(C5*4),0,(E18+E20+E21+E22)*D75)</f>
        <v>0</v>
      </c>
      <c r="F75" s="156"/>
      <c r="G75" s="156"/>
      <c r="H75" s="1"/>
    </row>
    <row r="76" spans="1:10" s="18" customFormat="1" ht="18.75" customHeight="1" x14ac:dyDescent="0.3">
      <c r="A76" s="155"/>
      <c r="B76" s="26" t="s">
        <v>94</v>
      </c>
      <c r="C76" s="37" t="s">
        <v>95</v>
      </c>
      <c r="D76" s="36">
        <f>IF(E18+E20+E21+E22&lt;C81,D81,IF(E18+E20+E21+E22&lt;C82,D82,IF(E18+E20+E21+E22&lt;C83,D83,IF(E18+E20+E21+E22&lt;C84,D84,IF(E18+E20+E21+E22&lt;C85,D85,D86)))))</f>
        <v>0</v>
      </c>
      <c r="E76" s="195">
        <f>(E18+E20+E21+E22)*D76</f>
        <v>0</v>
      </c>
      <c r="F76" s="156"/>
      <c r="G76" s="156"/>
      <c r="H76" s="1"/>
    </row>
    <row r="77" spans="1:10" s="18" customFormat="1" ht="18.75" customHeight="1" thickBot="1" x14ac:dyDescent="0.35">
      <c r="A77" s="155"/>
      <c r="B77" s="94" t="s">
        <v>96</v>
      </c>
      <c r="C77" s="69"/>
      <c r="D77" s="196"/>
      <c r="E77" s="70">
        <f>SUM(E72:E76)</f>
        <v>45400</v>
      </c>
      <c r="F77" s="156"/>
      <c r="G77" s="156"/>
      <c r="H77" s="1"/>
    </row>
    <row r="78" spans="1:10" s="18" customFormat="1" ht="13.5" customHeight="1" x14ac:dyDescent="0.3">
      <c r="A78" s="155"/>
      <c r="B78" s="161"/>
      <c r="C78" s="137"/>
      <c r="D78" s="138"/>
      <c r="E78" s="185"/>
      <c r="F78" s="156"/>
      <c r="G78" s="156"/>
      <c r="H78" s="1"/>
    </row>
    <row r="79" spans="1:10" ht="13.5" customHeight="1" thickBot="1" x14ac:dyDescent="0.35">
      <c r="A79" s="155"/>
      <c r="B79" s="161"/>
      <c r="C79" s="137"/>
      <c r="D79" s="197"/>
      <c r="E79" s="185"/>
      <c r="F79" s="156"/>
      <c r="G79" s="156"/>
    </row>
    <row r="80" spans="1:10" ht="16.2" thickBot="1" x14ac:dyDescent="0.35">
      <c r="A80" s="155"/>
      <c r="B80" s="71" t="s">
        <v>97</v>
      </c>
      <c r="C80" s="140"/>
      <c r="D80" s="168"/>
      <c r="E80" s="179"/>
      <c r="F80" s="156"/>
      <c r="G80" s="156"/>
    </row>
    <row r="81" spans="1:256" ht="15.6" x14ac:dyDescent="0.3">
      <c r="A81" s="155"/>
      <c r="B81" s="74" t="s">
        <v>98</v>
      </c>
      <c r="C81" s="218">
        <f>$C$5*16</f>
        <v>9067200</v>
      </c>
      <c r="D81" s="75">
        <v>0</v>
      </c>
      <c r="E81" s="199"/>
      <c r="F81" s="156"/>
      <c r="G81" s="156"/>
    </row>
    <row r="82" spans="1:256" ht="15.6" x14ac:dyDescent="0.3">
      <c r="A82" s="155"/>
      <c r="B82" s="39" t="s">
        <v>99</v>
      </c>
      <c r="C82" s="219">
        <f>$C$5*17</f>
        <v>9633900</v>
      </c>
      <c r="D82" s="77">
        <v>2E-3</v>
      </c>
      <c r="E82" s="201"/>
      <c r="F82" s="156"/>
      <c r="G82" s="156"/>
    </row>
    <row r="83" spans="1:256" ht="15.6" x14ac:dyDescent="0.3">
      <c r="A83" s="155"/>
      <c r="B83" s="39" t="s">
        <v>100</v>
      </c>
      <c r="C83" s="220">
        <f>$C$5*18</f>
        <v>10200600</v>
      </c>
      <c r="D83" s="79">
        <v>4.0000000000000001E-3</v>
      </c>
      <c r="E83" s="203"/>
      <c r="F83" s="156"/>
      <c r="G83" s="156"/>
    </row>
    <row r="84" spans="1:256" ht="15.6" x14ac:dyDescent="0.3">
      <c r="A84" s="155"/>
      <c r="B84" s="39" t="s">
        <v>101</v>
      </c>
      <c r="C84" s="220">
        <f>$C$5*19</f>
        <v>10767300</v>
      </c>
      <c r="D84" s="79">
        <v>6.0000000000000001E-3</v>
      </c>
      <c r="E84" s="203"/>
      <c r="F84" s="156"/>
      <c r="G84" s="156"/>
    </row>
    <row r="85" spans="1:256" ht="15.6" x14ac:dyDescent="0.3">
      <c r="A85" s="155"/>
      <c r="B85" s="39" t="s">
        <v>102</v>
      </c>
      <c r="C85" s="220">
        <f>$C$5*20</f>
        <v>11334000</v>
      </c>
      <c r="D85" s="79">
        <v>8.0000000000000002E-3</v>
      </c>
      <c r="E85" s="203"/>
      <c r="F85" s="156"/>
      <c r="G85" s="156"/>
    </row>
    <row r="86" spans="1:256" ht="16.2" thickBot="1" x14ac:dyDescent="0.35">
      <c r="A86" s="155"/>
      <c r="B86" s="80" t="s">
        <v>103</v>
      </c>
      <c r="C86" s="221">
        <v>11334000</v>
      </c>
      <c r="D86" s="81">
        <v>0.01</v>
      </c>
      <c r="E86" s="205"/>
      <c r="F86" s="156"/>
      <c r="G86" s="156"/>
      <c r="IV86" s="1">
        <v>2012</v>
      </c>
    </row>
    <row r="87" spans="1:256" x14ac:dyDescent="0.25">
      <c r="A87" s="155"/>
      <c r="B87" s="206"/>
      <c r="C87" s="141"/>
      <c r="D87" s="142"/>
      <c r="E87" s="149" t="str">
        <f>+B69</f>
        <v>V1 .1 dici  26 de 2011</v>
      </c>
      <c r="F87" s="156"/>
      <c r="G87" s="156"/>
    </row>
    <row r="88" spans="1:256" ht="14.4" x14ac:dyDescent="0.3">
      <c r="A88" s="155"/>
      <c r="B88" s="155"/>
      <c r="C88" s="115"/>
      <c r="D88" s="143"/>
      <c r="E88" s="145"/>
      <c r="F88" s="156"/>
      <c r="G88" s="156"/>
    </row>
    <row r="89" spans="1:256" ht="15.6" x14ac:dyDescent="0.3">
      <c r="A89" s="155"/>
      <c r="B89" s="155"/>
      <c r="C89" s="140"/>
      <c r="D89" s="116"/>
      <c r="F89" s="156"/>
      <c r="G89" s="156"/>
    </row>
    <row r="90" spans="1:256" ht="15.6" x14ac:dyDescent="0.3">
      <c r="A90" s="155"/>
      <c r="B90" s="155"/>
      <c r="C90" s="140"/>
      <c r="D90" s="116"/>
      <c r="F90" s="156"/>
      <c r="G90" s="156"/>
    </row>
    <row r="91" spans="1:256" ht="15.6" x14ac:dyDescent="0.3">
      <c r="A91" s="155"/>
      <c r="B91" s="155"/>
      <c r="C91" s="140"/>
      <c r="D91" s="116"/>
      <c r="F91" s="156"/>
      <c r="G91" s="156"/>
    </row>
    <row r="92" spans="1:256" ht="15.6" x14ac:dyDescent="0.3">
      <c r="A92" s="155"/>
      <c r="B92" s="155"/>
      <c r="C92" s="140"/>
      <c r="D92" s="116"/>
      <c r="F92" s="156"/>
      <c r="G92" s="156"/>
    </row>
    <row r="93" spans="1:256" ht="15.6" x14ac:dyDescent="0.3">
      <c r="A93" s="155"/>
      <c r="B93" s="155"/>
      <c r="C93" s="140"/>
      <c r="D93" s="116"/>
      <c r="F93" s="156"/>
      <c r="G93" s="156"/>
    </row>
    <row r="94" spans="1:256" ht="15.6" x14ac:dyDescent="0.3">
      <c r="A94" s="155"/>
      <c r="B94" s="155"/>
      <c r="C94" s="140"/>
      <c r="D94" s="116"/>
      <c r="F94" s="156"/>
      <c r="G94" s="156"/>
    </row>
    <row r="95" spans="1:256" ht="15.6" x14ac:dyDescent="0.3">
      <c r="A95" s="155"/>
      <c r="B95" s="155"/>
      <c r="C95" s="140"/>
      <c r="D95" s="116"/>
      <c r="F95" s="156"/>
      <c r="G95" s="156"/>
    </row>
    <row r="96" spans="1:256" ht="15.6" x14ac:dyDescent="0.3">
      <c r="A96" s="155"/>
      <c r="B96" s="155"/>
      <c r="C96" s="140"/>
      <c r="D96" s="116"/>
      <c r="F96" s="156"/>
      <c r="G96" s="156"/>
    </row>
    <row r="97" spans="1:7" ht="15.6" x14ac:dyDescent="0.3">
      <c r="A97" s="155"/>
      <c r="B97" s="155"/>
      <c r="C97" s="140"/>
      <c r="D97" s="116"/>
      <c r="F97" s="156"/>
      <c r="G97" s="156"/>
    </row>
    <row r="98" spans="1:7" ht="15.6" x14ac:dyDescent="0.3">
      <c r="A98" s="155"/>
      <c r="B98" s="155"/>
      <c r="C98" s="140"/>
      <c r="D98" s="116"/>
      <c r="F98" s="156"/>
      <c r="G98" s="156"/>
    </row>
    <row r="99" spans="1:7" ht="15.6" x14ac:dyDescent="0.3">
      <c r="A99" s="155"/>
      <c r="B99" s="155"/>
      <c r="C99" s="140"/>
      <c r="D99" s="116"/>
      <c r="F99" s="156"/>
      <c r="G99" s="156"/>
    </row>
    <row r="100" spans="1:7" x14ac:dyDescent="0.25">
      <c r="A100" s="155"/>
      <c r="B100" s="155"/>
      <c r="C100" s="115"/>
      <c r="D100" s="116"/>
      <c r="F100" s="156"/>
      <c r="G100" s="156"/>
    </row>
    <row r="101" spans="1:7" x14ac:dyDescent="0.25">
      <c r="A101" s="155"/>
      <c r="B101" s="155"/>
      <c r="C101" s="115"/>
      <c r="D101" s="116"/>
      <c r="F101" s="156"/>
      <c r="G101" s="156"/>
    </row>
    <row r="102" spans="1:7" x14ac:dyDescent="0.25">
      <c r="A102" s="155"/>
      <c r="B102" s="155"/>
      <c r="C102" s="115"/>
      <c r="D102" s="116"/>
      <c r="F102" s="156"/>
      <c r="G102" s="156"/>
    </row>
    <row r="103" spans="1:7" x14ac:dyDescent="0.25">
      <c r="A103" s="155"/>
      <c r="B103" s="155"/>
      <c r="C103" s="115"/>
      <c r="D103" s="116"/>
      <c r="F103" s="156"/>
      <c r="G103" s="156"/>
    </row>
    <row r="65536" spans="256:256" x14ac:dyDescent="0.25">
      <c r="IV65536" s="1">
        <v>2012</v>
      </c>
    </row>
  </sheetData>
  <sheetProtection password="CC43" sheet="1"/>
  <protectedRanges>
    <protectedRange sqref="E20:E22" name="Rango5"/>
    <protectedRange sqref="C10:C12" name="Rango4"/>
    <protectedRange sqref="F60:F68" name="Rango2"/>
    <protectedRange sqref="E72" name="Rango3"/>
  </protectedRanges>
  <customSheetViews>
    <customSheetView guid="{005D785A-2C1A-7642-8E14-813F8ABC12DD}" scale="91" showGridLines="0">
      <selection activeCell="F3" sqref="F3"/>
      <pageMargins left="0" right="0" top="0" bottom="0" header="0" footer="0"/>
      <pageSetup paperSize="9" scale="52" orientation="portrait" r:id="rId1"/>
    </customSheetView>
  </customSheetViews>
  <dataValidations count="1">
    <dataValidation type="list" allowBlank="1" showInputMessage="1" showErrorMessage="1" sqref="C11" xr:uid="{00000000-0002-0000-0700-000000000000}">
      <formula1>$IV$6:$IV$10</formula1>
    </dataValidation>
  </dataValidations>
  <pageMargins left="0.59055118110236227" right="0" top="1.115" bottom="0.52" header="0" footer="0"/>
  <pageSetup paperSize="9" scale="52"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IV65536"/>
  <sheetViews>
    <sheetView showGridLines="0" workbookViewId="0">
      <selection activeCell="H33" sqref="H33"/>
    </sheetView>
  </sheetViews>
  <sheetFormatPr baseColWidth="10" defaultColWidth="11.44140625" defaultRowHeight="13.2" x14ac:dyDescent="0.25"/>
  <cols>
    <col min="1" max="1" width="3.33203125" style="1" customWidth="1"/>
    <col min="2" max="2" width="45.33203125" style="1" customWidth="1"/>
    <col min="3" max="3" width="58.88671875" style="2" customWidth="1"/>
    <col min="4" max="4" width="11" style="3" customWidth="1"/>
    <col min="5" max="5" width="17.33203125" style="4" customWidth="1"/>
    <col min="6" max="6" width="10.44140625" style="5" customWidth="1"/>
    <col min="7" max="7" width="13.88671875" style="5" customWidth="1"/>
    <col min="8" max="8" width="7.6640625" style="1" customWidth="1"/>
    <col min="9" max="9" width="13.33203125" style="1" bestFit="1" customWidth="1"/>
    <col min="10" max="10" width="12" style="1" bestFit="1" customWidth="1"/>
    <col min="11" max="16384" width="11.44140625" style="1"/>
  </cols>
  <sheetData>
    <row r="1" spans="1:256" ht="11.25" customHeight="1" x14ac:dyDescent="0.25">
      <c r="A1" s="155"/>
      <c r="B1" s="155"/>
      <c r="C1" s="115"/>
      <c r="D1" s="116"/>
      <c r="F1" s="156"/>
      <c r="G1" s="156"/>
    </row>
    <row r="2" spans="1:256" ht="18" customHeight="1" x14ac:dyDescent="0.3">
      <c r="A2" s="155"/>
      <c r="B2" s="87" t="s">
        <v>0</v>
      </c>
      <c r="C2" s="88"/>
      <c r="D2" s="89"/>
      <c r="E2" s="90"/>
      <c r="F2" s="156"/>
      <c r="G2" s="156"/>
    </row>
    <row r="3" spans="1:256" ht="14.25" customHeight="1" thickBot="1" x14ac:dyDescent="0.3">
      <c r="A3" s="155"/>
      <c r="B3" s="155"/>
      <c r="C3" s="115"/>
      <c r="D3" s="116"/>
      <c r="F3" s="156"/>
      <c r="G3" s="156"/>
    </row>
    <row r="4" spans="1:256" ht="18.75" customHeight="1" thickBot="1" x14ac:dyDescent="0.4">
      <c r="A4" s="155"/>
      <c r="B4" s="146" t="s">
        <v>141</v>
      </c>
      <c r="C4" s="117"/>
      <c r="D4" s="116"/>
      <c r="E4" s="157"/>
      <c r="F4" s="156"/>
      <c r="G4" s="156"/>
    </row>
    <row r="5" spans="1:256" ht="18.75" customHeight="1" x14ac:dyDescent="0.3">
      <c r="A5" s="155"/>
      <c r="B5" s="6" t="s">
        <v>2</v>
      </c>
      <c r="C5" s="76">
        <v>535600</v>
      </c>
      <c r="D5" s="116"/>
      <c r="E5" s="158"/>
      <c r="F5" s="156"/>
      <c r="G5" s="156"/>
      <c r="I5" s="156"/>
    </row>
    <row r="6" spans="1:256" ht="18.75" customHeight="1" thickBot="1" x14ac:dyDescent="0.35">
      <c r="A6" s="155"/>
      <c r="B6" s="159" t="s">
        <v>3</v>
      </c>
      <c r="C6" s="82">
        <v>63600</v>
      </c>
      <c r="D6" s="116"/>
      <c r="F6" s="156"/>
      <c r="G6" s="156"/>
      <c r="I6" s="160"/>
      <c r="J6" s="150"/>
      <c r="IV6" s="7">
        <v>5.2199999999999998E-3</v>
      </c>
    </row>
    <row r="7" spans="1:256" ht="13.5" customHeight="1" x14ac:dyDescent="0.3">
      <c r="A7" s="155"/>
      <c r="B7" s="161"/>
      <c r="C7" s="162"/>
      <c r="D7" s="116"/>
      <c r="F7" s="156"/>
      <c r="G7" s="156"/>
      <c r="IV7" s="7">
        <v>1.044E-2</v>
      </c>
    </row>
    <row r="8" spans="1:256" ht="12.75" customHeight="1" x14ac:dyDescent="0.25">
      <c r="A8" s="155"/>
      <c r="B8" s="161"/>
      <c r="C8" s="161"/>
      <c r="D8" s="116"/>
      <c r="F8" s="156"/>
      <c r="G8" s="156"/>
      <c r="IV8" s="7">
        <v>2.436E-2</v>
      </c>
    </row>
    <row r="9" spans="1:256" ht="12" customHeight="1" thickBot="1" x14ac:dyDescent="0.3">
      <c r="A9" s="155"/>
      <c r="B9" s="9" t="s">
        <v>4</v>
      </c>
      <c r="C9" s="147" t="s">
        <v>130</v>
      </c>
      <c r="D9" s="118"/>
      <c r="E9" s="10"/>
      <c r="F9" s="156"/>
      <c r="G9" s="156"/>
      <c r="IV9" s="7">
        <v>4.3499999999999997E-2</v>
      </c>
    </row>
    <row r="10" spans="1:256" ht="18.75" customHeight="1" x14ac:dyDescent="0.3">
      <c r="A10" s="155"/>
      <c r="B10" s="11" t="s">
        <v>6</v>
      </c>
      <c r="C10" s="100">
        <v>535600</v>
      </c>
      <c r="D10" s="119"/>
      <c r="E10" s="163"/>
      <c r="F10" s="156"/>
      <c r="G10" s="154"/>
      <c r="H10" s="12"/>
      <c r="IV10" s="7">
        <v>6.9599999999999995E-2</v>
      </c>
    </row>
    <row r="11" spans="1:256" ht="18.75" customHeight="1" x14ac:dyDescent="0.3">
      <c r="A11" s="155"/>
      <c r="B11" s="13" t="s">
        <v>7</v>
      </c>
      <c r="C11" s="14">
        <v>6.9599999999999995E-2</v>
      </c>
      <c r="D11" s="118"/>
      <c r="E11" s="163"/>
      <c r="F11" s="156"/>
      <c r="G11" s="120"/>
      <c r="H11" s="12"/>
    </row>
    <row r="12" spans="1:256" ht="18.75" customHeight="1" thickBot="1" x14ac:dyDescent="0.35">
      <c r="A12" s="155"/>
      <c r="B12" s="15" t="s">
        <v>8</v>
      </c>
      <c r="C12" s="164"/>
      <c r="D12" s="118"/>
      <c r="E12" s="10"/>
      <c r="F12" s="156"/>
      <c r="G12" s="121"/>
      <c r="H12" s="12"/>
      <c r="IR12" s="16"/>
      <c r="IV12" s="18"/>
    </row>
    <row r="13" spans="1:256" ht="10.5" customHeight="1" x14ac:dyDescent="0.3">
      <c r="A13" s="155"/>
      <c r="B13" s="161"/>
      <c r="C13" s="121"/>
      <c r="D13" s="118"/>
      <c r="E13" s="10"/>
      <c r="F13" s="156"/>
      <c r="G13" s="120"/>
      <c r="H13" s="12"/>
      <c r="IR13" s="16"/>
    </row>
    <row r="14" spans="1:256" ht="10.5" customHeight="1" thickBot="1" x14ac:dyDescent="0.35">
      <c r="A14" s="155"/>
      <c r="B14" s="165"/>
      <c r="C14" s="122"/>
      <c r="D14" s="123"/>
      <c r="F14" s="166"/>
      <c r="G14" s="120"/>
      <c r="H14" s="12"/>
      <c r="IR14" s="16"/>
    </row>
    <row r="15" spans="1:256" s="18" customFormat="1" ht="18.75" customHeight="1" x14ac:dyDescent="0.3">
      <c r="A15" s="167"/>
      <c r="B15" s="96" t="s">
        <v>11</v>
      </c>
      <c r="C15" s="97" t="s">
        <v>12</v>
      </c>
      <c r="D15" s="98" t="s">
        <v>13</v>
      </c>
      <c r="E15" s="99" t="s">
        <v>131</v>
      </c>
      <c r="F15" s="168"/>
      <c r="G15" s="120"/>
      <c r="H15" s="12"/>
      <c r="IR15" s="20"/>
    </row>
    <row r="16" spans="1:256" s="18" customFormat="1" ht="9" customHeight="1" x14ac:dyDescent="0.3">
      <c r="A16" s="167"/>
      <c r="B16" s="169"/>
      <c r="C16" s="162"/>
      <c r="D16" s="162"/>
      <c r="E16" s="21"/>
      <c r="F16" s="168"/>
      <c r="G16" s="168"/>
      <c r="IR16" s="20"/>
    </row>
    <row r="17" spans="1:252" s="18" customFormat="1" ht="18.75" customHeight="1" x14ac:dyDescent="0.3">
      <c r="A17" s="167"/>
      <c r="B17" s="22" t="s">
        <v>17</v>
      </c>
      <c r="C17" s="23"/>
      <c r="D17" s="24"/>
      <c r="E17" s="25"/>
      <c r="F17" s="168"/>
      <c r="G17" s="168"/>
      <c r="IR17" s="20"/>
    </row>
    <row r="18" spans="1:252" s="18" customFormat="1" ht="18.75" customHeight="1" x14ac:dyDescent="0.3">
      <c r="A18" s="167"/>
      <c r="B18" s="26" t="s">
        <v>18</v>
      </c>
      <c r="C18" s="27" t="s">
        <v>19</v>
      </c>
      <c r="D18" s="170"/>
      <c r="E18" s="29">
        <f>IF(C10&lt;C5,FALSE,C10)</f>
        <v>535600</v>
      </c>
      <c r="F18" s="171"/>
      <c r="G18" s="168"/>
      <c r="IR18" s="20"/>
    </row>
    <row r="19" spans="1:252" s="18" customFormat="1" ht="18.75" customHeight="1" x14ac:dyDescent="0.3">
      <c r="A19" s="167"/>
      <c r="B19" s="26" t="s">
        <v>20</v>
      </c>
      <c r="C19" s="27" t="s">
        <v>142</v>
      </c>
      <c r="D19" s="170"/>
      <c r="E19" s="29">
        <f>IF(E18+E20+E21+E22&lt;=(C5*2),C6,0)</f>
        <v>63600</v>
      </c>
      <c r="F19" s="171"/>
      <c r="G19" s="168"/>
    </row>
    <row r="20" spans="1:252" s="18" customFormat="1" ht="18.75" customHeight="1" x14ac:dyDescent="0.3">
      <c r="A20" s="167"/>
      <c r="B20" s="26" t="s">
        <v>22</v>
      </c>
      <c r="C20" s="27" t="s">
        <v>23</v>
      </c>
      <c r="D20" s="170"/>
      <c r="E20" s="34"/>
      <c r="F20" s="171"/>
      <c r="G20" s="168"/>
      <c r="J20" s="151"/>
    </row>
    <row r="21" spans="1:252" s="18" customFormat="1" ht="18.75" customHeight="1" x14ac:dyDescent="0.3">
      <c r="A21" s="167"/>
      <c r="B21" s="26" t="s">
        <v>118</v>
      </c>
      <c r="C21" s="27" t="s">
        <v>25</v>
      </c>
      <c r="D21" s="170"/>
      <c r="E21" s="34"/>
      <c r="F21" s="171"/>
      <c r="G21" s="168"/>
    </row>
    <row r="22" spans="1:252" s="18" customFormat="1" ht="18.75" customHeight="1" x14ac:dyDescent="0.3">
      <c r="A22" s="167"/>
      <c r="B22" s="26" t="s">
        <v>26</v>
      </c>
      <c r="C22" s="27" t="s">
        <v>110</v>
      </c>
      <c r="D22" s="170"/>
      <c r="E22" s="34"/>
      <c r="F22" s="171"/>
      <c r="G22" s="168"/>
    </row>
    <row r="23" spans="1:252" s="18" customFormat="1" ht="18.75" customHeight="1" x14ac:dyDescent="0.3">
      <c r="A23" s="167"/>
      <c r="B23" s="148" t="s">
        <v>28</v>
      </c>
      <c r="C23" s="125"/>
      <c r="D23" s="172"/>
      <c r="E23" s="30">
        <f>SUM(E18:E22)</f>
        <v>599200</v>
      </c>
      <c r="F23" s="173"/>
      <c r="G23" s="173"/>
    </row>
    <row r="24" spans="1:252" s="18" customFormat="1" ht="18.75" customHeight="1" x14ac:dyDescent="0.3">
      <c r="A24" s="167"/>
      <c r="B24" s="174"/>
      <c r="C24" s="126"/>
      <c r="D24" s="175"/>
      <c r="E24" s="34"/>
      <c r="F24" s="173"/>
      <c r="G24" s="173"/>
    </row>
    <row r="25" spans="1:252" s="18" customFormat="1" ht="18.75" customHeight="1" x14ac:dyDescent="0.3">
      <c r="A25" s="167"/>
      <c r="B25" s="101" t="s">
        <v>29</v>
      </c>
      <c r="C25" s="23"/>
      <c r="D25" s="24"/>
      <c r="E25" s="34"/>
      <c r="F25" s="173"/>
      <c r="G25" s="173"/>
    </row>
    <row r="26" spans="1:252" s="18" customFormat="1" ht="18.75" customHeight="1" x14ac:dyDescent="0.3">
      <c r="A26" s="167"/>
      <c r="B26" s="26" t="s">
        <v>30</v>
      </c>
      <c r="C26" s="27" t="s">
        <v>31</v>
      </c>
      <c r="D26" s="35">
        <v>8.3333333333333343E-2</v>
      </c>
      <c r="E26" s="29">
        <f>E23*D26</f>
        <v>49933.333333333336</v>
      </c>
      <c r="F26" s="168"/>
      <c r="G26" s="168"/>
    </row>
    <row r="27" spans="1:252" s="18" customFormat="1" ht="18.75" customHeight="1" x14ac:dyDescent="0.3">
      <c r="A27" s="167"/>
      <c r="B27" s="26" t="s">
        <v>32</v>
      </c>
      <c r="C27" s="27" t="s">
        <v>33</v>
      </c>
      <c r="D27" s="36">
        <v>0.12</v>
      </c>
      <c r="E27" s="29">
        <f>+E26*D27</f>
        <v>5992</v>
      </c>
      <c r="F27" s="168"/>
      <c r="G27" s="168"/>
    </row>
    <row r="28" spans="1:252" s="18" customFormat="1" ht="18.75" customHeight="1" x14ac:dyDescent="0.3">
      <c r="A28" s="167"/>
      <c r="B28" s="26" t="s">
        <v>34</v>
      </c>
      <c r="C28" s="27" t="s">
        <v>31</v>
      </c>
      <c r="D28" s="35">
        <v>8.3333333333333343E-2</v>
      </c>
      <c r="E28" s="29">
        <f>E23*D28</f>
        <v>49933.333333333336</v>
      </c>
      <c r="F28" s="168"/>
      <c r="G28" s="168"/>
    </row>
    <row r="29" spans="1:252" s="18" customFormat="1" ht="18.75" customHeight="1" x14ac:dyDescent="0.3">
      <c r="A29" s="167"/>
      <c r="B29" s="26" t="s">
        <v>35</v>
      </c>
      <c r="C29" s="37" t="s">
        <v>36</v>
      </c>
      <c r="D29" s="35">
        <v>4.1666666666666664E-2</v>
      </c>
      <c r="E29" s="29">
        <f>(E18+E20)*D29</f>
        <v>22316.666666666664</v>
      </c>
      <c r="F29" s="168"/>
      <c r="G29" s="176"/>
    </row>
    <row r="30" spans="1:252" s="18" customFormat="1" ht="18.75" customHeight="1" x14ac:dyDescent="0.3">
      <c r="A30" s="167"/>
      <c r="B30" s="177" t="s">
        <v>37</v>
      </c>
      <c r="C30" s="128"/>
      <c r="D30" s="175"/>
      <c r="E30" s="30">
        <f>SUM(E26:E29)</f>
        <v>128175.33333333334</v>
      </c>
      <c r="F30" s="168"/>
      <c r="G30" s="168"/>
    </row>
    <row r="31" spans="1:252" s="18" customFormat="1" ht="18.75" customHeight="1" x14ac:dyDescent="0.3">
      <c r="A31" s="167"/>
      <c r="B31" s="178"/>
      <c r="C31" s="124"/>
      <c r="D31" s="170"/>
      <c r="E31" s="25"/>
      <c r="F31" s="168"/>
      <c r="G31" s="168"/>
      <c r="H31" s="8"/>
    </row>
    <row r="32" spans="1:252" s="18" customFormat="1" ht="18.75" customHeight="1" x14ac:dyDescent="0.3">
      <c r="A32" s="167"/>
      <c r="B32" s="22" t="s">
        <v>38</v>
      </c>
      <c r="C32" s="23"/>
      <c r="D32" s="24"/>
      <c r="E32" s="25"/>
      <c r="F32" s="168"/>
      <c r="G32" s="168"/>
      <c r="H32" s="8"/>
    </row>
    <row r="33" spans="1:9" s="18" customFormat="1" ht="18.75" customHeight="1" x14ac:dyDescent="0.3">
      <c r="A33" s="167"/>
      <c r="B33" s="39" t="s">
        <v>39</v>
      </c>
      <c r="C33" s="85">
        <f>ROUND(IF($E$18+E20+E21+E22&lt;=($C$5*25),ROUND($E$18+E20+E21+E22,-3),ROUND($C$5*25,-3))*0.125,-2)</f>
        <v>67000</v>
      </c>
      <c r="D33" s="36">
        <v>8.5000000000000006E-2</v>
      </c>
      <c r="E33" s="29">
        <f>C33-E73</f>
        <v>45600</v>
      </c>
      <c r="F33" s="168"/>
      <c r="G33" s="179"/>
      <c r="H33" s="40"/>
      <c r="I33" s="144"/>
    </row>
    <row r="34" spans="1:9" s="18" customFormat="1" ht="18.75" customHeight="1" x14ac:dyDescent="0.3">
      <c r="A34" s="167"/>
      <c r="B34" s="26" t="s">
        <v>40</v>
      </c>
      <c r="C34" s="85">
        <f>ROUND(IF($E$18+E20+E21+E22&lt;=($C$5*25),ROUND($E$18+E20+E21+E22,-3),ROUND($C$5*25,-3))*0.16,-2)</f>
        <v>85800</v>
      </c>
      <c r="D34" s="36">
        <v>0.12</v>
      </c>
      <c r="E34" s="29">
        <f>C34-E74</f>
        <v>64400</v>
      </c>
      <c r="F34" s="168"/>
      <c r="G34" s="179"/>
      <c r="H34" s="41"/>
    </row>
    <row r="35" spans="1:9" s="18" customFormat="1" ht="18.75" customHeight="1" x14ac:dyDescent="0.3">
      <c r="A35" s="167"/>
      <c r="B35" s="26" t="s">
        <v>119</v>
      </c>
      <c r="C35" s="37" t="s">
        <v>42</v>
      </c>
      <c r="D35" s="28">
        <f>C11</f>
        <v>6.9599999999999995E-2</v>
      </c>
      <c r="E35" s="29">
        <f>ROUND(IF($E$18+E21+E20+E22&lt;=($C$5*20),ROUND($E$18+E20+E21+E22,-3),ROUND($C$5*20,-3))*D35,-2)</f>
        <v>37300</v>
      </c>
      <c r="F35" s="168"/>
      <c r="G35" s="179"/>
      <c r="H35" s="8"/>
    </row>
    <row r="36" spans="1:9" s="18" customFormat="1" ht="18.75" customHeight="1" x14ac:dyDescent="0.3">
      <c r="A36" s="167"/>
      <c r="B36" s="26" t="s">
        <v>43</v>
      </c>
      <c r="C36" s="127"/>
      <c r="D36" s="36">
        <v>8.5000000000000006E-2</v>
      </c>
      <c r="E36" s="29">
        <f>ROUND(IF($E$29&lt;=($C$5*25),ROUND($E$29,-3),ROUND($C$5*25,-3))*D36,-2)</f>
        <v>1900</v>
      </c>
      <c r="F36" s="168"/>
      <c r="G36" s="168"/>
    </row>
    <row r="37" spans="1:9" s="18" customFormat="1" ht="18.75" customHeight="1" x14ac:dyDescent="0.3">
      <c r="A37" s="167"/>
      <c r="B37" s="26" t="s">
        <v>44</v>
      </c>
      <c r="C37" s="127"/>
      <c r="D37" s="36">
        <v>0.12</v>
      </c>
      <c r="E37" s="29">
        <f>ROUND(IF($E$29&lt;=($C$5*25),ROUND($E$29,-3),ROUND($C$5*25,-3))*D37,-2)</f>
        <v>2600</v>
      </c>
      <c r="F37" s="168"/>
      <c r="G37" s="168"/>
    </row>
    <row r="38" spans="1:9" s="18" customFormat="1" ht="18.75" customHeight="1" x14ac:dyDescent="0.3">
      <c r="A38" s="167"/>
      <c r="B38" s="177" t="s">
        <v>45</v>
      </c>
      <c r="C38" s="128"/>
      <c r="D38" s="175"/>
      <c r="E38" s="30">
        <f>SUM(E33:E37)</f>
        <v>151800</v>
      </c>
      <c r="F38" s="168"/>
      <c r="G38" s="168"/>
    </row>
    <row r="39" spans="1:9" s="18" customFormat="1" ht="18.75" customHeight="1" x14ac:dyDescent="0.3">
      <c r="A39" s="167"/>
      <c r="B39" s="178"/>
      <c r="C39" s="124"/>
      <c r="D39" s="170"/>
      <c r="E39" s="25"/>
      <c r="F39" s="168"/>
      <c r="G39" s="168"/>
    </row>
    <row r="40" spans="1:9" s="18" customFormat="1" ht="18.75" customHeight="1" x14ac:dyDescent="0.3">
      <c r="A40" s="167"/>
      <c r="B40" s="22" t="s">
        <v>46</v>
      </c>
      <c r="C40" s="23"/>
      <c r="D40" s="24"/>
      <c r="E40" s="25"/>
      <c r="F40" s="168"/>
      <c r="G40" s="168"/>
    </row>
    <row r="41" spans="1:9" s="18" customFormat="1" ht="18.75" customHeight="1" x14ac:dyDescent="0.3">
      <c r="A41" s="167"/>
      <c r="B41" s="26" t="s">
        <v>47</v>
      </c>
      <c r="C41" s="37" t="s">
        <v>137</v>
      </c>
      <c r="D41" s="36">
        <v>0.09</v>
      </c>
      <c r="E41" s="29">
        <f>ROUND(ROUND(E18+E20+E21+E22,-3)*D41,-2)</f>
        <v>48200</v>
      </c>
      <c r="F41" s="168"/>
      <c r="G41" s="168"/>
    </row>
    <row r="42" spans="1:9" s="18" customFormat="1" ht="18.75" customHeight="1" x14ac:dyDescent="0.3">
      <c r="A42" s="167"/>
      <c r="B42" s="26" t="s">
        <v>49</v>
      </c>
      <c r="C42" s="127"/>
      <c r="D42" s="36">
        <v>0.09</v>
      </c>
      <c r="E42" s="29">
        <f>ROUND(ROUND(E29,-3)*D42,-2)</f>
        <v>2000</v>
      </c>
      <c r="F42" s="168"/>
      <c r="G42" s="168"/>
    </row>
    <row r="43" spans="1:9" s="18" customFormat="1" ht="18.75" customHeight="1" x14ac:dyDescent="0.3">
      <c r="A43" s="167"/>
      <c r="B43" s="177" t="s">
        <v>50</v>
      </c>
      <c r="C43" s="128"/>
      <c r="D43" s="175"/>
      <c r="E43" s="30">
        <f>SUM(E41:E42)</f>
        <v>50200</v>
      </c>
      <c r="F43" s="168"/>
      <c r="G43" s="168"/>
    </row>
    <row r="44" spans="1:9" s="18" customFormat="1" ht="18.75" customHeight="1" x14ac:dyDescent="0.3">
      <c r="A44" s="167"/>
      <c r="B44" s="180"/>
      <c r="C44" s="127"/>
      <c r="D44" s="170"/>
      <c r="E44" s="25"/>
      <c r="F44" s="168"/>
      <c r="G44" s="168"/>
    </row>
    <row r="45" spans="1:9" s="18" customFormat="1" ht="18.75" customHeight="1" x14ac:dyDescent="0.3">
      <c r="A45" s="167"/>
      <c r="B45" s="22" t="s">
        <v>51</v>
      </c>
      <c r="C45" s="23"/>
      <c r="D45" s="24"/>
      <c r="E45" s="25"/>
      <c r="F45" s="168"/>
      <c r="G45" s="168"/>
    </row>
    <row r="46" spans="1:9" s="18" customFormat="1" ht="18.75" customHeight="1" x14ac:dyDescent="0.3">
      <c r="A46" s="167"/>
      <c r="B46" s="39" t="s">
        <v>53</v>
      </c>
      <c r="C46" s="37" t="s">
        <v>54</v>
      </c>
      <c r="D46" s="181"/>
      <c r="E46" s="29">
        <f>IF(E18+E20+E21+E22&lt;=C5*2,(C12*3)/12,0)</f>
        <v>0</v>
      </c>
      <c r="F46" s="168"/>
      <c r="G46" s="168"/>
    </row>
    <row r="47" spans="1:9" s="18" customFormat="1" ht="18.75" customHeight="1" x14ac:dyDescent="0.3">
      <c r="A47" s="167"/>
      <c r="B47" s="178"/>
      <c r="C47" s="124"/>
      <c r="D47" s="170"/>
      <c r="E47" s="182"/>
      <c r="F47" s="168"/>
      <c r="G47" s="168"/>
    </row>
    <row r="48" spans="1:9" s="18" customFormat="1" ht="18.75" customHeight="1" x14ac:dyDescent="0.3">
      <c r="A48" s="167"/>
      <c r="B48" s="31" t="s">
        <v>55</v>
      </c>
      <c r="C48" s="126"/>
      <c r="D48" s="175"/>
      <c r="E48" s="30">
        <f>E23+E30+E38+E43+E46</f>
        <v>929375.33333333337</v>
      </c>
      <c r="F48" s="183"/>
      <c r="G48" s="173"/>
    </row>
    <row r="49" spans="1:10" s="18" customFormat="1" ht="18.75" customHeight="1" thickBot="1" x14ac:dyDescent="0.35">
      <c r="A49" s="167"/>
      <c r="B49" s="80" t="s">
        <v>56</v>
      </c>
      <c r="C49" s="129"/>
      <c r="D49" s="130"/>
      <c r="E49" s="93">
        <f>+(E48/(E23-E19))-1</f>
        <v>0.73520413243714211</v>
      </c>
      <c r="F49" s="173"/>
      <c r="G49" s="173"/>
    </row>
    <row r="50" spans="1:10" s="18" customFormat="1" ht="13.5" customHeight="1" x14ac:dyDescent="0.3">
      <c r="A50" s="167"/>
      <c r="B50" s="184"/>
      <c r="C50" s="131"/>
      <c r="D50" s="132"/>
      <c r="E50" s="185"/>
      <c r="F50" s="173"/>
      <c r="G50" s="173"/>
    </row>
    <row r="51" spans="1:10" s="18" customFormat="1" ht="13.5" customHeight="1" thickBot="1" x14ac:dyDescent="0.35">
      <c r="A51" s="167"/>
      <c r="B51" s="184"/>
      <c r="C51" s="131"/>
      <c r="D51" s="132"/>
      <c r="E51" s="185"/>
      <c r="F51" s="173"/>
      <c r="G51" s="173"/>
    </row>
    <row r="52" spans="1:10" s="18" customFormat="1" ht="18.75" customHeight="1" x14ac:dyDescent="0.3">
      <c r="A52" s="155"/>
      <c r="B52" s="74" t="s">
        <v>138</v>
      </c>
      <c r="C52" s="186"/>
      <c r="D52" s="133"/>
      <c r="E52" s="187">
        <f>E48*12</f>
        <v>11152504</v>
      </c>
      <c r="F52" s="156"/>
      <c r="G52" s="156"/>
      <c r="H52" s="1"/>
    </row>
    <row r="53" spans="1:10" s="18" customFormat="1" ht="18.75" customHeight="1" x14ac:dyDescent="0.3">
      <c r="A53" s="155"/>
      <c r="B53" s="26" t="s">
        <v>143</v>
      </c>
      <c r="C53" s="124"/>
      <c r="D53" s="134"/>
      <c r="E53" s="29">
        <v>298</v>
      </c>
      <c r="F53" s="156"/>
      <c r="G53" s="156"/>
      <c r="H53" s="1"/>
    </row>
    <row r="54" spans="1:10" s="18" customFormat="1" ht="18.75" customHeight="1" x14ac:dyDescent="0.3">
      <c r="A54" s="155"/>
      <c r="B54" s="26" t="s">
        <v>59</v>
      </c>
      <c r="C54" s="124"/>
      <c r="D54" s="134"/>
      <c r="E54" s="29">
        <f>E52/E53</f>
        <v>37424.510067114097</v>
      </c>
      <c r="F54" s="156"/>
      <c r="G54" s="156"/>
      <c r="H54" s="1"/>
    </row>
    <row r="55" spans="1:10" s="18" customFormat="1" ht="18.75" customHeight="1" thickBot="1" x14ac:dyDescent="0.35">
      <c r="A55" s="155"/>
      <c r="B55" s="188" t="s">
        <v>60</v>
      </c>
      <c r="C55" s="135"/>
      <c r="D55" s="136"/>
      <c r="E55" s="82">
        <f>E54/8</f>
        <v>4678.0637583892621</v>
      </c>
      <c r="F55" s="156"/>
      <c r="G55" s="156"/>
      <c r="H55" s="1"/>
    </row>
    <row r="56" spans="1:10" s="18" customFormat="1" ht="11.25" customHeight="1" x14ac:dyDescent="0.3">
      <c r="A56" s="155"/>
      <c r="B56" s="161"/>
      <c r="C56" s="137"/>
      <c r="D56" s="138"/>
      <c r="E56" s="185"/>
      <c r="F56" s="156"/>
      <c r="G56" s="156"/>
      <c r="H56" s="1"/>
    </row>
    <row r="57" spans="1:10" s="18" customFormat="1" ht="11.25" customHeight="1" thickBot="1" x14ac:dyDescent="0.35">
      <c r="A57" s="155"/>
      <c r="B57" s="161"/>
      <c r="C57" s="137"/>
      <c r="D57" s="138"/>
      <c r="E57" s="185"/>
      <c r="F57" s="156"/>
      <c r="G57" s="156"/>
      <c r="H57" s="1"/>
    </row>
    <row r="58" spans="1:10" s="18" customFormat="1" ht="18.75" customHeight="1" thickBot="1" x14ac:dyDescent="0.35">
      <c r="A58" s="155"/>
      <c r="B58" s="45" t="s">
        <v>61</v>
      </c>
      <c r="C58" s="46"/>
      <c r="D58" s="47" t="s">
        <v>13</v>
      </c>
      <c r="E58" s="48" t="s">
        <v>62</v>
      </c>
      <c r="F58" s="47" t="s">
        <v>63</v>
      </c>
      <c r="G58" s="49" t="s">
        <v>62</v>
      </c>
    </row>
    <row r="59" spans="1:10" s="18" customFormat="1" ht="18.75" customHeight="1" x14ac:dyDescent="0.3">
      <c r="A59" s="155"/>
      <c r="B59" s="50" t="s">
        <v>64</v>
      </c>
      <c r="C59" s="51" t="s">
        <v>112</v>
      </c>
      <c r="D59" s="52"/>
      <c r="E59" s="53">
        <f>(E18/30)/8</f>
        <v>2231.6666666666665</v>
      </c>
      <c r="F59" s="139"/>
      <c r="G59" s="152"/>
      <c r="H59" s="1"/>
      <c r="I59" s="20"/>
    </row>
    <row r="60" spans="1:10" s="18" customFormat="1" ht="18.75" customHeight="1" x14ac:dyDescent="0.3">
      <c r="A60" s="155"/>
      <c r="B60" s="39" t="s">
        <v>66</v>
      </c>
      <c r="C60" s="37" t="s">
        <v>113</v>
      </c>
      <c r="D60" s="54">
        <v>0.35</v>
      </c>
      <c r="E60" s="55">
        <f>$E$59*D60</f>
        <v>781.08333333333326</v>
      </c>
      <c r="F60" s="189"/>
      <c r="G60" s="190">
        <f t="shared" ref="G60:G68" si="0">E60*F60</f>
        <v>0</v>
      </c>
      <c r="H60" s="1"/>
      <c r="I60" s="83"/>
      <c r="J60" s="151"/>
    </row>
    <row r="61" spans="1:10" s="18" customFormat="1" ht="18.75" customHeight="1" x14ac:dyDescent="0.3">
      <c r="A61" s="155"/>
      <c r="B61" s="39" t="s">
        <v>68</v>
      </c>
      <c r="C61" s="37" t="s">
        <v>69</v>
      </c>
      <c r="D61" s="54">
        <v>0.75</v>
      </c>
      <c r="E61" s="55">
        <f>$E$59*D61</f>
        <v>1673.75</v>
      </c>
      <c r="F61" s="189"/>
      <c r="G61" s="190">
        <f t="shared" si="0"/>
        <v>0</v>
      </c>
      <c r="H61" s="1"/>
      <c r="I61" s="83"/>
    </row>
    <row r="62" spans="1:10" s="18" customFormat="1" ht="18.75" customHeight="1" x14ac:dyDescent="0.3">
      <c r="A62" s="155"/>
      <c r="B62" s="56" t="s">
        <v>70</v>
      </c>
      <c r="C62" s="57" t="s">
        <v>71</v>
      </c>
      <c r="D62" s="58">
        <v>1.75</v>
      </c>
      <c r="E62" s="55">
        <f>$E$59*D62</f>
        <v>3905.4166666666665</v>
      </c>
      <c r="F62" s="191"/>
      <c r="G62" s="190">
        <f t="shared" si="0"/>
        <v>0</v>
      </c>
      <c r="H62" s="1"/>
    </row>
    <row r="63" spans="1:10" s="18" customFormat="1" ht="18.75" customHeight="1" x14ac:dyDescent="0.3">
      <c r="A63" s="155"/>
      <c r="B63" s="26" t="s">
        <v>72</v>
      </c>
      <c r="C63" s="27" t="s">
        <v>73</v>
      </c>
      <c r="D63" s="91">
        <v>1.1000000000000001</v>
      </c>
      <c r="E63" s="84">
        <f t="shared" ref="E63:E68" si="1">$E$59*D63</f>
        <v>2454.8333333333335</v>
      </c>
      <c r="F63" s="191"/>
      <c r="G63" s="190">
        <f t="shared" si="0"/>
        <v>0</v>
      </c>
      <c r="H63" s="1"/>
    </row>
    <row r="64" spans="1:10" s="18" customFormat="1" ht="18.75" customHeight="1" x14ac:dyDescent="0.3">
      <c r="A64" s="155"/>
      <c r="B64" s="86" t="s">
        <v>74</v>
      </c>
      <c r="C64" s="27" t="s">
        <v>75</v>
      </c>
      <c r="D64" s="92">
        <v>2.1</v>
      </c>
      <c r="E64" s="84">
        <f t="shared" si="1"/>
        <v>4686.5</v>
      </c>
      <c r="F64" s="191"/>
      <c r="G64" s="190">
        <f t="shared" si="0"/>
        <v>0</v>
      </c>
      <c r="H64" s="1"/>
      <c r="J64" s="20"/>
    </row>
    <row r="65" spans="1:10" s="18" customFormat="1" ht="18.75" customHeight="1" x14ac:dyDescent="0.3">
      <c r="A65" s="155"/>
      <c r="B65" s="59" t="s">
        <v>76</v>
      </c>
      <c r="C65" s="60" t="s">
        <v>77</v>
      </c>
      <c r="D65" s="61">
        <v>1.25</v>
      </c>
      <c r="E65" s="84">
        <f t="shared" si="1"/>
        <v>2789.583333333333</v>
      </c>
      <c r="F65" s="189"/>
      <c r="G65" s="190">
        <f t="shared" si="0"/>
        <v>0</v>
      </c>
      <c r="H65" s="1"/>
      <c r="J65" s="20"/>
    </row>
    <row r="66" spans="1:10" s="18" customFormat="1" ht="18.75" customHeight="1" x14ac:dyDescent="0.3">
      <c r="A66" s="155"/>
      <c r="B66" s="62" t="s">
        <v>78</v>
      </c>
      <c r="C66" s="37" t="s">
        <v>79</v>
      </c>
      <c r="D66" s="54">
        <v>1.75</v>
      </c>
      <c r="E66" s="84">
        <f t="shared" si="1"/>
        <v>3905.4166666666665</v>
      </c>
      <c r="F66" s="189"/>
      <c r="G66" s="190">
        <f t="shared" si="0"/>
        <v>0</v>
      </c>
      <c r="H66" s="1"/>
    </row>
    <row r="67" spans="1:10" s="18" customFormat="1" ht="18.75" customHeight="1" x14ac:dyDescent="0.3">
      <c r="A67" s="155"/>
      <c r="B67" s="62" t="s">
        <v>80</v>
      </c>
      <c r="C67" s="37" t="s">
        <v>81</v>
      </c>
      <c r="D67" s="54">
        <v>2</v>
      </c>
      <c r="E67" s="84">
        <f t="shared" si="1"/>
        <v>4463.333333333333</v>
      </c>
      <c r="F67" s="189"/>
      <c r="G67" s="190">
        <f t="shared" si="0"/>
        <v>0</v>
      </c>
      <c r="H67" s="1"/>
    </row>
    <row r="68" spans="1:10" s="18" customFormat="1" ht="18.75" customHeight="1" thickBot="1" x14ac:dyDescent="0.35">
      <c r="A68" s="155"/>
      <c r="B68" s="63" t="s">
        <v>82</v>
      </c>
      <c r="C68" s="64" t="s">
        <v>83</v>
      </c>
      <c r="D68" s="65">
        <v>2.5</v>
      </c>
      <c r="E68" s="102">
        <f t="shared" si="1"/>
        <v>5579.1666666666661</v>
      </c>
      <c r="F68" s="192"/>
      <c r="G68" s="193">
        <f t="shared" si="0"/>
        <v>0</v>
      </c>
      <c r="H68" s="1"/>
    </row>
    <row r="69" spans="1:10" s="18" customFormat="1" ht="18.75" customHeight="1" thickBot="1" x14ac:dyDescent="0.35">
      <c r="A69" s="155"/>
      <c r="B69" s="95" t="s">
        <v>144</v>
      </c>
      <c r="C69" s="115"/>
      <c r="D69" s="116"/>
      <c r="E69" s="4"/>
      <c r="F69" s="156"/>
      <c r="G69" s="66">
        <f>SUM(G60:G68)</f>
        <v>0</v>
      </c>
      <c r="H69" s="1"/>
    </row>
    <row r="70" spans="1:10" s="18" customFormat="1" ht="13.5" customHeight="1" thickBot="1" x14ac:dyDescent="0.35">
      <c r="A70" s="155"/>
      <c r="B70" s="161"/>
      <c r="C70" s="137"/>
      <c r="D70" s="138"/>
      <c r="E70" s="185"/>
      <c r="F70" s="156"/>
      <c r="G70" s="156"/>
      <c r="H70" s="1"/>
    </row>
    <row r="71" spans="1:10" s="18" customFormat="1" ht="18.75" customHeight="1" thickBot="1" x14ac:dyDescent="0.35">
      <c r="A71" s="155"/>
      <c r="B71" s="113" t="s">
        <v>85</v>
      </c>
      <c r="C71" s="114"/>
      <c r="D71" s="105" t="s">
        <v>13</v>
      </c>
      <c r="E71" s="48" t="s">
        <v>62</v>
      </c>
      <c r="F71" s="156"/>
      <c r="G71" s="156"/>
      <c r="H71" s="1"/>
    </row>
    <row r="72" spans="1:10" s="18" customFormat="1" ht="18.75" customHeight="1" x14ac:dyDescent="0.3">
      <c r="A72" s="155"/>
      <c r="B72" s="74" t="s">
        <v>86</v>
      </c>
      <c r="C72" s="67" t="s">
        <v>87</v>
      </c>
      <c r="D72" s="133"/>
      <c r="E72" s="194"/>
      <c r="F72" s="156"/>
      <c r="G72" s="156"/>
      <c r="H72" s="1"/>
    </row>
    <row r="73" spans="1:10" s="18" customFormat="1" ht="18.75" customHeight="1" x14ac:dyDescent="0.3">
      <c r="A73" s="155"/>
      <c r="B73" s="26" t="s">
        <v>88</v>
      </c>
      <c r="C73" s="27" t="s">
        <v>89</v>
      </c>
      <c r="D73" s="54">
        <v>0.04</v>
      </c>
      <c r="E73" s="68">
        <f>ROUND(IF($E$18+E20+E21+E22&lt;=($C$5*25),ROUND($E$18+E20+E21+E22,-3),ROUND($C$5*25,-3))*D73,-2)</f>
        <v>21400</v>
      </c>
      <c r="F73" s="156"/>
      <c r="G73" s="156"/>
      <c r="H73" s="1"/>
    </row>
    <row r="74" spans="1:10" s="18" customFormat="1" ht="18.75" customHeight="1" x14ac:dyDescent="0.3">
      <c r="A74" s="155"/>
      <c r="B74" s="26" t="s">
        <v>90</v>
      </c>
      <c r="C74" s="37" t="s">
        <v>91</v>
      </c>
      <c r="D74" s="54">
        <v>0.04</v>
      </c>
      <c r="E74" s="68">
        <f>ROUND(IF($E$18+E20+E21+E22&lt;=($C$5*25),ROUND($E$18+E20+E21+E22,-3),ROUND($C$5*25,-3))*D74,-2)</f>
        <v>21400</v>
      </c>
      <c r="F74" s="156"/>
      <c r="G74" s="156"/>
      <c r="H74" s="1"/>
    </row>
    <row r="75" spans="1:10" s="18" customFormat="1" ht="18.75" customHeight="1" x14ac:dyDescent="0.3">
      <c r="A75" s="155"/>
      <c r="B75" s="26" t="s">
        <v>92</v>
      </c>
      <c r="C75" s="37" t="s">
        <v>93</v>
      </c>
      <c r="D75" s="79">
        <f>IF(E18+E20+E21+E22&lt;(C5*4),0,0.01)</f>
        <v>0</v>
      </c>
      <c r="E75" s="29">
        <f>IF(E18+E20+E21+E22&lt;(C5*4),0,(E18+E20+E21+E22)*D75)</f>
        <v>0</v>
      </c>
      <c r="F75" s="156"/>
      <c r="G75" s="156"/>
      <c r="H75" s="1"/>
    </row>
    <row r="76" spans="1:10" s="18" customFormat="1" ht="18.75" customHeight="1" x14ac:dyDescent="0.3">
      <c r="A76" s="155"/>
      <c r="B76" s="26" t="s">
        <v>94</v>
      </c>
      <c r="C76" s="37" t="s">
        <v>95</v>
      </c>
      <c r="D76" s="36">
        <f>IF(E18+E20+E21+E22&lt;C81,D81,IF(E18+E20+E21+E22&lt;C82,D82,IF(E18+E20+E21+E22&lt;C83,D83,IF(E18+E20+E21+E22&lt;C84,D84,IF(E18+E20+E21+E22&lt;C85,D85,D86)))))</f>
        <v>0</v>
      </c>
      <c r="E76" s="195">
        <f>(E18+E20+E21+E22)*D76</f>
        <v>0</v>
      </c>
      <c r="F76" s="156"/>
      <c r="G76" s="156"/>
      <c r="H76" s="1"/>
    </row>
    <row r="77" spans="1:10" s="18" customFormat="1" ht="18.75" customHeight="1" thickBot="1" x14ac:dyDescent="0.35">
      <c r="A77" s="155"/>
      <c r="B77" s="94" t="s">
        <v>96</v>
      </c>
      <c r="C77" s="69"/>
      <c r="D77" s="196"/>
      <c r="E77" s="70">
        <f>SUM(E72:E76)</f>
        <v>42800</v>
      </c>
      <c r="F77" s="156"/>
      <c r="G77" s="156"/>
      <c r="H77" s="1"/>
    </row>
    <row r="78" spans="1:10" s="18" customFormat="1" ht="13.5" customHeight="1" x14ac:dyDescent="0.3">
      <c r="A78" s="155"/>
      <c r="B78" s="161"/>
      <c r="C78" s="137"/>
      <c r="D78" s="138"/>
      <c r="E78" s="185"/>
      <c r="F78" s="156"/>
      <c r="G78" s="156"/>
      <c r="H78" s="1"/>
    </row>
    <row r="79" spans="1:10" ht="13.5" customHeight="1" thickBot="1" x14ac:dyDescent="0.35">
      <c r="A79" s="155"/>
      <c r="B79" s="161"/>
      <c r="C79" s="137"/>
      <c r="D79" s="197"/>
      <c r="E79" s="185"/>
      <c r="F79" s="156"/>
      <c r="G79" s="156"/>
    </row>
    <row r="80" spans="1:10" ht="16.2" thickBot="1" x14ac:dyDescent="0.35">
      <c r="A80" s="155"/>
      <c r="B80" s="71" t="s">
        <v>97</v>
      </c>
      <c r="C80" s="140"/>
      <c r="D80" s="168"/>
      <c r="E80" s="179"/>
      <c r="F80" s="156"/>
      <c r="G80" s="156"/>
    </row>
    <row r="81" spans="1:256" ht="15.6" x14ac:dyDescent="0.3">
      <c r="A81" s="155"/>
      <c r="B81" s="74" t="s">
        <v>98</v>
      </c>
      <c r="C81" s="198">
        <f>$C$5*16</f>
        <v>8569600</v>
      </c>
      <c r="D81" s="75">
        <v>0</v>
      </c>
      <c r="E81" s="199"/>
      <c r="F81" s="156"/>
      <c r="G81" s="156"/>
    </row>
    <row r="82" spans="1:256" ht="15.6" x14ac:dyDescent="0.3">
      <c r="A82" s="155"/>
      <c r="B82" s="39" t="s">
        <v>99</v>
      </c>
      <c r="C82" s="200">
        <f>$C$5*17</f>
        <v>9105200</v>
      </c>
      <c r="D82" s="77">
        <v>2E-3</v>
      </c>
      <c r="E82" s="201"/>
      <c r="F82" s="156"/>
      <c r="G82" s="156"/>
    </row>
    <row r="83" spans="1:256" ht="15.6" x14ac:dyDescent="0.3">
      <c r="A83" s="155"/>
      <c r="B83" s="39" t="s">
        <v>100</v>
      </c>
      <c r="C83" s="202">
        <f>$C$5*18</f>
        <v>9640800</v>
      </c>
      <c r="D83" s="79">
        <v>4.0000000000000001E-3</v>
      </c>
      <c r="E83" s="203"/>
      <c r="F83" s="156"/>
      <c r="G83" s="156"/>
    </row>
    <row r="84" spans="1:256" ht="15.6" x14ac:dyDescent="0.3">
      <c r="A84" s="155"/>
      <c r="B84" s="39" t="s">
        <v>101</v>
      </c>
      <c r="C84" s="202">
        <f>$C$5*19</f>
        <v>10176400</v>
      </c>
      <c r="D84" s="79">
        <v>6.0000000000000001E-3</v>
      </c>
      <c r="E84" s="203"/>
      <c r="F84" s="156"/>
      <c r="G84" s="156"/>
    </row>
    <row r="85" spans="1:256" ht="15.6" x14ac:dyDescent="0.3">
      <c r="A85" s="155"/>
      <c r="B85" s="39" t="s">
        <v>102</v>
      </c>
      <c r="C85" s="202">
        <f>$C$5*20</f>
        <v>10712000</v>
      </c>
      <c r="D85" s="79">
        <v>8.0000000000000002E-3</v>
      </c>
      <c r="E85" s="203"/>
      <c r="F85" s="156"/>
      <c r="G85" s="156"/>
    </row>
    <row r="86" spans="1:256" ht="16.2" thickBot="1" x14ac:dyDescent="0.35">
      <c r="A86" s="155"/>
      <c r="B86" s="80" t="s">
        <v>103</v>
      </c>
      <c r="C86" s="204">
        <v>10712000</v>
      </c>
      <c r="D86" s="81">
        <v>0.01</v>
      </c>
      <c r="E86" s="205"/>
      <c r="F86" s="156"/>
      <c r="G86" s="156"/>
      <c r="IV86" s="1">
        <v>2012</v>
      </c>
    </row>
    <row r="87" spans="1:256" x14ac:dyDescent="0.25">
      <c r="A87" s="155"/>
      <c r="B87" s="206"/>
      <c r="C87" s="141"/>
      <c r="D87" s="142"/>
      <c r="E87" s="149" t="str">
        <f>+B69</f>
        <v>V2  enero 12 de 2011</v>
      </c>
      <c r="F87" s="156"/>
      <c r="G87" s="156"/>
    </row>
    <row r="88" spans="1:256" ht="14.4" x14ac:dyDescent="0.3">
      <c r="A88" s="155"/>
      <c r="B88" s="155"/>
      <c r="C88" s="115"/>
      <c r="D88" s="143"/>
      <c r="E88" s="145"/>
      <c r="F88" s="156"/>
      <c r="G88" s="156"/>
    </row>
    <row r="89" spans="1:256" ht="15.6" x14ac:dyDescent="0.3">
      <c r="A89" s="155"/>
      <c r="B89" s="155"/>
      <c r="C89" s="140"/>
      <c r="D89" s="116"/>
      <c r="F89" s="156"/>
      <c r="G89" s="156"/>
    </row>
    <row r="90" spans="1:256" ht="15.6" x14ac:dyDescent="0.3">
      <c r="A90" s="155"/>
      <c r="B90" s="155"/>
      <c r="C90" s="140"/>
      <c r="D90" s="116"/>
      <c r="F90" s="156"/>
      <c r="G90" s="156"/>
    </row>
    <row r="91" spans="1:256" ht="15.6" x14ac:dyDescent="0.3">
      <c r="A91" s="155"/>
      <c r="B91" s="155"/>
      <c r="C91" s="140"/>
      <c r="D91" s="116"/>
      <c r="F91" s="156"/>
      <c r="G91" s="156"/>
    </row>
    <row r="92" spans="1:256" ht="15.6" x14ac:dyDescent="0.3">
      <c r="A92" s="155"/>
      <c r="B92" s="155"/>
      <c r="C92" s="140"/>
      <c r="D92" s="116"/>
      <c r="F92" s="156"/>
      <c r="G92" s="156"/>
    </row>
    <row r="93" spans="1:256" ht="15.6" x14ac:dyDescent="0.3">
      <c r="A93" s="155"/>
      <c r="B93" s="155"/>
      <c r="C93" s="140"/>
      <c r="D93" s="116"/>
      <c r="F93" s="156"/>
      <c r="G93" s="156"/>
    </row>
    <row r="94" spans="1:256" ht="15.6" x14ac:dyDescent="0.3">
      <c r="A94" s="155"/>
      <c r="B94" s="155"/>
      <c r="C94" s="140"/>
      <c r="D94" s="116"/>
      <c r="F94" s="156"/>
      <c r="G94" s="156"/>
    </row>
    <row r="95" spans="1:256" ht="15.6" x14ac:dyDescent="0.3">
      <c r="A95" s="155"/>
      <c r="B95" s="155"/>
      <c r="C95" s="140"/>
      <c r="D95" s="116"/>
      <c r="F95" s="156"/>
      <c r="G95" s="156"/>
    </row>
    <row r="96" spans="1:256" ht="15.6" x14ac:dyDescent="0.3">
      <c r="A96" s="155"/>
      <c r="B96" s="155"/>
      <c r="C96" s="140"/>
      <c r="D96" s="116"/>
      <c r="F96" s="156"/>
      <c r="G96" s="156"/>
    </row>
    <row r="97" spans="1:7" ht="15.6" x14ac:dyDescent="0.3">
      <c r="A97" s="155"/>
      <c r="B97" s="155"/>
      <c r="C97" s="140"/>
      <c r="D97" s="116"/>
      <c r="F97" s="156"/>
      <c r="G97" s="156"/>
    </row>
    <row r="98" spans="1:7" ht="15.6" x14ac:dyDescent="0.3">
      <c r="A98" s="155"/>
      <c r="B98" s="155"/>
      <c r="C98" s="140"/>
      <c r="D98" s="116"/>
      <c r="F98" s="156"/>
      <c r="G98" s="156"/>
    </row>
    <row r="99" spans="1:7" ht="15.6" x14ac:dyDescent="0.3">
      <c r="A99" s="155"/>
      <c r="B99" s="155"/>
      <c r="C99" s="140"/>
      <c r="D99" s="116"/>
      <c r="F99" s="156"/>
      <c r="G99" s="156"/>
    </row>
    <row r="100" spans="1:7" x14ac:dyDescent="0.25">
      <c r="A100" s="155"/>
      <c r="B100" s="155"/>
      <c r="C100" s="115"/>
      <c r="D100" s="116"/>
      <c r="F100" s="156"/>
      <c r="G100" s="156"/>
    </row>
    <row r="101" spans="1:7" x14ac:dyDescent="0.25">
      <c r="A101" s="155"/>
      <c r="B101" s="155"/>
      <c r="C101" s="115"/>
      <c r="D101" s="116"/>
      <c r="F101" s="156"/>
      <c r="G101" s="156"/>
    </row>
    <row r="102" spans="1:7" x14ac:dyDescent="0.25">
      <c r="A102" s="155"/>
      <c r="B102" s="155"/>
      <c r="C102" s="115"/>
      <c r="D102" s="116"/>
      <c r="F102" s="156"/>
      <c r="G102" s="156"/>
    </row>
    <row r="103" spans="1:7" x14ac:dyDescent="0.25">
      <c r="A103" s="155"/>
      <c r="B103" s="155"/>
      <c r="C103" s="115"/>
      <c r="D103" s="116"/>
      <c r="F103" s="156"/>
      <c r="G103" s="156"/>
    </row>
    <row r="65536" spans="256:256" x14ac:dyDescent="0.25">
      <c r="IV65536" s="1">
        <v>2011</v>
      </c>
    </row>
  </sheetData>
  <sheetProtection password="CC73" sheet="1"/>
  <protectedRanges>
    <protectedRange sqref="E20:E22" name="Rango5"/>
    <protectedRange sqref="C10:C12" name="Rango4"/>
    <protectedRange sqref="F60:F68" name="Rango2"/>
    <protectedRange sqref="E72" name="Rango3"/>
  </protectedRanges>
  <customSheetViews>
    <customSheetView guid="{005D785A-2C1A-7642-8E14-813F8ABC12DD}" showGridLines="0">
      <selection activeCell="E5" sqref="E5"/>
      <pageMargins left="0" right="0" top="0" bottom="0" header="0" footer="0"/>
    </customSheetView>
  </customSheetViews>
  <dataValidations count="1">
    <dataValidation type="list" allowBlank="1" showInputMessage="1" showErrorMessage="1" sqref="C11" xr:uid="{00000000-0002-0000-0800-000000000000}">
      <formula1>$IV$6:$IV$10</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2019</vt:lpstr>
      <vt:lpstr>2018</vt:lpstr>
      <vt:lpstr>2017</vt:lpstr>
      <vt:lpstr>2016</vt:lpstr>
      <vt:lpstr>2015</vt:lpstr>
      <vt:lpstr>2014</vt:lpstr>
      <vt:lpstr>2013</vt:lpstr>
      <vt:lpstr>2012</vt:lpstr>
      <vt:lpstr>2011</vt:lpstr>
      <vt:lpstr> 2010</vt:lpstr>
      <vt:lpstr>2009</vt:lpstr>
      <vt:lpstr>' 2010'!Área_de_impresión</vt:lpstr>
    </vt:vector>
  </TitlesOfParts>
  <Manager/>
  <Company>SMURFIT CARTON COLOMBIA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Servicios</dc:creator>
  <cp:keywords/>
  <dc:description/>
  <cp:lastModifiedBy>ACCOUNTER</cp:lastModifiedBy>
  <cp:revision/>
  <dcterms:created xsi:type="dcterms:W3CDTF">2008-01-14T17:28:45Z</dcterms:created>
  <dcterms:modified xsi:type="dcterms:W3CDTF">2019-01-11T14:34:56Z</dcterms:modified>
  <cp:category/>
  <cp:contentStatus/>
</cp:coreProperties>
</file>